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84DC0ACA-B10F-4905-89F9-979295A4434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1-'!$A$1:$L$1376</definedName>
    <definedName name="_xlnm.Print_Area" localSheetId="0">'Смета СН-2012 по гл. 1-5'!$A$1:$K$1369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65" i="1" l="1"/>
  <c r="A1" i="7"/>
  <c r="B6" i="7"/>
  <c r="G6" i="7"/>
  <c r="A10" i="7"/>
  <c r="A15" i="7"/>
  <c r="A18" i="7"/>
  <c r="A32" i="7"/>
  <c r="A34" i="7"/>
  <c r="A36" i="7"/>
  <c r="B37" i="7"/>
  <c r="C37" i="7"/>
  <c r="D37" i="7"/>
  <c r="E37" i="7"/>
  <c r="F38" i="7"/>
  <c r="G38" i="7"/>
  <c r="H38" i="7"/>
  <c r="I38" i="7"/>
  <c r="F39" i="7"/>
  <c r="G39" i="7"/>
  <c r="H39" i="7"/>
  <c r="I39" i="7"/>
  <c r="E40" i="7"/>
  <c r="E41" i="7"/>
  <c r="E42" i="7"/>
  <c r="G42" i="7"/>
  <c r="H42" i="7"/>
  <c r="B44" i="7"/>
  <c r="C44" i="7"/>
  <c r="D44" i="7"/>
  <c r="E44" i="7"/>
  <c r="F45" i="7"/>
  <c r="G45" i="7"/>
  <c r="H45" i="7"/>
  <c r="I45" i="7"/>
  <c r="F46" i="7"/>
  <c r="G46" i="7"/>
  <c r="H46" i="7"/>
  <c r="I46" i="7"/>
  <c r="F47" i="7"/>
  <c r="G47" i="7"/>
  <c r="H47" i="7"/>
  <c r="I47" i="7"/>
  <c r="E48" i="7"/>
  <c r="E49" i="7"/>
  <c r="E50" i="7"/>
  <c r="E51" i="7"/>
  <c r="G51" i="7"/>
  <c r="H51" i="7"/>
  <c r="A57" i="7"/>
  <c r="B58" i="7"/>
  <c r="C58" i="7"/>
  <c r="D58" i="7"/>
  <c r="F60" i="7"/>
  <c r="G60" i="7"/>
  <c r="H60" i="7"/>
  <c r="I60" i="7"/>
  <c r="E61" i="7"/>
  <c r="E62" i="7"/>
  <c r="E63" i="7"/>
  <c r="G63" i="7"/>
  <c r="H63" i="7"/>
  <c r="B65" i="7"/>
  <c r="C65" i="7"/>
  <c r="D65" i="7"/>
  <c r="F67" i="7"/>
  <c r="G67" i="7"/>
  <c r="H67" i="7"/>
  <c r="I67" i="7"/>
  <c r="E68" i="7"/>
  <c r="E69" i="7"/>
  <c r="E70" i="7"/>
  <c r="G70" i="7"/>
  <c r="H70" i="7"/>
  <c r="B72" i="7"/>
  <c r="C72" i="7"/>
  <c r="D72" i="7"/>
  <c r="F74" i="7"/>
  <c r="G74" i="7"/>
  <c r="H74" i="7"/>
  <c r="I74" i="7"/>
  <c r="F75" i="7"/>
  <c r="G75" i="7"/>
  <c r="H75" i="7"/>
  <c r="I75" i="7"/>
  <c r="F76" i="7"/>
  <c r="G76" i="7"/>
  <c r="H76" i="7"/>
  <c r="I76" i="7"/>
  <c r="E77" i="7"/>
  <c r="E78" i="7"/>
  <c r="E79" i="7"/>
  <c r="E80" i="7"/>
  <c r="G80" i="7"/>
  <c r="H80" i="7"/>
  <c r="A86" i="7"/>
  <c r="B87" i="7"/>
  <c r="C87" i="7"/>
  <c r="D87" i="7"/>
  <c r="F89" i="7"/>
  <c r="G89" i="7"/>
  <c r="H89" i="7"/>
  <c r="I89" i="7"/>
  <c r="E90" i="7"/>
  <c r="E91" i="7"/>
  <c r="E92" i="7"/>
  <c r="G92" i="7"/>
  <c r="H92" i="7"/>
  <c r="A98" i="7"/>
  <c r="I100" i="7"/>
  <c r="A103" i="7"/>
  <c r="B104" i="7"/>
  <c r="C104" i="7"/>
  <c r="D104" i="7"/>
  <c r="E104" i="7"/>
  <c r="F105" i="7"/>
  <c r="G105" i="7"/>
  <c r="H105" i="7"/>
  <c r="I105" i="7"/>
  <c r="F106" i="7"/>
  <c r="G106" i="7"/>
  <c r="H106" i="7"/>
  <c r="I106" i="7"/>
  <c r="E107" i="7"/>
  <c r="E108" i="7"/>
  <c r="E109" i="7"/>
  <c r="G109" i="7"/>
  <c r="H109" i="7"/>
  <c r="B111" i="7"/>
  <c r="C111" i="7"/>
  <c r="D111" i="7"/>
  <c r="F113" i="7"/>
  <c r="G113" i="7"/>
  <c r="H113" i="7"/>
  <c r="I113" i="7"/>
  <c r="F114" i="7"/>
  <c r="G114" i="7"/>
  <c r="H114" i="7"/>
  <c r="I114" i="7"/>
  <c r="E115" i="7"/>
  <c r="E116" i="7"/>
  <c r="E117" i="7"/>
  <c r="G117" i="7"/>
  <c r="H117" i="7"/>
  <c r="A123" i="7"/>
  <c r="B124" i="7"/>
  <c r="C124" i="7"/>
  <c r="D124" i="7"/>
  <c r="F126" i="7"/>
  <c r="G126" i="7"/>
  <c r="H126" i="7"/>
  <c r="I126" i="7"/>
  <c r="F127" i="7"/>
  <c r="G127" i="7"/>
  <c r="H127" i="7"/>
  <c r="I127" i="7"/>
  <c r="F128" i="7"/>
  <c r="G128" i="7"/>
  <c r="H128" i="7"/>
  <c r="I128" i="7"/>
  <c r="F129" i="7"/>
  <c r="G129" i="7"/>
  <c r="H129" i="7"/>
  <c r="I129" i="7"/>
  <c r="E130" i="7"/>
  <c r="E131" i="7"/>
  <c r="E132" i="7"/>
  <c r="E133" i="7"/>
  <c r="G133" i="7"/>
  <c r="H133" i="7"/>
  <c r="B135" i="7"/>
  <c r="C135" i="7"/>
  <c r="D135" i="7"/>
  <c r="F137" i="7"/>
  <c r="G137" i="7"/>
  <c r="H137" i="7"/>
  <c r="I137" i="7"/>
  <c r="F138" i="7"/>
  <c r="G138" i="7"/>
  <c r="H138" i="7"/>
  <c r="I138" i="7"/>
  <c r="F139" i="7"/>
  <c r="G139" i="7"/>
  <c r="H139" i="7"/>
  <c r="I139" i="7"/>
  <c r="F140" i="7"/>
  <c r="G140" i="7"/>
  <c r="H140" i="7"/>
  <c r="I140" i="7"/>
  <c r="E141" i="7"/>
  <c r="E142" i="7"/>
  <c r="E143" i="7"/>
  <c r="E144" i="7"/>
  <c r="G144" i="7"/>
  <c r="H144" i="7"/>
  <c r="B146" i="7"/>
  <c r="C146" i="7"/>
  <c r="D146" i="7"/>
  <c r="F148" i="7"/>
  <c r="G148" i="7"/>
  <c r="H148" i="7"/>
  <c r="I148" i="7"/>
  <c r="E149" i="7"/>
  <c r="E150" i="7"/>
  <c r="E151" i="7"/>
  <c r="G151" i="7"/>
  <c r="H151" i="7"/>
  <c r="B153" i="7"/>
  <c r="C153" i="7"/>
  <c r="D153" i="7"/>
  <c r="F155" i="7"/>
  <c r="G155" i="7"/>
  <c r="H155" i="7"/>
  <c r="I155" i="7"/>
  <c r="F156" i="7"/>
  <c r="G156" i="7"/>
  <c r="H156" i="7"/>
  <c r="I156" i="7"/>
  <c r="E157" i="7"/>
  <c r="E158" i="7"/>
  <c r="E159" i="7"/>
  <c r="G159" i="7"/>
  <c r="H159" i="7"/>
  <c r="B161" i="7"/>
  <c r="C161" i="7"/>
  <c r="D161" i="7"/>
  <c r="E161" i="7"/>
  <c r="F162" i="7"/>
  <c r="G162" i="7"/>
  <c r="H162" i="7"/>
  <c r="I162" i="7"/>
  <c r="F163" i="7"/>
  <c r="G163" i="7"/>
  <c r="H163" i="7"/>
  <c r="I163" i="7"/>
  <c r="F164" i="7"/>
  <c r="G164" i="7"/>
  <c r="H164" i="7"/>
  <c r="I164" i="7"/>
  <c r="F165" i="7"/>
  <c r="G165" i="7"/>
  <c r="H165" i="7"/>
  <c r="I165" i="7"/>
  <c r="E166" i="7"/>
  <c r="E167" i="7"/>
  <c r="E168" i="7"/>
  <c r="E169" i="7"/>
  <c r="G169" i="7"/>
  <c r="H169" i="7"/>
  <c r="B171" i="7"/>
  <c r="C171" i="7"/>
  <c r="D171" i="7"/>
  <c r="E171" i="7"/>
  <c r="F172" i="7"/>
  <c r="G172" i="7"/>
  <c r="H172" i="7"/>
  <c r="I172" i="7"/>
  <c r="F173" i="7"/>
  <c r="G173" i="7"/>
  <c r="H173" i="7"/>
  <c r="I173" i="7"/>
  <c r="F174" i="7"/>
  <c r="G174" i="7"/>
  <c r="H174" i="7"/>
  <c r="I174" i="7"/>
  <c r="E175" i="7"/>
  <c r="E176" i="7"/>
  <c r="E177" i="7"/>
  <c r="E178" i="7"/>
  <c r="G178" i="7"/>
  <c r="H178" i="7"/>
  <c r="B181" i="7"/>
  <c r="AC181" i="7"/>
  <c r="B182" i="7"/>
  <c r="C182" i="7"/>
  <c r="D182" i="7"/>
  <c r="E182" i="7"/>
  <c r="F183" i="7"/>
  <c r="G183" i="7"/>
  <c r="H183" i="7"/>
  <c r="I183" i="7"/>
  <c r="F184" i="7"/>
  <c r="G184" i="7"/>
  <c r="H184" i="7"/>
  <c r="I184" i="7"/>
  <c r="E185" i="7"/>
  <c r="E186" i="7"/>
  <c r="E187" i="7"/>
  <c r="G187" i="7"/>
  <c r="H187" i="7"/>
  <c r="B189" i="7"/>
  <c r="C189" i="7"/>
  <c r="D189" i="7"/>
  <c r="E189" i="7"/>
  <c r="F190" i="7"/>
  <c r="G190" i="7"/>
  <c r="H190" i="7"/>
  <c r="I190" i="7"/>
  <c r="F191" i="7"/>
  <c r="G191" i="7"/>
  <c r="H191" i="7"/>
  <c r="I191" i="7"/>
  <c r="F192" i="7"/>
  <c r="G192" i="7"/>
  <c r="H192" i="7"/>
  <c r="I192" i="7"/>
  <c r="E193" i="7"/>
  <c r="E194" i="7"/>
  <c r="E195" i="7"/>
  <c r="E196" i="7"/>
  <c r="G196" i="7"/>
  <c r="H196" i="7"/>
  <c r="A205" i="7"/>
  <c r="A207" i="7"/>
  <c r="B208" i="7"/>
  <c r="C208" i="7"/>
  <c r="D208" i="7"/>
  <c r="F210" i="7"/>
  <c r="G210" i="7"/>
  <c r="H210" i="7"/>
  <c r="I210" i="7"/>
  <c r="F211" i="7"/>
  <c r="G211" i="7"/>
  <c r="H211" i="7"/>
  <c r="I211" i="7"/>
  <c r="F212" i="7"/>
  <c r="G212" i="7"/>
  <c r="H212" i="7"/>
  <c r="I212" i="7"/>
  <c r="F213" i="7"/>
  <c r="G213" i="7"/>
  <c r="H213" i="7"/>
  <c r="I213" i="7"/>
  <c r="E214" i="7"/>
  <c r="E215" i="7"/>
  <c r="E216" i="7"/>
  <c r="E217" i="7"/>
  <c r="G217" i="7"/>
  <c r="H217" i="7"/>
  <c r="B219" i="7"/>
  <c r="C219" i="7"/>
  <c r="D219" i="7"/>
  <c r="F221" i="7"/>
  <c r="G221" i="7"/>
  <c r="H221" i="7"/>
  <c r="I221" i="7"/>
  <c r="F222" i="7"/>
  <c r="G222" i="7"/>
  <c r="H222" i="7"/>
  <c r="I222" i="7"/>
  <c r="F223" i="7"/>
  <c r="G223" i="7"/>
  <c r="H223" i="7"/>
  <c r="I223" i="7"/>
  <c r="E224" i="7"/>
  <c r="E225" i="7"/>
  <c r="E226" i="7"/>
  <c r="G226" i="7"/>
  <c r="H226" i="7"/>
  <c r="B228" i="7"/>
  <c r="C228" i="7"/>
  <c r="D228" i="7"/>
  <c r="F230" i="7"/>
  <c r="G230" i="7"/>
  <c r="H230" i="7"/>
  <c r="I230" i="7"/>
  <c r="F231" i="7"/>
  <c r="G231" i="7"/>
  <c r="H231" i="7"/>
  <c r="I231" i="7"/>
  <c r="E232" i="7"/>
  <c r="E233" i="7"/>
  <c r="E234" i="7"/>
  <c r="G234" i="7"/>
  <c r="H234" i="7"/>
  <c r="B236" i="7"/>
  <c r="C236" i="7"/>
  <c r="D236" i="7"/>
  <c r="E236" i="7"/>
  <c r="F237" i="7"/>
  <c r="G237" i="7"/>
  <c r="H237" i="7"/>
  <c r="I237" i="7"/>
  <c r="F238" i="7"/>
  <c r="G238" i="7"/>
  <c r="H238" i="7"/>
  <c r="I238" i="7"/>
  <c r="E239" i="7"/>
  <c r="E240" i="7"/>
  <c r="E241" i="7"/>
  <c r="G241" i="7"/>
  <c r="H241" i="7"/>
  <c r="B243" i="7"/>
  <c r="C243" i="7"/>
  <c r="D243" i="7"/>
  <c r="E243" i="7"/>
  <c r="F244" i="7"/>
  <c r="G244" i="7"/>
  <c r="H244" i="7"/>
  <c r="I244" i="7"/>
  <c r="F245" i="7"/>
  <c r="G245" i="7"/>
  <c r="H245" i="7"/>
  <c r="I245" i="7"/>
  <c r="F246" i="7"/>
  <c r="G246" i="7"/>
  <c r="H246" i="7"/>
  <c r="I246" i="7"/>
  <c r="F247" i="7"/>
  <c r="G247" i="7"/>
  <c r="H247" i="7"/>
  <c r="I247" i="7"/>
  <c r="E248" i="7"/>
  <c r="E249" i="7"/>
  <c r="E250" i="7"/>
  <c r="E251" i="7"/>
  <c r="G251" i="7"/>
  <c r="H251" i="7"/>
  <c r="B253" i="7"/>
  <c r="C253" i="7"/>
  <c r="D253" i="7"/>
  <c r="E253" i="7"/>
  <c r="F254" i="7"/>
  <c r="G254" i="7"/>
  <c r="H254" i="7"/>
  <c r="I254" i="7"/>
  <c r="F255" i="7"/>
  <c r="G255" i="7"/>
  <c r="H255" i="7"/>
  <c r="I255" i="7"/>
  <c r="E256" i="7"/>
  <c r="E257" i="7"/>
  <c r="E258" i="7"/>
  <c r="G258" i="7"/>
  <c r="H258" i="7"/>
  <c r="B260" i="7"/>
  <c r="C260" i="7"/>
  <c r="D260" i="7"/>
  <c r="E260" i="7"/>
  <c r="F261" i="7"/>
  <c r="G261" i="7"/>
  <c r="H261" i="7"/>
  <c r="I261" i="7"/>
  <c r="F262" i="7"/>
  <c r="G262" i="7"/>
  <c r="H262" i="7"/>
  <c r="I262" i="7"/>
  <c r="E263" i="7"/>
  <c r="E264" i="7"/>
  <c r="E265" i="7"/>
  <c r="G265" i="7"/>
  <c r="H265" i="7"/>
  <c r="B267" i="7"/>
  <c r="C267" i="7"/>
  <c r="D267" i="7"/>
  <c r="E267" i="7"/>
  <c r="F268" i="7"/>
  <c r="G268" i="7"/>
  <c r="H268" i="7"/>
  <c r="I268" i="7"/>
  <c r="F269" i="7"/>
  <c r="G269" i="7"/>
  <c r="H269" i="7"/>
  <c r="I269" i="7"/>
  <c r="F270" i="7"/>
  <c r="G270" i="7"/>
  <c r="H270" i="7"/>
  <c r="I270" i="7"/>
  <c r="F271" i="7"/>
  <c r="G271" i="7"/>
  <c r="H271" i="7"/>
  <c r="I271" i="7"/>
  <c r="E272" i="7"/>
  <c r="E273" i="7"/>
  <c r="E274" i="7"/>
  <c r="E275" i="7"/>
  <c r="G275" i="7"/>
  <c r="H275" i="7"/>
  <c r="B277" i="7"/>
  <c r="C277" i="7"/>
  <c r="D277" i="7"/>
  <c r="F279" i="7"/>
  <c r="G279" i="7"/>
  <c r="H279" i="7"/>
  <c r="I279" i="7"/>
  <c r="F280" i="7"/>
  <c r="G280" i="7"/>
  <c r="H280" i="7"/>
  <c r="I280" i="7"/>
  <c r="E281" i="7"/>
  <c r="E282" i="7"/>
  <c r="E283" i="7"/>
  <c r="G283" i="7"/>
  <c r="H283" i="7"/>
  <c r="B285" i="7"/>
  <c r="C285" i="7"/>
  <c r="D285" i="7"/>
  <c r="F287" i="7"/>
  <c r="G287" i="7"/>
  <c r="H287" i="7"/>
  <c r="I287" i="7"/>
  <c r="E288" i="7"/>
  <c r="E289" i="7"/>
  <c r="E290" i="7"/>
  <c r="G290" i="7"/>
  <c r="H290" i="7"/>
  <c r="D292" i="7"/>
  <c r="F294" i="7"/>
  <c r="G294" i="7"/>
  <c r="H294" i="7"/>
  <c r="I294" i="7"/>
  <c r="F295" i="7"/>
  <c r="G295" i="7"/>
  <c r="H295" i="7"/>
  <c r="I295" i="7"/>
  <c r="F296" i="7"/>
  <c r="G296" i="7"/>
  <c r="H296" i="7"/>
  <c r="I296" i="7"/>
  <c r="F297" i="7"/>
  <c r="G297" i="7"/>
  <c r="H297" i="7"/>
  <c r="I297" i="7"/>
  <c r="E298" i="7"/>
  <c r="E299" i="7"/>
  <c r="E300" i="7"/>
  <c r="E301" i="7"/>
  <c r="G301" i="7"/>
  <c r="H301" i="7"/>
  <c r="B303" i="7"/>
  <c r="C303" i="7"/>
  <c r="D303" i="7"/>
  <c r="F305" i="7"/>
  <c r="G305" i="7"/>
  <c r="H305" i="7"/>
  <c r="I305" i="7"/>
  <c r="F306" i="7"/>
  <c r="G306" i="7"/>
  <c r="H306" i="7"/>
  <c r="I306" i="7"/>
  <c r="E307" i="7"/>
  <c r="E308" i="7"/>
  <c r="E309" i="7"/>
  <c r="G309" i="7"/>
  <c r="H309" i="7"/>
  <c r="B311" i="7"/>
  <c r="C311" i="7"/>
  <c r="D311" i="7"/>
  <c r="E311" i="7"/>
  <c r="F312" i="7"/>
  <c r="G312" i="7"/>
  <c r="H312" i="7"/>
  <c r="I312" i="7"/>
  <c r="F313" i="7"/>
  <c r="G313" i="7"/>
  <c r="H313" i="7"/>
  <c r="I313" i="7"/>
  <c r="F314" i="7"/>
  <c r="G314" i="7"/>
  <c r="H314" i="7"/>
  <c r="I314" i="7"/>
  <c r="E315" i="7"/>
  <c r="E316" i="7"/>
  <c r="E317" i="7"/>
  <c r="E318" i="7"/>
  <c r="G318" i="7"/>
  <c r="H318" i="7"/>
  <c r="B320" i="7"/>
  <c r="C320" i="7"/>
  <c r="D320" i="7"/>
  <c r="F322" i="7"/>
  <c r="G322" i="7"/>
  <c r="H322" i="7"/>
  <c r="I322" i="7"/>
  <c r="E323" i="7"/>
  <c r="E324" i="7"/>
  <c r="E325" i="7"/>
  <c r="G325" i="7"/>
  <c r="H325" i="7"/>
  <c r="B327" i="7"/>
  <c r="C327" i="7"/>
  <c r="D327" i="7"/>
  <c r="F329" i="7"/>
  <c r="G329" i="7"/>
  <c r="H329" i="7"/>
  <c r="I329" i="7"/>
  <c r="E330" i="7"/>
  <c r="E331" i="7"/>
  <c r="E332" i="7"/>
  <c r="G332" i="7"/>
  <c r="H332" i="7"/>
  <c r="B334" i="7"/>
  <c r="C334" i="7"/>
  <c r="D334" i="7"/>
  <c r="F336" i="7"/>
  <c r="G336" i="7"/>
  <c r="H336" i="7"/>
  <c r="I336" i="7"/>
  <c r="E337" i="7"/>
  <c r="E338" i="7"/>
  <c r="E339" i="7"/>
  <c r="G339" i="7"/>
  <c r="H339" i="7"/>
  <c r="B341" i="7"/>
  <c r="C341" i="7"/>
  <c r="D341" i="7"/>
  <c r="F343" i="7"/>
  <c r="G343" i="7"/>
  <c r="H343" i="7"/>
  <c r="I343" i="7"/>
  <c r="E344" i="7"/>
  <c r="E345" i="7"/>
  <c r="E346" i="7"/>
  <c r="G346" i="7"/>
  <c r="H346" i="7"/>
  <c r="B348" i="7"/>
  <c r="C348" i="7"/>
  <c r="D348" i="7"/>
  <c r="F350" i="7"/>
  <c r="G350" i="7"/>
  <c r="H350" i="7"/>
  <c r="I350" i="7"/>
  <c r="F351" i="7"/>
  <c r="G351" i="7"/>
  <c r="H351" i="7"/>
  <c r="I351" i="7"/>
  <c r="E352" i="7"/>
  <c r="E353" i="7"/>
  <c r="E354" i="7"/>
  <c r="G354" i="7"/>
  <c r="H354" i="7"/>
  <c r="A360" i="7"/>
  <c r="B362" i="7"/>
  <c r="B363" i="7"/>
  <c r="C363" i="7"/>
  <c r="D363" i="7"/>
  <c r="E363" i="7"/>
  <c r="F364" i="7"/>
  <c r="G364" i="7"/>
  <c r="H364" i="7"/>
  <c r="I364" i="7"/>
  <c r="F365" i="7"/>
  <c r="G365" i="7"/>
  <c r="H365" i="7"/>
  <c r="I365" i="7"/>
  <c r="F366" i="7"/>
  <c r="G366" i="7"/>
  <c r="H366" i="7"/>
  <c r="I366" i="7"/>
  <c r="E367" i="7"/>
  <c r="E368" i="7"/>
  <c r="E369" i="7"/>
  <c r="E370" i="7"/>
  <c r="G370" i="7"/>
  <c r="H370" i="7"/>
  <c r="B372" i="7"/>
  <c r="C372" i="7"/>
  <c r="D372" i="7"/>
  <c r="E372" i="7"/>
  <c r="F373" i="7"/>
  <c r="G373" i="7"/>
  <c r="H373" i="7"/>
  <c r="I373" i="7"/>
  <c r="E374" i="7"/>
  <c r="E375" i="7"/>
  <c r="E376" i="7"/>
  <c r="G376" i="7"/>
  <c r="H376" i="7"/>
  <c r="B378" i="7"/>
  <c r="C378" i="7"/>
  <c r="D378" i="7"/>
  <c r="E378" i="7"/>
  <c r="F379" i="7"/>
  <c r="G379" i="7"/>
  <c r="H379" i="7"/>
  <c r="I379" i="7"/>
  <c r="F380" i="7"/>
  <c r="G380" i="7"/>
  <c r="H380" i="7"/>
  <c r="I380" i="7"/>
  <c r="F381" i="7"/>
  <c r="G381" i="7"/>
  <c r="H381" i="7"/>
  <c r="I381" i="7"/>
  <c r="F382" i="7"/>
  <c r="G382" i="7"/>
  <c r="H382" i="7"/>
  <c r="I382" i="7"/>
  <c r="E383" i="7"/>
  <c r="E384" i="7"/>
  <c r="E385" i="7"/>
  <c r="E386" i="7"/>
  <c r="G386" i="7"/>
  <c r="H386" i="7"/>
  <c r="B388" i="7"/>
  <c r="C388" i="7"/>
  <c r="D388" i="7"/>
  <c r="E388" i="7"/>
  <c r="F389" i="7"/>
  <c r="G389" i="7"/>
  <c r="H389" i="7"/>
  <c r="I389" i="7"/>
  <c r="F390" i="7"/>
  <c r="G390" i="7"/>
  <c r="H390" i="7"/>
  <c r="I390" i="7"/>
  <c r="E391" i="7"/>
  <c r="E392" i="7"/>
  <c r="E393" i="7"/>
  <c r="G393" i="7"/>
  <c r="H393" i="7"/>
  <c r="B395" i="7"/>
  <c r="C395" i="7"/>
  <c r="D395" i="7"/>
  <c r="F397" i="7"/>
  <c r="G397" i="7"/>
  <c r="H397" i="7"/>
  <c r="I397" i="7"/>
  <c r="F398" i="7"/>
  <c r="G398" i="7"/>
  <c r="H398" i="7"/>
  <c r="I398" i="7"/>
  <c r="E399" i="7"/>
  <c r="E400" i="7"/>
  <c r="E401" i="7"/>
  <c r="G401" i="7"/>
  <c r="H401" i="7"/>
  <c r="B403" i="7"/>
  <c r="C403" i="7"/>
  <c r="D403" i="7"/>
  <c r="E403" i="7"/>
  <c r="F404" i="7"/>
  <c r="G404" i="7"/>
  <c r="H404" i="7"/>
  <c r="I404" i="7"/>
  <c r="F405" i="7"/>
  <c r="G405" i="7"/>
  <c r="H405" i="7"/>
  <c r="I405" i="7"/>
  <c r="E406" i="7"/>
  <c r="E407" i="7"/>
  <c r="E408" i="7"/>
  <c r="G408" i="7"/>
  <c r="H408" i="7"/>
  <c r="B410" i="7"/>
  <c r="C410" i="7"/>
  <c r="D410" i="7"/>
  <c r="E410" i="7"/>
  <c r="F411" i="7"/>
  <c r="G411" i="7"/>
  <c r="H411" i="7"/>
  <c r="I411" i="7"/>
  <c r="E412" i="7"/>
  <c r="E413" i="7"/>
  <c r="E414" i="7"/>
  <c r="G414" i="7"/>
  <c r="H414" i="7"/>
  <c r="B416" i="7"/>
  <c r="C416" i="7"/>
  <c r="D416" i="7"/>
  <c r="E416" i="7"/>
  <c r="F417" i="7"/>
  <c r="G417" i="7"/>
  <c r="H417" i="7"/>
  <c r="I417" i="7"/>
  <c r="F418" i="7"/>
  <c r="G418" i="7"/>
  <c r="H418" i="7"/>
  <c r="I418" i="7"/>
  <c r="E419" i="7"/>
  <c r="E420" i="7"/>
  <c r="E421" i="7"/>
  <c r="G421" i="7"/>
  <c r="H421" i="7"/>
  <c r="B423" i="7"/>
  <c r="C423" i="7"/>
  <c r="D423" i="7"/>
  <c r="F425" i="7"/>
  <c r="G425" i="7"/>
  <c r="H425" i="7"/>
  <c r="I425" i="7"/>
  <c r="E426" i="7"/>
  <c r="E427" i="7"/>
  <c r="E428" i="7"/>
  <c r="G428" i="7"/>
  <c r="H428" i="7"/>
  <c r="B430" i="7"/>
  <c r="C430" i="7"/>
  <c r="D430" i="7"/>
  <c r="E430" i="7"/>
  <c r="F431" i="7"/>
  <c r="G431" i="7"/>
  <c r="H431" i="7"/>
  <c r="I431" i="7"/>
  <c r="F432" i="7"/>
  <c r="G432" i="7"/>
  <c r="H432" i="7"/>
  <c r="I432" i="7"/>
  <c r="F433" i="7"/>
  <c r="G433" i="7"/>
  <c r="H433" i="7"/>
  <c r="I433" i="7"/>
  <c r="E434" i="7"/>
  <c r="E435" i="7"/>
  <c r="E436" i="7"/>
  <c r="E437" i="7"/>
  <c r="G437" i="7"/>
  <c r="H437" i="7"/>
  <c r="B439" i="7"/>
  <c r="C439" i="7"/>
  <c r="D439" i="7"/>
  <c r="F441" i="7"/>
  <c r="G441" i="7"/>
  <c r="H441" i="7"/>
  <c r="I441" i="7"/>
  <c r="F442" i="7"/>
  <c r="G442" i="7"/>
  <c r="H442" i="7"/>
  <c r="I442" i="7"/>
  <c r="B443" i="7"/>
  <c r="C443" i="7"/>
  <c r="D443" i="7"/>
  <c r="F443" i="7"/>
  <c r="H443" i="7"/>
  <c r="I443" i="7"/>
  <c r="E444" i="7"/>
  <c r="E445" i="7"/>
  <c r="E446" i="7"/>
  <c r="G446" i="7"/>
  <c r="H446" i="7"/>
  <c r="B448" i="7"/>
  <c r="C448" i="7"/>
  <c r="D448" i="7"/>
  <c r="E448" i="7"/>
  <c r="F449" i="7"/>
  <c r="G449" i="7"/>
  <c r="H449" i="7"/>
  <c r="I449" i="7"/>
  <c r="F450" i="7"/>
  <c r="G450" i="7"/>
  <c r="H450" i="7"/>
  <c r="I450" i="7"/>
  <c r="E451" i="7"/>
  <c r="E452" i="7"/>
  <c r="E453" i="7"/>
  <c r="G453" i="7"/>
  <c r="H453" i="7"/>
  <c r="B455" i="7"/>
  <c r="C455" i="7"/>
  <c r="D455" i="7"/>
  <c r="E455" i="7"/>
  <c r="F456" i="7"/>
  <c r="G456" i="7"/>
  <c r="H456" i="7"/>
  <c r="I456" i="7"/>
  <c r="E457" i="7"/>
  <c r="E458" i="7"/>
  <c r="E459" i="7"/>
  <c r="G459" i="7"/>
  <c r="H459" i="7"/>
  <c r="B461" i="7"/>
  <c r="C461" i="7"/>
  <c r="D461" i="7"/>
  <c r="E461" i="7"/>
  <c r="F462" i="7"/>
  <c r="G462" i="7"/>
  <c r="H462" i="7"/>
  <c r="I462" i="7"/>
  <c r="F463" i="7"/>
  <c r="G463" i="7"/>
  <c r="H463" i="7"/>
  <c r="I463" i="7"/>
  <c r="E464" i="7"/>
  <c r="E465" i="7"/>
  <c r="E466" i="7"/>
  <c r="G466" i="7"/>
  <c r="H466" i="7"/>
  <c r="B468" i="7"/>
  <c r="C468" i="7"/>
  <c r="D468" i="7"/>
  <c r="F470" i="7"/>
  <c r="G470" i="7"/>
  <c r="H470" i="7"/>
  <c r="I470" i="7"/>
  <c r="E471" i="7"/>
  <c r="E472" i="7"/>
  <c r="E473" i="7"/>
  <c r="G473" i="7"/>
  <c r="H473" i="7"/>
  <c r="B475" i="7"/>
  <c r="C475" i="7"/>
  <c r="D475" i="7"/>
  <c r="F477" i="7"/>
  <c r="G477" i="7"/>
  <c r="H477" i="7"/>
  <c r="I477" i="7"/>
  <c r="E478" i="7"/>
  <c r="E479" i="7"/>
  <c r="E480" i="7"/>
  <c r="G480" i="7"/>
  <c r="H480" i="7"/>
  <c r="B483" i="7"/>
  <c r="B484" i="7"/>
  <c r="C484" i="7"/>
  <c r="D484" i="7"/>
  <c r="F486" i="7"/>
  <c r="G486" i="7"/>
  <c r="H486" i="7"/>
  <c r="I486" i="7"/>
  <c r="E487" i="7"/>
  <c r="E488" i="7"/>
  <c r="E489" i="7"/>
  <c r="G489" i="7"/>
  <c r="H489" i="7"/>
  <c r="B491" i="7"/>
  <c r="C491" i="7"/>
  <c r="D491" i="7"/>
  <c r="F493" i="7"/>
  <c r="G493" i="7"/>
  <c r="H493" i="7"/>
  <c r="I493" i="7"/>
  <c r="F494" i="7"/>
  <c r="G494" i="7"/>
  <c r="H494" i="7"/>
  <c r="I494" i="7"/>
  <c r="F495" i="7"/>
  <c r="G495" i="7"/>
  <c r="H495" i="7"/>
  <c r="I495" i="7"/>
  <c r="E496" i="7"/>
  <c r="E497" i="7"/>
  <c r="E498" i="7"/>
  <c r="E499" i="7"/>
  <c r="G499" i="7"/>
  <c r="H499" i="7"/>
  <c r="B501" i="7"/>
  <c r="C501" i="7"/>
  <c r="D501" i="7"/>
  <c r="F503" i="7"/>
  <c r="G503" i="7"/>
  <c r="H503" i="7"/>
  <c r="I503" i="7"/>
  <c r="E504" i="7"/>
  <c r="E505" i="7"/>
  <c r="E506" i="7"/>
  <c r="G506" i="7"/>
  <c r="H506" i="7"/>
  <c r="B508" i="7"/>
  <c r="C508" i="7"/>
  <c r="D508" i="7"/>
  <c r="E508" i="7"/>
  <c r="F509" i="7"/>
  <c r="G509" i="7"/>
  <c r="H509" i="7"/>
  <c r="I509" i="7"/>
  <c r="F510" i="7"/>
  <c r="G510" i="7"/>
  <c r="H510" i="7"/>
  <c r="I510" i="7"/>
  <c r="E511" i="7"/>
  <c r="E512" i="7"/>
  <c r="E513" i="7"/>
  <c r="G513" i="7"/>
  <c r="H513" i="7"/>
  <c r="B516" i="7"/>
  <c r="B517" i="7"/>
  <c r="C517" i="7"/>
  <c r="D517" i="7"/>
  <c r="E517" i="7"/>
  <c r="F518" i="7"/>
  <c r="G518" i="7"/>
  <c r="H518" i="7"/>
  <c r="I518" i="7"/>
  <c r="E519" i="7"/>
  <c r="E520" i="7"/>
  <c r="E521" i="7"/>
  <c r="G521" i="7"/>
  <c r="H521" i="7"/>
  <c r="B523" i="7"/>
  <c r="C523" i="7"/>
  <c r="D523" i="7"/>
  <c r="E523" i="7"/>
  <c r="F524" i="7"/>
  <c r="G524" i="7"/>
  <c r="H524" i="7"/>
  <c r="I524" i="7"/>
  <c r="E525" i="7"/>
  <c r="E526" i="7"/>
  <c r="E527" i="7"/>
  <c r="G527" i="7"/>
  <c r="H527" i="7"/>
  <c r="B529" i="7"/>
  <c r="C529" i="7"/>
  <c r="D529" i="7"/>
  <c r="F531" i="7"/>
  <c r="G531" i="7"/>
  <c r="H531" i="7"/>
  <c r="I531" i="7"/>
  <c r="E532" i="7"/>
  <c r="E533" i="7"/>
  <c r="E534" i="7"/>
  <c r="G534" i="7"/>
  <c r="H534" i="7"/>
  <c r="B536" i="7"/>
  <c r="C536" i="7"/>
  <c r="D536" i="7"/>
  <c r="E536" i="7"/>
  <c r="F537" i="7"/>
  <c r="G537" i="7"/>
  <c r="H537" i="7"/>
  <c r="I537" i="7"/>
  <c r="F538" i="7"/>
  <c r="G538" i="7"/>
  <c r="H538" i="7"/>
  <c r="I538" i="7"/>
  <c r="E539" i="7"/>
  <c r="E540" i="7"/>
  <c r="E541" i="7"/>
  <c r="G541" i="7"/>
  <c r="H541" i="7"/>
  <c r="B543" i="7"/>
  <c r="C543" i="7"/>
  <c r="D543" i="7"/>
  <c r="F545" i="7"/>
  <c r="G545" i="7"/>
  <c r="H545" i="7"/>
  <c r="I545" i="7"/>
  <c r="F546" i="7"/>
  <c r="G546" i="7"/>
  <c r="H546" i="7"/>
  <c r="I546" i="7"/>
  <c r="E547" i="7"/>
  <c r="E548" i="7"/>
  <c r="E549" i="7"/>
  <c r="G549" i="7"/>
  <c r="H549" i="7"/>
  <c r="B551" i="7"/>
  <c r="C551" i="7"/>
  <c r="D551" i="7"/>
  <c r="F553" i="7"/>
  <c r="G553" i="7"/>
  <c r="H553" i="7"/>
  <c r="I553" i="7"/>
  <c r="E554" i="7"/>
  <c r="E555" i="7"/>
  <c r="E556" i="7"/>
  <c r="G556" i="7"/>
  <c r="H556" i="7"/>
  <c r="B558" i="7"/>
  <c r="C558" i="7"/>
  <c r="D558" i="7"/>
  <c r="F560" i="7"/>
  <c r="G560" i="7"/>
  <c r="H560" i="7"/>
  <c r="I560" i="7"/>
  <c r="F561" i="7"/>
  <c r="G561" i="7"/>
  <c r="H561" i="7"/>
  <c r="I561" i="7"/>
  <c r="B562" i="7"/>
  <c r="C562" i="7"/>
  <c r="D562" i="7"/>
  <c r="F562" i="7"/>
  <c r="H562" i="7"/>
  <c r="I562" i="7"/>
  <c r="E563" i="7"/>
  <c r="E564" i="7"/>
  <c r="E565" i="7"/>
  <c r="G565" i="7"/>
  <c r="H565" i="7"/>
  <c r="B567" i="7"/>
  <c r="C567" i="7"/>
  <c r="D567" i="7"/>
  <c r="F569" i="7"/>
  <c r="G569" i="7"/>
  <c r="H569" i="7"/>
  <c r="I569" i="7"/>
  <c r="F570" i="7"/>
  <c r="G570" i="7"/>
  <c r="H570" i="7"/>
  <c r="I570" i="7"/>
  <c r="E571" i="7"/>
  <c r="E572" i="7"/>
  <c r="E573" i="7"/>
  <c r="G573" i="7"/>
  <c r="H573" i="7"/>
  <c r="B575" i="7"/>
  <c r="C575" i="7"/>
  <c r="D575" i="7"/>
  <c r="F577" i="7"/>
  <c r="G577" i="7"/>
  <c r="H577" i="7"/>
  <c r="I577" i="7"/>
  <c r="E578" i="7"/>
  <c r="E579" i="7"/>
  <c r="E580" i="7"/>
  <c r="G580" i="7"/>
  <c r="H580" i="7"/>
  <c r="B582" i="7"/>
  <c r="C582" i="7"/>
  <c r="D582" i="7"/>
  <c r="F584" i="7"/>
  <c r="G584" i="7"/>
  <c r="H584" i="7"/>
  <c r="I584" i="7"/>
  <c r="E585" i="7"/>
  <c r="E586" i="7"/>
  <c r="E587" i="7"/>
  <c r="G587" i="7"/>
  <c r="H587" i="7"/>
  <c r="B590" i="7"/>
  <c r="B591" i="7"/>
  <c r="C591" i="7"/>
  <c r="D591" i="7"/>
  <c r="F593" i="7"/>
  <c r="G593" i="7"/>
  <c r="H593" i="7"/>
  <c r="I593" i="7"/>
  <c r="E594" i="7"/>
  <c r="E595" i="7"/>
  <c r="E596" i="7"/>
  <c r="G596" i="7"/>
  <c r="H596" i="7"/>
  <c r="B598" i="7"/>
  <c r="C598" i="7"/>
  <c r="D598" i="7"/>
  <c r="F600" i="7"/>
  <c r="G600" i="7"/>
  <c r="H600" i="7"/>
  <c r="I600" i="7"/>
  <c r="E601" i="7"/>
  <c r="E602" i="7"/>
  <c r="E603" i="7"/>
  <c r="G603" i="7"/>
  <c r="H603" i="7"/>
  <c r="B605" i="7"/>
  <c r="C605" i="7"/>
  <c r="D605" i="7"/>
  <c r="E605" i="7"/>
  <c r="F606" i="7"/>
  <c r="G606" i="7"/>
  <c r="H606" i="7"/>
  <c r="I606" i="7"/>
  <c r="F607" i="7"/>
  <c r="G607" i="7"/>
  <c r="H607" i="7"/>
  <c r="I607" i="7"/>
  <c r="E608" i="7"/>
  <c r="E609" i="7"/>
  <c r="E610" i="7"/>
  <c r="G610" i="7"/>
  <c r="H610" i="7"/>
  <c r="A619" i="7"/>
  <c r="A621" i="7"/>
  <c r="B622" i="7"/>
  <c r="C622" i="7"/>
  <c r="D622" i="7"/>
  <c r="E622" i="7"/>
  <c r="F623" i="7"/>
  <c r="G623" i="7"/>
  <c r="H623" i="7"/>
  <c r="I623" i="7"/>
  <c r="F624" i="7"/>
  <c r="G624" i="7"/>
  <c r="H624" i="7"/>
  <c r="I624" i="7"/>
  <c r="F625" i="7"/>
  <c r="G625" i="7"/>
  <c r="H625" i="7"/>
  <c r="I625" i="7"/>
  <c r="F626" i="7"/>
  <c r="G626" i="7"/>
  <c r="H626" i="7"/>
  <c r="I626" i="7"/>
  <c r="E627" i="7"/>
  <c r="E628" i="7"/>
  <c r="E629" i="7"/>
  <c r="E630" i="7"/>
  <c r="G630" i="7"/>
  <c r="H630" i="7"/>
  <c r="B632" i="7"/>
  <c r="C632" i="7"/>
  <c r="D632" i="7"/>
  <c r="E632" i="7"/>
  <c r="F633" i="7"/>
  <c r="G633" i="7"/>
  <c r="H633" i="7"/>
  <c r="I633" i="7"/>
  <c r="F634" i="7"/>
  <c r="G634" i="7"/>
  <c r="H634" i="7"/>
  <c r="I634" i="7"/>
  <c r="F635" i="7"/>
  <c r="G635" i="7"/>
  <c r="H635" i="7"/>
  <c r="I635" i="7"/>
  <c r="F636" i="7"/>
  <c r="G636" i="7"/>
  <c r="H636" i="7"/>
  <c r="I636" i="7"/>
  <c r="E637" i="7"/>
  <c r="E638" i="7"/>
  <c r="E639" i="7"/>
  <c r="E640" i="7"/>
  <c r="G640" i="7"/>
  <c r="H640" i="7"/>
  <c r="B642" i="7"/>
  <c r="C642" i="7"/>
  <c r="D642" i="7"/>
  <c r="E642" i="7"/>
  <c r="F643" i="7"/>
  <c r="G643" i="7"/>
  <c r="H643" i="7"/>
  <c r="I643" i="7"/>
  <c r="F644" i="7"/>
  <c r="G644" i="7"/>
  <c r="H644" i="7"/>
  <c r="I644" i="7"/>
  <c r="F645" i="7"/>
  <c r="G645" i="7"/>
  <c r="H645" i="7"/>
  <c r="I645" i="7"/>
  <c r="F646" i="7"/>
  <c r="G646" i="7"/>
  <c r="H646" i="7"/>
  <c r="I646" i="7"/>
  <c r="E647" i="7"/>
  <c r="E648" i="7"/>
  <c r="E649" i="7"/>
  <c r="E650" i="7"/>
  <c r="G650" i="7"/>
  <c r="H650" i="7"/>
  <c r="B652" i="7"/>
  <c r="C652" i="7"/>
  <c r="D652" i="7"/>
  <c r="E652" i="7"/>
  <c r="F653" i="7"/>
  <c r="G653" i="7"/>
  <c r="H653" i="7"/>
  <c r="I653" i="7"/>
  <c r="F654" i="7"/>
  <c r="G654" i="7"/>
  <c r="H654" i="7"/>
  <c r="I654" i="7"/>
  <c r="F655" i="7"/>
  <c r="G655" i="7"/>
  <c r="H655" i="7"/>
  <c r="I655" i="7"/>
  <c r="F656" i="7"/>
  <c r="G656" i="7"/>
  <c r="H656" i="7"/>
  <c r="I656" i="7"/>
  <c r="E657" i="7"/>
  <c r="E658" i="7"/>
  <c r="E659" i="7"/>
  <c r="E660" i="7"/>
  <c r="G660" i="7"/>
  <c r="H660" i="7"/>
  <c r="B662" i="7"/>
  <c r="C662" i="7"/>
  <c r="D662" i="7"/>
  <c r="E662" i="7"/>
  <c r="F663" i="7"/>
  <c r="G663" i="7"/>
  <c r="H663" i="7"/>
  <c r="I663" i="7"/>
  <c r="F664" i="7"/>
  <c r="G664" i="7"/>
  <c r="H664" i="7"/>
  <c r="I664" i="7"/>
  <c r="F665" i="7"/>
  <c r="G665" i="7"/>
  <c r="H665" i="7"/>
  <c r="I665" i="7"/>
  <c r="F666" i="7"/>
  <c r="G666" i="7"/>
  <c r="H666" i="7"/>
  <c r="I666" i="7"/>
  <c r="E667" i="7"/>
  <c r="E668" i="7"/>
  <c r="E669" i="7"/>
  <c r="E670" i="7"/>
  <c r="G670" i="7"/>
  <c r="H670" i="7"/>
  <c r="B672" i="7"/>
  <c r="C672" i="7"/>
  <c r="D672" i="7"/>
  <c r="E672" i="7"/>
  <c r="F673" i="7"/>
  <c r="G673" i="7"/>
  <c r="H673" i="7"/>
  <c r="I673" i="7"/>
  <c r="F674" i="7"/>
  <c r="G674" i="7"/>
  <c r="H674" i="7"/>
  <c r="I674" i="7"/>
  <c r="E675" i="7"/>
  <c r="E676" i="7"/>
  <c r="E677" i="7"/>
  <c r="G677" i="7"/>
  <c r="H677" i="7"/>
  <c r="B679" i="7"/>
  <c r="C679" i="7"/>
  <c r="D679" i="7"/>
  <c r="E679" i="7"/>
  <c r="F680" i="7"/>
  <c r="G680" i="7"/>
  <c r="H680" i="7"/>
  <c r="I680" i="7"/>
  <c r="F681" i="7"/>
  <c r="G681" i="7"/>
  <c r="H681" i="7"/>
  <c r="I681" i="7"/>
  <c r="E682" i="7"/>
  <c r="E683" i="7"/>
  <c r="E684" i="7"/>
  <c r="G684" i="7"/>
  <c r="H684" i="7"/>
  <c r="B687" i="7"/>
  <c r="B688" i="7"/>
  <c r="C688" i="7"/>
  <c r="D688" i="7"/>
  <c r="E688" i="7"/>
  <c r="F689" i="7"/>
  <c r="G689" i="7"/>
  <c r="H689" i="7"/>
  <c r="I689" i="7"/>
  <c r="F690" i="7"/>
  <c r="G690" i="7"/>
  <c r="H690" i="7"/>
  <c r="I690" i="7"/>
  <c r="F691" i="7"/>
  <c r="G691" i="7"/>
  <c r="H691" i="7"/>
  <c r="I691" i="7"/>
  <c r="F692" i="7"/>
  <c r="G692" i="7"/>
  <c r="H692" i="7"/>
  <c r="I692" i="7"/>
  <c r="E693" i="7"/>
  <c r="E694" i="7"/>
  <c r="E695" i="7"/>
  <c r="E696" i="7"/>
  <c r="G696" i="7"/>
  <c r="H696" i="7"/>
  <c r="B699" i="7"/>
  <c r="B700" i="7"/>
  <c r="C700" i="7"/>
  <c r="D700" i="7"/>
  <c r="F702" i="7"/>
  <c r="G702" i="7"/>
  <c r="H702" i="7"/>
  <c r="I702" i="7"/>
  <c r="F703" i="7"/>
  <c r="G703" i="7"/>
  <c r="H703" i="7"/>
  <c r="I703" i="7"/>
  <c r="F704" i="7"/>
  <c r="G704" i="7"/>
  <c r="H704" i="7"/>
  <c r="I704" i="7"/>
  <c r="E705" i="7"/>
  <c r="E706" i="7"/>
  <c r="E707" i="7"/>
  <c r="E708" i="7"/>
  <c r="G708" i="7"/>
  <c r="H708" i="7"/>
  <c r="B710" i="7"/>
  <c r="C710" i="7"/>
  <c r="D710" i="7"/>
  <c r="F712" i="7"/>
  <c r="G712" i="7"/>
  <c r="H712" i="7"/>
  <c r="I712" i="7"/>
  <c r="E713" i="7"/>
  <c r="E714" i="7"/>
  <c r="E715" i="7"/>
  <c r="G715" i="7"/>
  <c r="H715" i="7"/>
  <c r="B717" i="7"/>
  <c r="C717" i="7"/>
  <c r="D717" i="7"/>
  <c r="F719" i="7"/>
  <c r="G719" i="7"/>
  <c r="H719" i="7"/>
  <c r="I719" i="7"/>
  <c r="E720" i="7"/>
  <c r="E721" i="7"/>
  <c r="E722" i="7"/>
  <c r="G722" i="7"/>
  <c r="H722" i="7"/>
  <c r="A728" i="7"/>
  <c r="B729" i="7"/>
  <c r="C729" i="7"/>
  <c r="D729" i="7"/>
  <c r="E729" i="7"/>
  <c r="F730" i="7"/>
  <c r="G730" i="7"/>
  <c r="H730" i="7"/>
  <c r="I730" i="7"/>
  <c r="F731" i="7"/>
  <c r="G731" i="7"/>
  <c r="H731" i="7"/>
  <c r="I731" i="7"/>
  <c r="F732" i="7"/>
  <c r="G732" i="7"/>
  <c r="H732" i="7"/>
  <c r="I732" i="7"/>
  <c r="F733" i="7"/>
  <c r="G733" i="7"/>
  <c r="H733" i="7"/>
  <c r="I733" i="7"/>
  <c r="E734" i="7"/>
  <c r="E735" i="7"/>
  <c r="E736" i="7"/>
  <c r="E737" i="7"/>
  <c r="G737" i="7"/>
  <c r="H737" i="7"/>
  <c r="B739" i="7"/>
  <c r="C739" i="7"/>
  <c r="D739" i="7"/>
  <c r="F741" i="7"/>
  <c r="G741" i="7"/>
  <c r="H741" i="7"/>
  <c r="I741" i="7"/>
  <c r="F742" i="7"/>
  <c r="G742" i="7"/>
  <c r="H742" i="7"/>
  <c r="I742" i="7"/>
  <c r="F743" i="7"/>
  <c r="G743" i="7"/>
  <c r="H743" i="7"/>
  <c r="I743" i="7"/>
  <c r="F744" i="7"/>
  <c r="G744" i="7"/>
  <c r="H744" i="7"/>
  <c r="I744" i="7"/>
  <c r="E745" i="7"/>
  <c r="E746" i="7"/>
  <c r="E747" i="7"/>
  <c r="E748" i="7"/>
  <c r="G748" i="7"/>
  <c r="H748" i="7"/>
  <c r="B750" i="7"/>
  <c r="C750" i="7"/>
  <c r="D750" i="7"/>
  <c r="F751" i="7"/>
  <c r="G751" i="7"/>
  <c r="H751" i="7"/>
  <c r="I751" i="7"/>
  <c r="F752" i="7"/>
  <c r="G752" i="7"/>
  <c r="H752" i="7"/>
  <c r="I752" i="7"/>
  <c r="F753" i="7"/>
  <c r="G753" i="7"/>
  <c r="H753" i="7"/>
  <c r="I753" i="7"/>
  <c r="E754" i="7"/>
  <c r="E755" i="7"/>
  <c r="E756" i="7"/>
  <c r="E757" i="7"/>
  <c r="G757" i="7"/>
  <c r="H757" i="7"/>
  <c r="B759" i="7"/>
  <c r="C759" i="7"/>
  <c r="D759" i="7"/>
  <c r="E759" i="7"/>
  <c r="F760" i="7"/>
  <c r="G760" i="7"/>
  <c r="H760" i="7"/>
  <c r="I760" i="7"/>
  <c r="F761" i="7"/>
  <c r="G761" i="7"/>
  <c r="H761" i="7"/>
  <c r="I761" i="7"/>
  <c r="F762" i="7"/>
  <c r="G762" i="7"/>
  <c r="H762" i="7"/>
  <c r="I762" i="7"/>
  <c r="F763" i="7"/>
  <c r="G763" i="7"/>
  <c r="H763" i="7"/>
  <c r="I763" i="7"/>
  <c r="E764" i="7"/>
  <c r="E765" i="7"/>
  <c r="E766" i="7"/>
  <c r="E767" i="7"/>
  <c r="G767" i="7"/>
  <c r="H767" i="7"/>
  <c r="B769" i="7"/>
  <c r="C769" i="7"/>
  <c r="D769" i="7"/>
  <c r="E769" i="7"/>
  <c r="F770" i="7"/>
  <c r="G770" i="7"/>
  <c r="H770" i="7"/>
  <c r="I770" i="7"/>
  <c r="F771" i="7"/>
  <c r="G771" i="7"/>
  <c r="H771" i="7"/>
  <c r="I771" i="7"/>
  <c r="E772" i="7"/>
  <c r="E773" i="7"/>
  <c r="E774" i="7"/>
  <c r="G774" i="7"/>
  <c r="H774" i="7"/>
  <c r="B776" i="7"/>
  <c r="C776" i="7"/>
  <c r="D776" i="7"/>
  <c r="E776" i="7"/>
  <c r="F777" i="7"/>
  <c r="G777" i="7"/>
  <c r="H777" i="7"/>
  <c r="I777" i="7"/>
  <c r="F778" i="7"/>
  <c r="G778" i="7"/>
  <c r="H778" i="7"/>
  <c r="I778" i="7"/>
  <c r="F779" i="7"/>
  <c r="G779" i="7"/>
  <c r="H779" i="7"/>
  <c r="I779" i="7"/>
  <c r="F780" i="7"/>
  <c r="G780" i="7"/>
  <c r="H780" i="7"/>
  <c r="I780" i="7"/>
  <c r="E781" i="7"/>
  <c r="E782" i="7"/>
  <c r="E783" i="7"/>
  <c r="E784" i="7"/>
  <c r="G784" i="7"/>
  <c r="H784" i="7"/>
  <c r="B786" i="7"/>
  <c r="C786" i="7"/>
  <c r="D786" i="7"/>
  <c r="E786" i="7"/>
  <c r="F787" i="7"/>
  <c r="G787" i="7"/>
  <c r="H787" i="7"/>
  <c r="I787" i="7"/>
  <c r="F788" i="7"/>
  <c r="G788" i="7"/>
  <c r="H788" i="7"/>
  <c r="I788" i="7"/>
  <c r="F789" i="7"/>
  <c r="G789" i="7"/>
  <c r="H789" i="7"/>
  <c r="I789" i="7"/>
  <c r="F790" i="7"/>
  <c r="G790" i="7"/>
  <c r="H790" i="7"/>
  <c r="I790" i="7"/>
  <c r="E791" i="7"/>
  <c r="E792" i="7"/>
  <c r="E793" i="7"/>
  <c r="E794" i="7"/>
  <c r="G794" i="7"/>
  <c r="H794" i="7"/>
  <c r="B797" i="7"/>
  <c r="B799" i="7"/>
  <c r="A804" i="7"/>
  <c r="B805" i="7"/>
  <c r="C805" i="7"/>
  <c r="D805" i="7"/>
  <c r="F807" i="7"/>
  <c r="G807" i="7"/>
  <c r="H807" i="7"/>
  <c r="I807" i="7"/>
  <c r="F808" i="7"/>
  <c r="G808" i="7"/>
  <c r="H808" i="7"/>
  <c r="I808" i="7"/>
  <c r="F809" i="7"/>
  <c r="G809" i="7"/>
  <c r="H809" i="7"/>
  <c r="I809" i="7"/>
  <c r="F810" i="7"/>
  <c r="G810" i="7"/>
  <c r="H810" i="7"/>
  <c r="I810" i="7"/>
  <c r="E811" i="7"/>
  <c r="E812" i="7"/>
  <c r="E813" i="7"/>
  <c r="E814" i="7"/>
  <c r="G814" i="7"/>
  <c r="H814" i="7"/>
  <c r="A823" i="7"/>
  <c r="A825" i="7"/>
  <c r="B827" i="7"/>
  <c r="B828" i="7"/>
  <c r="C828" i="7"/>
  <c r="D828" i="7"/>
  <c r="F830" i="7"/>
  <c r="G830" i="7"/>
  <c r="H830" i="7"/>
  <c r="I830" i="7"/>
  <c r="F831" i="7"/>
  <c r="G831" i="7"/>
  <c r="H831" i="7"/>
  <c r="I831" i="7"/>
  <c r="E832" i="7"/>
  <c r="E833" i="7"/>
  <c r="E834" i="7"/>
  <c r="G834" i="7"/>
  <c r="H834" i="7"/>
  <c r="B836" i="7"/>
  <c r="C836" i="7"/>
  <c r="D836" i="7"/>
  <c r="F838" i="7"/>
  <c r="G838" i="7"/>
  <c r="H838" i="7"/>
  <c r="I838" i="7"/>
  <c r="F839" i="7"/>
  <c r="G839" i="7"/>
  <c r="H839" i="7"/>
  <c r="I839" i="7"/>
  <c r="E840" i="7"/>
  <c r="E841" i="7"/>
  <c r="E842" i="7"/>
  <c r="G842" i="7"/>
  <c r="H842" i="7"/>
  <c r="B844" i="7"/>
  <c r="C844" i="7"/>
  <c r="D844" i="7"/>
  <c r="E844" i="7"/>
  <c r="F845" i="7"/>
  <c r="G845" i="7"/>
  <c r="H845" i="7"/>
  <c r="I845" i="7"/>
  <c r="F846" i="7"/>
  <c r="G846" i="7"/>
  <c r="H846" i="7"/>
  <c r="I846" i="7"/>
  <c r="E847" i="7"/>
  <c r="E848" i="7"/>
  <c r="E849" i="7"/>
  <c r="G849" i="7"/>
  <c r="H849" i="7"/>
  <c r="B851" i="7"/>
  <c r="C851" i="7"/>
  <c r="D851" i="7"/>
  <c r="E851" i="7"/>
  <c r="F852" i="7"/>
  <c r="G852" i="7"/>
  <c r="H852" i="7"/>
  <c r="I852" i="7"/>
  <c r="F853" i="7"/>
  <c r="G853" i="7"/>
  <c r="H853" i="7"/>
  <c r="I853" i="7"/>
  <c r="E854" i="7"/>
  <c r="E855" i="7"/>
  <c r="E856" i="7"/>
  <c r="G856" i="7"/>
  <c r="H856" i="7"/>
  <c r="B858" i="7"/>
  <c r="C858" i="7"/>
  <c r="D858" i="7"/>
  <c r="E858" i="7"/>
  <c r="F859" i="7"/>
  <c r="G859" i="7"/>
  <c r="H859" i="7"/>
  <c r="I859" i="7"/>
  <c r="F860" i="7"/>
  <c r="G860" i="7"/>
  <c r="H860" i="7"/>
  <c r="I860" i="7"/>
  <c r="E861" i="7"/>
  <c r="E862" i="7"/>
  <c r="E863" i="7"/>
  <c r="G863" i="7"/>
  <c r="H863" i="7"/>
  <c r="B865" i="7"/>
  <c r="C865" i="7"/>
  <c r="D865" i="7"/>
  <c r="E865" i="7"/>
  <c r="F866" i="7"/>
  <c r="G866" i="7"/>
  <c r="H866" i="7"/>
  <c r="I866" i="7"/>
  <c r="F867" i="7"/>
  <c r="G867" i="7"/>
  <c r="H867" i="7"/>
  <c r="I867" i="7"/>
  <c r="E868" i="7"/>
  <c r="E869" i="7"/>
  <c r="E870" i="7"/>
  <c r="G870" i="7"/>
  <c r="H870" i="7"/>
  <c r="B872" i="7"/>
  <c r="C872" i="7"/>
  <c r="D872" i="7"/>
  <c r="F874" i="7"/>
  <c r="G874" i="7"/>
  <c r="H874" i="7"/>
  <c r="I874" i="7"/>
  <c r="F875" i="7"/>
  <c r="G875" i="7"/>
  <c r="H875" i="7"/>
  <c r="I875" i="7"/>
  <c r="E876" i="7"/>
  <c r="E877" i="7"/>
  <c r="E878" i="7"/>
  <c r="G878" i="7"/>
  <c r="H878" i="7"/>
  <c r="B880" i="7"/>
  <c r="C880" i="7"/>
  <c r="D880" i="7"/>
  <c r="F882" i="7"/>
  <c r="G882" i="7"/>
  <c r="H882" i="7"/>
  <c r="I882" i="7"/>
  <c r="E883" i="7"/>
  <c r="E884" i="7"/>
  <c r="E885" i="7"/>
  <c r="G885" i="7"/>
  <c r="H885" i="7"/>
  <c r="B887" i="7"/>
  <c r="C887" i="7"/>
  <c r="D887" i="7"/>
  <c r="F888" i="7"/>
  <c r="G888" i="7"/>
  <c r="H888" i="7"/>
  <c r="I888" i="7"/>
  <c r="F889" i="7"/>
  <c r="G889" i="7"/>
  <c r="H889" i="7"/>
  <c r="I889" i="7"/>
  <c r="E890" i="7"/>
  <c r="E891" i="7"/>
  <c r="E892" i="7"/>
  <c r="G892" i="7"/>
  <c r="H892" i="7"/>
  <c r="B894" i="7"/>
  <c r="C894" i="7"/>
  <c r="D894" i="7"/>
  <c r="E894" i="7"/>
  <c r="F895" i="7"/>
  <c r="G895" i="7"/>
  <c r="H895" i="7"/>
  <c r="I895" i="7"/>
  <c r="F896" i="7"/>
  <c r="G896" i="7"/>
  <c r="H896" i="7"/>
  <c r="I896" i="7"/>
  <c r="F897" i="7"/>
  <c r="G897" i="7"/>
  <c r="H897" i="7"/>
  <c r="I897" i="7"/>
  <c r="F898" i="7"/>
  <c r="G898" i="7"/>
  <c r="H898" i="7"/>
  <c r="I898" i="7"/>
  <c r="E899" i="7"/>
  <c r="E900" i="7"/>
  <c r="E901" i="7"/>
  <c r="E902" i="7"/>
  <c r="G902" i="7"/>
  <c r="H902" i="7"/>
  <c r="B905" i="7"/>
  <c r="B906" i="7"/>
  <c r="C906" i="7"/>
  <c r="D906" i="7"/>
  <c r="F908" i="7"/>
  <c r="G908" i="7"/>
  <c r="H908" i="7"/>
  <c r="I908" i="7"/>
  <c r="F909" i="7"/>
  <c r="G909" i="7"/>
  <c r="H909" i="7"/>
  <c r="I909" i="7"/>
  <c r="E910" i="7"/>
  <c r="E911" i="7"/>
  <c r="E912" i="7"/>
  <c r="G912" i="7"/>
  <c r="H912" i="7"/>
  <c r="B914" i="7"/>
  <c r="C914" i="7"/>
  <c r="D914" i="7"/>
  <c r="F916" i="7"/>
  <c r="G916" i="7"/>
  <c r="H916" i="7"/>
  <c r="I916" i="7"/>
  <c r="F917" i="7"/>
  <c r="G917" i="7"/>
  <c r="H917" i="7"/>
  <c r="I917" i="7"/>
  <c r="E918" i="7"/>
  <c r="E919" i="7"/>
  <c r="E920" i="7"/>
  <c r="G920" i="7"/>
  <c r="H920" i="7"/>
  <c r="B922" i="7"/>
  <c r="C922" i="7"/>
  <c r="D922" i="7"/>
  <c r="E922" i="7"/>
  <c r="F923" i="7"/>
  <c r="G923" i="7"/>
  <c r="H923" i="7"/>
  <c r="I923" i="7"/>
  <c r="F924" i="7"/>
  <c r="G924" i="7"/>
  <c r="H924" i="7"/>
  <c r="I924" i="7"/>
  <c r="E925" i="7"/>
  <c r="E926" i="7"/>
  <c r="E927" i="7"/>
  <c r="G927" i="7"/>
  <c r="H927" i="7"/>
  <c r="B929" i="7"/>
  <c r="C929" i="7"/>
  <c r="D929" i="7"/>
  <c r="F931" i="7"/>
  <c r="G931" i="7"/>
  <c r="H931" i="7"/>
  <c r="I931" i="7"/>
  <c r="F932" i="7"/>
  <c r="G932" i="7"/>
  <c r="H932" i="7"/>
  <c r="I932" i="7"/>
  <c r="E933" i="7"/>
  <c r="E934" i="7"/>
  <c r="E935" i="7"/>
  <c r="G935" i="7"/>
  <c r="H935" i="7"/>
  <c r="B937" i="7"/>
  <c r="C937" i="7"/>
  <c r="D937" i="7"/>
  <c r="F939" i="7"/>
  <c r="G939" i="7"/>
  <c r="H939" i="7"/>
  <c r="I939" i="7"/>
  <c r="E940" i="7"/>
  <c r="E941" i="7"/>
  <c r="E942" i="7"/>
  <c r="G942" i="7"/>
  <c r="H942" i="7"/>
  <c r="B944" i="7"/>
  <c r="C944" i="7"/>
  <c r="D944" i="7"/>
  <c r="F945" i="7"/>
  <c r="G945" i="7"/>
  <c r="H945" i="7"/>
  <c r="I945" i="7"/>
  <c r="F946" i="7"/>
  <c r="G946" i="7"/>
  <c r="H946" i="7"/>
  <c r="I946" i="7"/>
  <c r="E947" i="7"/>
  <c r="E948" i="7"/>
  <c r="E949" i="7"/>
  <c r="G949" i="7"/>
  <c r="H949" i="7"/>
  <c r="B951" i="7"/>
  <c r="C951" i="7"/>
  <c r="D951" i="7"/>
  <c r="E951" i="7"/>
  <c r="F952" i="7"/>
  <c r="G952" i="7"/>
  <c r="H952" i="7"/>
  <c r="I952" i="7"/>
  <c r="F953" i="7"/>
  <c r="G953" i="7"/>
  <c r="H953" i="7"/>
  <c r="I953" i="7"/>
  <c r="F954" i="7"/>
  <c r="G954" i="7"/>
  <c r="H954" i="7"/>
  <c r="I954" i="7"/>
  <c r="F955" i="7"/>
  <c r="G955" i="7"/>
  <c r="H955" i="7"/>
  <c r="I955" i="7"/>
  <c r="E956" i="7"/>
  <c r="E957" i="7"/>
  <c r="E958" i="7"/>
  <c r="E959" i="7"/>
  <c r="G959" i="7"/>
  <c r="H959" i="7"/>
  <c r="B962" i="7"/>
  <c r="B963" i="7"/>
  <c r="C963" i="7"/>
  <c r="D963" i="7"/>
  <c r="F965" i="7"/>
  <c r="G965" i="7"/>
  <c r="H965" i="7"/>
  <c r="I965" i="7"/>
  <c r="F966" i="7"/>
  <c r="G966" i="7"/>
  <c r="H966" i="7"/>
  <c r="I966" i="7"/>
  <c r="E967" i="7"/>
  <c r="E968" i="7"/>
  <c r="E969" i="7"/>
  <c r="G969" i="7"/>
  <c r="H969" i="7"/>
  <c r="B971" i="7"/>
  <c r="C971" i="7"/>
  <c r="D971" i="7"/>
  <c r="F973" i="7"/>
  <c r="G973" i="7"/>
  <c r="H973" i="7"/>
  <c r="I973" i="7"/>
  <c r="F974" i="7"/>
  <c r="G974" i="7"/>
  <c r="H974" i="7"/>
  <c r="I974" i="7"/>
  <c r="E975" i="7"/>
  <c r="E976" i="7"/>
  <c r="E977" i="7"/>
  <c r="G977" i="7"/>
  <c r="H977" i="7"/>
  <c r="B979" i="7"/>
  <c r="C979" i="7"/>
  <c r="D979" i="7"/>
  <c r="E979" i="7"/>
  <c r="F980" i="7"/>
  <c r="G980" i="7"/>
  <c r="H980" i="7"/>
  <c r="I980" i="7"/>
  <c r="F981" i="7"/>
  <c r="G981" i="7"/>
  <c r="H981" i="7"/>
  <c r="I981" i="7"/>
  <c r="E982" i="7"/>
  <c r="E983" i="7"/>
  <c r="E984" i="7"/>
  <c r="G984" i="7"/>
  <c r="H984" i="7"/>
  <c r="B986" i="7"/>
  <c r="C986" i="7"/>
  <c r="D986" i="7"/>
  <c r="E986" i="7"/>
  <c r="F987" i="7"/>
  <c r="G987" i="7"/>
  <c r="H987" i="7"/>
  <c r="I987" i="7"/>
  <c r="F988" i="7"/>
  <c r="G988" i="7"/>
  <c r="H988" i="7"/>
  <c r="I988" i="7"/>
  <c r="E989" i="7"/>
  <c r="E990" i="7"/>
  <c r="E991" i="7"/>
  <c r="G991" i="7"/>
  <c r="H991" i="7"/>
  <c r="B993" i="7"/>
  <c r="C993" i="7"/>
  <c r="D993" i="7"/>
  <c r="E993" i="7"/>
  <c r="F994" i="7"/>
  <c r="G994" i="7"/>
  <c r="H994" i="7"/>
  <c r="I994" i="7"/>
  <c r="F995" i="7"/>
  <c r="G995" i="7"/>
  <c r="H995" i="7"/>
  <c r="I995" i="7"/>
  <c r="E996" i="7"/>
  <c r="E997" i="7"/>
  <c r="E998" i="7"/>
  <c r="G998" i="7"/>
  <c r="H998" i="7"/>
  <c r="B1000" i="7"/>
  <c r="C1000" i="7"/>
  <c r="D1000" i="7"/>
  <c r="E1000" i="7"/>
  <c r="F1001" i="7"/>
  <c r="G1001" i="7"/>
  <c r="H1001" i="7"/>
  <c r="I1001" i="7"/>
  <c r="F1002" i="7"/>
  <c r="G1002" i="7"/>
  <c r="H1002" i="7"/>
  <c r="I1002" i="7"/>
  <c r="E1003" i="7"/>
  <c r="E1004" i="7"/>
  <c r="E1005" i="7"/>
  <c r="G1005" i="7"/>
  <c r="H1005" i="7"/>
  <c r="B1007" i="7"/>
  <c r="C1007" i="7"/>
  <c r="D1007" i="7"/>
  <c r="F1009" i="7"/>
  <c r="G1009" i="7"/>
  <c r="H1009" i="7"/>
  <c r="I1009" i="7"/>
  <c r="F1010" i="7"/>
  <c r="G1010" i="7"/>
  <c r="H1010" i="7"/>
  <c r="I1010" i="7"/>
  <c r="E1011" i="7"/>
  <c r="E1012" i="7"/>
  <c r="E1013" i="7"/>
  <c r="G1013" i="7"/>
  <c r="H1013" i="7"/>
  <c r="B1015" i="7"/>
  <c r="C1015" i="7"/>
  <c r="D1015" i="7"/>
  <c r="F1017" i="7"/>
  <c r="G1017" i="7"/>
  <c r="H1017" i="7"/>
  <c r="I1017" i="7"/>
  <c r="E1018" i="7"/>
  <c r="E1019" i="7"/>
  <c r="E1020" i="7"/>
  <c r="G1020" i="7"/>
  <c r="H1020" i="7"/>
  <c r="B1022" i="7"/>
  <c r="C1022" i="7"/>
  <c r="D1022" i="7"/>
  <c r="F1023" i="7"/>
  <c r="G1023" i="7"/>
  <c r="H1023" i="7"/>
  <c r="I1023" i="7"/>
  <c r="F1024" i="7"/>
  <c r="G1024" i="7"/>
  <c r="H1024" i="7"/>
  <c r="I1024" i="7"/>
  <c r="E1025" i="7"/>
  <c r="E1026" i="7"/>
  <c r="E1027" i="7"/>
  <c r="G1027" i="7"/>
  <c r="H1027" i="7"/>
  <c r="B1029" i="7"/>
  <c r="C1029" i="7"/>
  <c r="D1029" i="7"/>
  <c r="E1029" i="7"/>
  <c r="F1030" i="7"/>
  <c r="G1030" i="7"/>
  <c r="H1030" i="7"/>
  <c r="I1030" i="7"/>
  <c r="F1031" i="7"/>
  <c r="G1031" i="7"/>
  <c r="H1031" i="7"/>
  <c r="I1031" i="7"/>
  <c r="F1032" i="7"/>
  <c r="G1032" i="7"/>
  <c r="H1032" i="7"/>
  <c r="I1032" i="7"/>
  <c r="F1033" i="7"/>
  <c r="G1033" i="7"/>
  <c r="H1033" i="7"/>
  <c r="I1033" i="7"/>
  <c r="E1034" i="7"/>
  <c r="E1035" i="7"/>
  <c r="E1036" i="7"/>
  <c r="E1037" i="7"/>
  <c r="G1037" i="7"/>
  <c r="H1037" i="7"/>
  <c r="B1040" i="7"/>
  <c r="B1041" i="7"/>
  <c r="C1041" i="7"/>
  <c r="D1041" i="7"/>
  <c r="E1041" i="7"/>
  <c r="F1042" i="7"/>
  <c r="G1042" i="7"/>
  <c r="H1042" i="7"/>
  <c r="I1042" i="7"/>
  <c r="F1043" i="7"/>
  <c r="G1043" i="7"/>
  <c r="H1043" i="7"/>
  <c r="I1043" i="7"/>
  <c r="E1044" i="7"/>
  <c r="E1045" i="7"/>
  <c r="E1046" i="7"/>
  <c r="G1046" i="7"/>
  <c r="H1046" i="7"/>
  <c r="B1048" i="7"/>
  <c r="C1048" i="7"/>
  <c r="D1048" i="7"/>
  <c r="E1048" i="7"/>
  <c r="F1049" i="7"/>
  <c r="G1049" i="7"/>
  <c r="H1049" i="7"/>
  <c r="I1049" i="7"/>
  <c r="F1050" i="7"/>
  <c r="G1050" i="7"/>
  <c r="H1050" i="7"/>
  <c r="I1050" i="7"/>
  <c r="E1051" i="7"/>
  <c r="E1052" i="7"/>
  <c r="E1053" i="7"/>
  <c r="G1053" i="7"/>
  <c r="H1053" i="7"/>
  <c r="B1055" i="7"/>
  <c r="C1055" i="7"/>
  <c r="D1055" i="7"/>
  <c r="F1057" i="7"/>
  <c r="G1057" i="7"/>
  <c r="H1057" i="7"/>
  <c r="I1057" i="7"/>
  <c r="F1058" i="7"/>
  <c r="G1058" i="7"/>
  <c r="H1058" i="7"/>
  <c r="I1058" i="7"/>
  <c r="E1059" i="7"/>
  <c r="E1060" i="7"/>
  <c r="E1061" i="7"/>
  <c r="G1061" i="7"/>
  <c r="H1061" i="7"/>
  <c r="B1063" i="7"/>
  <c r="C1063" i="7"/>
  <c r="D1063" i="7"/>
  <c r="F1065" i="7"/>
  <c r="G1065" i="7"/>
  <c r="H1065" i="7"/>
  <c r="I1065" i="7"/>
  <c r="E1066" i="7"/>
  <c r="E1067" i="7"/>
  <c r="E1068" i="7"/>
  <c r="G1068" i="7"/>
  <c r="H1068" i="7"/>
  <c r="B1070" i="7"/>
  <c r="C1070" i="7"/>
  <c r="D1070" i="7"/>
  <c r="E1070" i="7"/>
  <c r="F1071" i="7"/>
  <c r="G1071" i="7"/>
  <c r="H1071" i="7"/>
  <c r="I1071" i="7"/>
  <c r="F1072" i="7"/>
  <c r="G1072" i="7"/>
  <c r="H1072" i="7"/>
  <c r="I1072" i="7"/>
  <c r="E1073" i="7"/>
  <c r="E1074" i="7"/>
  <c r="E1075" i="7"/>
  <c r="G1075" i="7"/>
  <c r="H1075" i="7"/>
  <c r="B1077" i="7"/>
  <c r="C1077" i="7"/>
  <c r="D1077" i="7"/>
  <c r="E1077" i="7"/>
  <c r="F1078" i="7"/>
  <c r="G1078" i="7"/>
  <c r="H1078" i="7"/>
  <c r="I1078" i="7"/>
  <c r="F1079" i="7"/>
  <c r="G1079" i="7"/>
  <c r="H1079" i="7"/>
  <c r="I1079" i="7"/>
  <c r="F1080" i="7"/>
  <c r="G1080" i="7"/>
  <c r="H1080" i="7"/>
  <c r="I1080" i="7"/>
  <c r="F1081" i="7"/>
  <c r="G1081" i="7"/>
  <c r="H1081" i="7"/>
  <c r="I1081" i="7"/>
  <c r="E1082" i="7"/>
  <c r="E1083" i="7"/>
  <c r="E1084" i="7"/>
  <c r="E1085" i="7"/>
  <c r="G1085" i="7"/>
  <c r="H1085" i="7"/>
  <c r="B1088" i="7"/>
  <c r="B1089" i="7"/>
  <c r="C1089" i="7"/>
  <c r="D1089" i="7"/>
  <c r="E1089" i="7"/>
  <c r="F1090" i="7"/>
  <c r="G1090" i="7"/>
  <c r="H1090" i="7"/>
  <c r="I1090" i="7"/>
  <c r="F1091" i="7"/>
  <c r="G1091" i="7"/>
  <c r="H1091" i="7"/>
  <c r="I1091" i="7"/>
  <c r="E1092" i="7"/>
  <c r="E1093" i="7"/>
  <c r="E1094" i="7"/>
  <c r="G1094" i="7"/>
  <c r="H1094" i="7"/>
  <c r="B1096" i="7"/>
  <c r="C1096" i="7"/>
  <c r="D1096" i="7"/>
  <c r="E1096" i="7"/>
  <c r="F1097" i="7"/>
  <c r="G1097" i="7"/>
  <c r="H1097" i="7"/>
  <c r="I1097" i="7"/>
  <c r="F1098" i="7"/>
  <c r="G1098" i="7"/>
  <c r="H1098" i="7"/>
  <c r="I1098" i="7"/>
  <c r="E1099" i="7"/>
  <c r="E1100" i="7"/>
  <c r="E1101" i="7"/>
  <c r="G1101" i="7"/>
  <c r="H1101" i="7"/>
  <c r="B1103" i="7"/>
  <c r="C1103" i="7"/>
  <c r="D1103" i="7"/>
  <c r="E1103" i="7"/>
  <c r="F1104" i="7"/>
  <c r="G1104" i="7"/>
  <c r="H1104" i="7"/>
  <c r="I1104" i="7"/>
  <c r="F1105" i="7"/>
  <c r="G1105" i="7"/>
  <c r="H1105" i="7"/>
  <c r="I1105" i="7"/>
  <c r="E1106" i="7"/>
  <c r="E1107" i="7"/>
  <c r="E1108" i="7"/>
  <c r="G1108" i="7"/>
  <c r="H1108" i="7"/>
  <c r="B1110" i="7"/>
  <c r="C1110" i="7"/>
  <c r="D1110" i="7"/>
  <c r="E1110" i="7"/>
  <c r="F1111" i="7"/>
  <c r="G1111" i="7"/>
  <c r="H1111" i="7"/>
  <c r="I1111" i="7"/>
  <c r="F1112" i="7"/>
  <c r="G1112" i="7"/>
  <c r="H1112" i="7"/>
  <c r="I1112" i="7"/>
  <c r="E1113" i="7"/>
  <c r="E1114" i="7"/>
  <c r="E1115" i="7"/>
  <c r="G1115" i="7"/>
  <c r="H1115" i="7"/>
  <c r="B1117" i="7"/>
  <c r="C1117" i="7"/>
  <c r="D1117" i="7"/>
  <c r="E1117" i="7"/>
  <c r="F1118" i="7"/>
  <c r="G1118" i="7"/>
  <c r="H1118" i="7"/>
  <c r="I1118" i="7"/>
  <c r="F1119" i="7"/>
  <c r="G1119" i="7"/>
  <c r="H1119" i="7"/>
  <c r="I1119" i="7"/>
  <c r="E1120" i="7"/>
  <c r="E1121" i="7"/>
  <c r="E1122" i="7"/>
  <c r="G1122" i="7"/>
  <c r="H1122" i="7"/>
  <c r="B1124" i="7"/>
  <c r="C1124" i="7"/>
  <c r="D1124" i="7"/>
  <c r="E1124" i="7"/>
  <c r="F1125" i="7"/>
  <c r="G1125" i="7"/>
  <c r="H1125" i="7"/>
  <c r="I1125" i="7"/>
  <c r="F1126" i="7"/>
  <c r="G1126" i="7"/>
  <c r="H1126" i="7"/>
  <c r="I1126" i="7"/>
  <c r="E1127" i="7"/>
  <c r="E1128" i="7"/>
  <c r="E1129" i="7"/>
  <c r="G1129" i="7"/>
  <c r="H1129" i="7"/>
  <c r="B1131" i="7"/>
  <c r="C1131" i="7"/>
  <c r="D1131" i="7"/>
  <c r="E1131" i="7"/>
  <c r="F1132" i="7"/>
  <c r="G1132" i="7"/>
  <c r="H1132" i="7"/>
  <c r="I1132" i="7"/>
  <c r="F1133" i="7"/>
  <c r="G1133" i="7"/>
  <c r="H1133" i="7"/>
  <c r="I1133" i="7"/>
  <c r="E1134" i="7"/>
  <c r="E1135" i="7"/>
  <c r="E1136" i="7"/>
  <c r="G1136" i="7"/>
  <c r="H1136" i="7"/>
  <c r="B1138" i="7"/>
  <c r="C1138" i="7"/>
  <c r="D1138" i="7"/>
  <c r="E1138" i="7"/>
  <c r="F1139" i="7"/>
  <c r="G1139" i="7"/>
  <c r="H1139" i="7"/>
  <c r="I1139" i="7"/>
  <c r="F1140" i="7"/>
  <c r="G1140" i="7"/>
  <c r="H1140" i="7"/>
  <c r="I1140" i="7"/>
  <c r="E1141" i="7"/>
  <c r="E1142" i="7"/>
  <c r="E1143" i="7"/>
  <c r="G1143" i="7"/>
  <c r="H1143" i="7"/>
  <c r="B1145" i="7"/>
  <c r="C1145" i="7"/>
  <c r="D1145" i="7"/>
  <c r="E1145" i="7"/>
  <c r="F1146" i="7"/>
  <c r="G1146" i="7"/>
  <c r="H1146" i="7"/>
  <c r="I1146" i="7"/>
  <c r="F1147" i="7"/>
  <c r="G1147" i="7"/>
  <c r="H1147" i="7"/>
  <c r="I1147" i="7"/>
  <c r="E1148" i="7"/>
  <c r="E1149" i="7"/>
  <c r="E1150" i="7"/>
  <c r="G1150" i="7"/>
  <c r="H1150" i="7"/>
  <c r="B1152" i="7"/>
  <c r="C1152" i="7"/>
  <c r="D1152" i="7"/>
  <c r="E1152" i="7"/>
  <c r="F1153" i="7"/>
  <c r="G1153" i="7"/>
  <c r="H1153" i="7"/>
  <c r="I1153" i="7"/>
  <c r="F1154" i="7"/>
  <c r="G1154" i="7"/>
  <c r="H1154" i="7"/>
  <c r="I1154" i="7"/>
  <c r="E1155" i="7"/>
  <c r="E1156" i="7"/>
  <c r="E1157" i="7"/>
  <c r="G1157" i="7"/>
  <c r="H1157" i="7"/>
  <c r="B1159" i="7"/>
  <c r="C1159" i="7"/>
  <c r="D1159" i="7"/>
  <c r="F1161" i="7"/>
  <c r="G1161" i="7"/>
  <c r="H1161" i="7"/>
  <c r="I1161" i="7"/>
  <c r="F1162" i="7"/>
  <c r="G1162" i="7"/>
  <c r="H1162" i="7"/>
  <c r="I1162" i="7"/>
  <c r="E1163" i="7"/>
  <c r="E1164" i="7"/>
  <c r="E1165" i="7"/>
  <c r="G1165" i="7"/>
  <c r="H1165" i="7"/>
  <c r="B1167" i="7"/>
  <c r="C1167" i="7"/>
  <c r="D1167" i="7"/>
  <c r="E1167" i="7"/>
  <c r="F1168" i="7"/>
  <c r="G1168" i="7"/>
  <c r="H1168" i="7"/>
  <c r="I1168" i="7"/>
  <c r="E1169" i="7"/>
  <c r="E1170" i="7"/>
  <c r="E1171" i="7"/>
  <c r="G1171" i="7"/>
  <c r="H1171" i="7"/>
  <c r="B1173" i="7"/>
  <c r="C1173" i="7"/>
  <c r="D1173" i="7"/>
  <c r="E1173" i="7"/>
  <c r="F1174" i="7"/>
  <c r="G1174" i="7"/>
  <c r="H1174" i="7"/>
  <c r="I1174" i="7"/>
  <c r="F1175" i="7"/>
  <c r="G1175" i="7"/>
  <c r="H1175" i="7"/>
  <c r="I1175" i="7"/>
  <c r="F1176" i="7"/>
  <c r="G1176" i="7"/>
  <c r="H1176" i="7"/>
  <c r="I1176" i="7"/>
  <c r="F1177" i="7"/>
  <c r="G1177" i="7"/>
  <c r="H1177" i="7"/>
  <c r="I1177" i="7"/>
  <c r="E1178" i="7"/>
  <c r="E1179" i="7"/>
  <c r="E1180" i="7"/>
  <c r="E1181" i="7"/>
  <c r="G1181" i="7"/>
  <c r="H1181" i="7"/>
  <c r="B1184" i="7"/>
  <c r="B1185" i="7"/>
  <c r="C1185" i="7"/>
  <c r="D1185" i="7"/>
  <c r="F1187" i="7"/>
  <c r="G1187" i="7"/>
  <c r="H1187" i="7"/>
  <c r="I1187" i="7"/>
  <c r="F1188" i="7"/>
  <c r="G1188" i="7"/>
  <c r="H1188" i="7"/>
  <c r="I1188" i="7"/>
  <c r="E1189" i="7"/>
  <c r="E1190" i="7"/>
  <c r="E1191" i="7"/>
  <c r="G1191" i="7"/>
  <c r="H1191" i="7"/>
  <c r="B1194" i="7"/>
  <c r="D1195" i="7"/>
  <c r="E1195" i="7"/>
  <c r="F1196" i="7"/>
  <c r="G1196" i="7"/>
  <c r="H1196" i="7"/>
  <c r="I1196" i="7"/>
  <c r="F1197" i="7"/>
  <c r="G1197" i="7"/>
  <c r="H1197" i="7"/>
  <c r="I1197" i="7"/>
  <c r="E1198" i="7"/>
  <c r="E1199" i="7"/>
  <c r="E1200" i="7"/>
  <c r="G1200" i="7"/>
  <c r="H1200" i="7"/>
  <c r="D1202" i="7"/>
  <c r="E1202" i="7"/>
  <c r="F1203" i="7"/>
  <c r="G1203" i="7"/>
  <c r="H1203" i="7"/>
  <c r="I1203" i="7"/>
  <c r="F1204" i="7"/>
  <c r="G1204" i="7"/>
  <c r="H1204" i="7"/>
  <c r="I1204" i="7"/>
  <c r="E1205" i="7"/>
  <c r="E1206" i="7"/>
  <c r="E1207" i="7"/>
  <c r="G1207" i="7"/>
  <c r="H1207" i="7"/>
  <c r="D1209" i="7"/>
  <c r="E1209" i="7"/>
  <c r="F1210" i="7"/>
  <c r="G1210" i="7"/>
  <c r="H1210" i="7"/>
  <c r="I1210" i="7"/>
  <c r="F1211" i="7"/>
  <c r="G1211" i="7"/>
  <c r="H1211" i="7"/>
  <c r="I1211" i="7"/>
  <c r="E1212" i="7"/>
  <c r="E1213" i="7"/>
  <c r="E1214" i="7"/>
  <c r="G1214" i="7"/>
  <c r="H1214" i="7"/>
  <c r="D1216" i="7"/>
  <c r="F1218" i="7"/>
  <c r="G1218" i="7"/>
  <c r="H1218" i="7"/>
  <c r="I1218" i="7"/>
  <c r="F1219" i="7"/>
  <c r="G1219" i="7"/>
  <c r="H1219" i="7"/>
  <c r="I1219" i="7"/>
  <c r="E1220" i="7"/>
  <c r="E1221" i="7"/>
  <c r="E1222" i="7"/>
  <c r="G1222" i="7"/>
  <c r="H1222" i="7"/>
  <c r="D1224" i="7"/>
  <c r="E1224" i="7"/>
  <c r="F1225" i="7"/>
  <c r="G1225" i="7"/>
  <c r="H1225" i="7"/>
  <c r="I1225" i="7"/>
  <c r="F1226" i="7"/>
  <c r="G1226" i="7"/>
  <c r="H1226" i="7"/>
  <c r="I1226" i="7"/>
  <c r="E1227" i="7"/>
  <c r="E1228" i="7"/>
  <c r="E1229" i="7"/>
  <c r="G1229" i="7"/>
  <c r="H1229" i="7"/>
  <c r="B1232" i="7"/>
  <c r="B1233" i="7"/>
  <c r="C1233" i="7"/>
  <c r="D1233" i="7"/>
  <c r="F1235" i="7"/>
  <c r="G1235" i="7"/>
  <c r="H1235" i="7"/>
  <c r="I1235" i="7"/>
  <c r="F1236" i="7"/>
  <c r="G1236" i="7"/>
  <c r="H1236" i="7"/>
  <c r="I1236" i="7"/>
  <c r="E1237" i="7"/>
  <c r="E1238" i="7"/>
  <c r="E1239" i="7"/>
  <c r="G1239" i="7"/>
  <c r="H1239" i="7"/>
  <c r="B1241" i="7"/>
  <c r="C1241" i="7"/>
  <c r="D1241" i="7"/>
  <c r="F1243" i="7"/>
  <c r="G1243" i="7"/>
  <c r="H1243" i="7"/>
  <c r="I1243" i="7"/>
  <c r="F1244" i="7"/>
  <c r="G1244" i="7"/>
  <c r="H1244" i="7"/>
  <c r="I1244" i="7"/>
  <c r="E1245" i="7"/>
  <c r="E1246" i="7"/>
  <c r="E1247" i="7"/>
  <c r="G1247" i="7"/>
  <c r="H1247" i="7"/>
  <c r="B1249" i="7"/>
  <c r="C1249" i="7"/>
  <c r="D1249" i="7"/>
  <c r="F1251" i="7"/>
  <c r="G1251" i="7"/>
  <c r="H1251" i="7"/>
  <c r="I1251" i="7"/>
  <c r="F1252" i="7"/>
  <c r="G1252" i="7"/>
  <c r="H1252" i="7"/>
  <c r="I1252" i="7"/>
  <c r="E1253" i="7"/>
  <c r="E1254" i="7"/>
  <c r="E1255" i="7"/>
  <c r="G1255" i="7"/>
  <c r="H1255" i="7"/>
  <c r="B1257" i="7"/>
  <c r="C1257" i="7"/>
  <c r="D1257" i="7"/>
  <c r="F1259" i="7"/>
  <c r="G1259" i="7"/>
  <c r="H1259" i="7"/>
  <c r="I1259" i="7"/>
  <c r="F1260" i="7"/>
  <c r="G1260" i="7"/>
  <c r="H1260" i="7"/>
  <c r="I1260" i="7"/>
  <c r="E1261" i="7"/>
  <c r="E1262" i="7"/>
  <c r="E1263" i="7"/>
  <c r="G1263" i="7"/>
  <c r="H1263" i="7"/>
  <c r="B1265" i="7"/>
  <c r="C1265" i="7"/>
  <c r="D1265" i="7"/>
  <c r="F1267" i="7"/>
  <c r="G1267" i="7"/>
  <c r="H1267" i="7"/>
  <c r="I1267" i="7"/>
  <c r="F1268" i="7"/>
  <c r="G1268" i="7"/>
  <c r="H1268" i="7"/>
  <c r="I1268" i="7"/>
  <c r="E1269" i="7"/>
  <c r="E1270" i="7"/>
  <c r="E1271" i="7"/>
  <c r="G1271" i="7"/>
  <c r="H1271" i="7"/>
  <c r="B1273" i="7"/>
  <c r="C1273" i="7"/>
  <c r="D1273" i="7"/>
  <c r="F1275" i="7"/>
  <c r="G1275" i="7"/>
  <c r="H1275" i="7"/>
  <c r="I1275" i="7"/>
  <c r="F1276" i="7"/>
  <c r="G1276" i="7"/>
  <c r="H1276" i="7"/>
  <c r="I1276" i="7"/>
  <c r="E1277" i="7"/>
  <c r="E1278" i="7"/>
  <c r="E1279" i="7"/>
  <c r="G1279" i="7"/>
  <c r="H1279" i="7"/>
  <c r="B1281" i="7"/>
  <c r="C1281" i="7"/>
  <c r="D1281" i="7"/>
  <c r="F1283" i="7"/>
  <c r="G1283" i="7"/>
  <c r="H1283" i="7"/>
  <c r="I1283" i="7"/>
  <c r="F1284" i="7"/>
  <c r="G1284" i="7"/>
  <c r="H1284" i="7"/>
  <c r="I1284" i="7"/>
  <c r="E1285" i="7"/>
  <c r="E1286" i="7"/>
  <c r="E1287" i="7"/>
  <c r="G1287" i="7"/>
  <c r="H1287" i="7"/>
  <c r="A1293" i="7"/>
  <c r="I1295" i="7"/>
  <c r="A1301" i="7"/>
  <c r="D1302" i="7"/>
  <c r="E1302" i="7"/>
  <c r="F1303" i="7"/>
  <c r="G1303" i="7"/>
  <c r="H1303" i="7"/>
  <c r="I1303" i="7"/>
  <c r="F1304" i="7"/>
  <c r="G1304" i="7"/>
  <c r="H1304" i="7"/>
  <c r="I1304" i="7"/>
  <c r="F1305" i="7"/>
  <c r="G1305" i="7"/>
  <c r="H1305" i="7"/>
  <c r="I1305" i="7"/>
  <c r="F1306" i="7"/>
  <c r="G1306" i="7"/>
  <c r="H1306" i="7"/>
  <c r="I1306" i="7"/>
  <c r="E1307" i="7"/>
  <c r="E1308" i="7"/>
  <c r="E1309" i="7"/>
  <c r="E1310" i="7"/>
  <c r="G1310" i="7"/>
  <c r="H1310" i="7"/>
  <c r="B1312" i="7"/>
  <c r="C1312" i="7"/>
  <c r="D1312" i="7"/>
  <c r="E1312" i="7"/>
  <c r="F1313" i="7"/>
  <c r="G1313" i="7"/>
  <c r="H1313" i="7"/>
  <c r="I1313" i="7"/>
  <c r="E1314" i="7"/>
  <c r="E1315" i="7"/>
  <c r="E1316" i="7"/>
  <c r="G1316" i="7"/>
  <c r="H1316" i="7"/>
  <c r="B1318" i="7"/>
  <c r="C1318" i="7"/>
  <c r="D1318" i="7"/>
  <c r="E1318" i="7"/>
  <c r="F1319" i="7"/>
  <c r="G1319" i="7"/>
  <c r="H1319" i="7"/>
  <c r="I1319" i="7"/>
  <c r="F1320" i="7"/>
  <c r="G1320" i="7"/>
  <c r="H1320" i="7"/>
  <c r="I1320" i="7"/>
  <c r="E1321" i="7"/>
  <c r="E1322" i="7"/>
  <c r="E1323" i="7"/>
  <c r="G1323" i="7"/>
  <c r="H1323" i="7"/>
  <c r="B1325" i="7"/>
  <c r="C1325" i="7"/>
  <c r="D1325" i="7"/>
  <c r="F1327" i="7"/>
  <c r="G1327" i="7"/>
  <c r="H1327" i="7"/>
  <c r="I1327" i="7"/>
  <c r="F1328" i="7"/>
  <c r="G1328" i="7"/>
  <c r="H1328" i="7"/>
  <c r="I1328" i="7"/>
  <c r="E1329" i="7"/>
  <c r="E1330" i="7"/>
  <c r="E1331" i="7"/>
  <c r="G1331" i="7"/>
  <c r="H1331" i="7"/>
  <c r="B1334" i="7"/>
  <c r="B1335" i="7"/>
  <c r="C1335" i="7"/>
  <c r="D1335" i="7"/>
  <c r="F1337" i="7"/>
  <c r="G1337" i="7"/>
  <c r="H1337" i="7"/>
  <c r="I1337" i="7"/>
  <c r="E1338" i="7"/>
  <c r="E1339" i="7"/>
  <c r="E1340" i="7"/>
  <c r="G1340" i="7"/>
  <c r="H1340" i="7"/>
  <c r="B1343" i="7"/>
  <c r="B1344" i="7"/>
  <c r="C1344" i="7"/>
  <c r="D1344" i="7"/>
  <c r="F1346" i="7"/>
  <c r="G1346" i="7"/>
  <c r="H1346" i="7"/>
  <c r="I1346" i="7"/>
  <c r="E1347" i="7"/>
  <c r="E1348" i="7"/>
  <c r="E1349" i="7"/>
  <c r="G1349" i="7"/>
  <c r="H1349" i="7"/>
  <c r="C1359" i="7"/>
  <c r="C1360" i="7"/>
  <c r="C1361" i="7"/>
  <c r="C1364" i="7"/>
  <c r="H1364" i="7"/>
  <c r="C1367" i="7"/>
  <c r="H1367" i="7"/>
  <c r="I1373" i="8"/>
  <c r="I1370" i="8"/>
  <c r="D1373" i="8"/>
  <c r="D1370" i="8"/>
  <c r="D1367" i="8"/>
  <c r="D1366" i="8"/>
  <c r="D1365" i="8"/>
  <c r="I1355" i="8"/>
  <c r="H1355" i="8"/>
  <c r="F1355" i="8"/>
  <c r="F1354" i="8"/>
  <c r="F1353" i="8"/>
  <c r="J1352" i="8"/>
  <c r="I1352" i="8"/>
  <c r="H1352" i="8"/>
  <c r="G1352" i="8"/>
  <c r="E1350" i="8"/>
  <c r="D1350" i="8"/>
  <c r="C1350" i="8"/>
  <c r="C1349" i="8"/>
  <c r="I1346" i="8"/>
  <c r="H1346" i="8"/>
  <c r="F1346" i="8"/>
  <c r="F1345" i="8"/>
  <c r="F1344" i="8"/>
  <c r="J1343" i="8"/>
  <c r="I1343" i="8"/>
  <c r="H1343" i="8"/>
  <c r="G1343" i="8"/>
  <c r="E1341" i="8"/>
  <c r="D1341" i="8"/>
  <c r="C1341" i="8"/>
  <c r="C1340" i="8"/>
  <c r="I1337" i="8"/>
  <c r="H1337" i="8"/>
  <c r="F1337" i="8"/>
  <c r="F1336" i="8"/>
  <c r="F1335" i="8"/>
  <c r="J1334" i="8"/>
  <c r="I1334" i="8"/>
  <c r="H1334" i="8"/>
  <c r="G1334" i="8"/>
  <c r="J1333" i="8"/>
  <c r="I1333" i="8"/>
  <c r="H1333" i="8"/>
  <c r="G1333" i="8"/>
  <c r="E1331" i="8"/>
  <c r="D1331" i="8"/>
  <c r="C1331" i="8"/>
  <c r="I1329" i="8"/>
  <c r="H1329" i="8"/>
  <c r="F1329" i="8"/>
  <c r="F1328" i="8"/>
  <c r="F1327" i="8"/>
  <c r="J1326" i="8"/>
  <c r="I1326" i="8"/>
  <c r="H1326" i="8"/>
  <c r="G1326" i="8"/>
  <c r="J1325" i="8"/>
  <c r="I1325" i="8"/>
  <c r="H1325" i="8"/>
  <c r="G1325" i="8"/>
  <c r="F1324" i="8"/>
  <c r="E1324" i="8"/>
  <c r="D1324" i="8"/>
  <c r="C1324" i="8"/>
  <c r="I1322" i="8"/>
  <c r="H1322" i="8"/>
  <c r="F1322" i="8"/>
  <c r="F1321" i="8"/>
  <c r="F1320" i="8"/>
  <c r="J1319" i="8"/>
  <c r="I1319" i="8"/>
  <c r="H1319" i="8"/>
  <c r="G1319" i="8"/>
  <c r="F1318" i="8"/>
  <c r="E1318" i="8"/>
  <c r="D1318" i="8"/>
  <c r="C1318" i="8"/>
  <c r="I1316" i="8"/>
  <c r="H1316" i="8"/>
  <c r="F1316" i="8"/>
  <c r="F1315" i="8"/>
  <c r="F1314" i="8"/>
  <c r="F1313" i="8"/>
  <c r="J1312" i="8"/>
  <c r="I1312" i="8"/>
  <c r="H1312" i="8"/>
  <c r="G1312" i="8"/>
  <c r="J1311" i="8"/>
  <c r="I1311" i="8"/>
  <c r="H1311" i="8"/>
  <c r="G1311" i="8"/>
  <c r="J1310" i="8"/>
  <c r="I1310" i="8"/>
  <c r="H1310" i="8"/>
  <c r="G1310" i="8"/>
  <c r="J1309" i="8"/>
  <c r="I1309" i="8"/>
  <c r="H1309" i="8"/>
  <c r="G1309" i="8"/>
  <c r="F1308" i="8"/>
  <c r="E1308" i="8"/>
  <c r="A1307" i="8"/>
  <c r="J1301" i="8"/>
  <c r="A1299" i="8"/>
  <c r="I1293" i="8"/>
  <c r="H1293" i="8"/>
  <c r="F1293" i="8"/>
  <c r="F1292" i="8"/>
  <c r="F1291" i="8"/>
  <c r="J1290" i="8"/>
  <c r="I1290" i="8"/>
  <c r="H1290" i="8"/>
  <c r="G1290" i="8"/>
  <c r="J1289" i="8"/>
  <c r="I1289" i="8"/>
  <c r="H1289" i="8"/>
  <c r="G1289" i="8"/>
  <c r="E1287" i="8"/>
  <c r="D1287" i="8"/>
  <c r="C1287" i="8"/>
  <c r="I1285" i="8"/>
  <c r="H1285" i="8"/>
  <c r="F1285" i="8"/>
  <c r="F1284" i="8"/>
  <c r="F1283" i="8"/>
  <c r="J1282" i="8"/>
  <c r="I1282" i="8"/>
  <c r="H1282" i="8"/>
  <c r="G1282" i="8"/>
  <c r="J1281" i="8"/>
  <c r="I1281" i="8"/>
  <c r="H1281" i="8"/>
  <c r="G1281" i="8"/>
  <c r="E1279" i="8"/>
  <c r="D1279" i="8"/>
  <c r="C1279" i="8"/>
  <c r="I1277" i="8"/>
  <c r="H1277" i="8"/>
  <c r="F1277" i="8"/>
  <c r="F1276" i="8"/>
  <c r="F1275" i="8"/>
  <c r="J1274" i="8"/>
  <c r="I1274" i="8"/>
  <c r="H1274" i="8"/>
  <c r="G1274" i="8"/>
  <c r="J1273" i="8"/>
  <c r="I1273" i="8"/>
  <c r="H1273" i="8"/>
  <c r="G1273" i="8"/>
  <c r="E1271" i="8"/>
  <c r="D1271" i="8"/>
  <c r="C1271" i="8"/>
  <c r="I1269" i="8"/>
  <c r="H1269" i="8"/>
  <c r="F1269" i="8"/>
  <c r="F1268" i="8"/>
  <c r="F1267" i="8"/>
  <c r="J1266" i="8"/>
  <c r="I1266" i="8"/>
  <c r="H1266" i="8"/>
  <c r="G1266" i="8"/>
  <c r="J1265" i="8"/>
  <c r="I1265" i="8"/>
  <c r="H1265" i="8"/>
  <c r="G1265" i="8"/>
  <c r="E1263" i="8"/>
  <c r="D1263" i="8"/>
  <c r="C1263" i="8"/>
  <c r="I1261" i="8"/>
  <c r="H1261" i="8"/>
  <c r="F1261" i="8"/>
  <c r="F1260" i="8"/>
  <c r="F1259" i="8"/>
  <c r="J1258" i="8"/>
  <c r="I1258" i="8"/>
  <c r="H1258" i="8"/>
  <c r="G1258" i="8"/>
  <c r="J1257" i="8"/>
  <c r="I1257" i="8"/>
  <c r="H1257" i="8"/>
  <c r="G1257" i="8"/>
  <c r="E1255" i="8"/>
  <c r="D1255" i="8"/>
  <c r="C1255" i="8"/>
  <c r="I1253" i="8"/>
  <c r="H1253" i="8"/>
  <c r="F1253" i="8"/>
  <c r="F1252" i="8"/>
  <c r="F1251" i="8"/>
  <c r="J1250" i="8"/>
  <c r="I1250" i="8"/>
  <c r="H1250" i="8"/>
  <c r="G1250" i="8"/>
  <c r="J1249" i="8"/>
  <c r="I1249" i="8"/>
  <c r="H1249" i="8"/>
  <c r="G1249" i="8"/>
  <c r="E1247" i="8"/>
  <c r="D1247" i="8"/>
  <c r="C1247" i="8"/>
  <c r="I1245" i="8"/>
  <c r="H1245" i="8"/>
  <c r="F1245" i="8"/>
  <c r="F1244" i="8"/>
  <c r="F1243" i="8"/>
  <c r="J1242" i="8"/>
  <c r="I1242" i="8"/>
  <c r="H1242" i="8"/>
  <c r="G1242" i="8"/>
  <c r="J1241" i="8"/>
  <c r="I1241" i="8"/>
  <c r="H1241" i="8"/>
  <c r="G1241" i="8"/>
  <c r="E1239" i="8"/>
  <c r="D1239" i="8"/>
  <c r="C1239" i="8"/>
  <c r="C1238" i="8"/>
  <c r="I1235" i="8"/>
  <c r="H1235" i="8"/>
  <c r="F1235" i="8"/>
  <c r="F1234" i="8"/>
  <c r="F1233" i="8"/>
  <c r="J1232" i="8"/>
  <c r="I1232" i="8"/>
  <c r="H1232" i="8"/>
  <c r="G1232" i="8"/>
  <c r="J1231" i="8"/>
  <c r="I1231" i="8"/>
  <c r="H1231" i="8"/>
  <c r="G1231" i="8"/>
  <c r="F1230" i="8"/>
  <c r="E1230" i="8"/>
  <c r="I1228" i="8"/>
  <c r="H1228" i="8"/>
  <c r="F1228" i="8"/>
  <c r="F1227" i="8"/>
  <c r="F1226" i="8"/>
  <c r="J1225" i="8"/>
  <c r="I1225" i="8"/>
  <c r="H1225" i="8"/>
  <c r="G1225" i="8"/>
  <c r="J1224" i="8"/>
  <c r="I1224" i="8"/>
  <c r="H1224" i="8"/>
  <c r="G1224" i="8"/>
  <c r="E1222" i="8"/>
  <c r="I1220" i="8"/>
  <c r="H1220" i="8"/>
  <c r="F1220" i="8"/>
  <c r="F1219" i="8"/>
  <c r="F1218" i="8"/>
  <c r="J1217" i="8"/>
  <c r="I1217" i="8"/>
  <c r="H1217" i="8"/>
  <c r="G1217" i="8"/>
  <c r="J1216" i="8"/>
  <c r="I1216" i="8"/>
  <c r="H1216" i="8"/>
  <c r="G1216" i="8"/>
  <c r="F1215" i="8"/>
  <c r="E1215" i="8"/>
  <c r="I1213" i="8"/>
  <c r="H1213" i="8"/>
  <c r="F1213" i="8"/>
  <c r="F1212" i="8"/>
  <c r="F1211" i="8"/>
  <c r="J1210" i="8"/>
  <c r="I1210" i="8"/>
  <c r="H1210" i="8"/>
  <c r="G1210" i="8"/>
  <c r="J1209" i="8"/>
  <c r="I1209" i="8"/>
  <c r="H1209" i="8"/>
  <c r="G1209" i="8"/>
  <c r="F1208" i="8"/>
  <c r="E1208" i="8"/>
  <c r="I1206" i="8"/>
  <c r="H1206" i="8"/>
  <c r="F1206" i="8"/>
  <c r="F1205" i="8"/>
  <c r="F1204" i="8"/>
  <c r="J1203" i="8"/>
  <c r="I1203" i="8"/>
  <c r="H1203" i="8"/>
  <c r="G1203" i="8"/>
  <c r="J1202" i="8"/>
  <c r="I1202" i="8"/>
  <c r="H1202" i="8"/>
  <c r="G1202" i="8"/>
  <c r="F1201" i="8"/>
  <c r="E1201" i="8"/>
  <c r="C1200" i="8"/>
  <c r="I1197" i="8"/>
  <c r="H1197" i="8"/>
  <c r="F1197" i="8"/>
  <c r="F1196" i="8"/>
  <c r="F1195" i="8"/>
  <c r="J1194" i="8"/>
  <c r="I1194" i="8"/>
  <c r="H1194" i="8"/>
  <c r="G1194" i="8"/>
  <c r="J1193" i="8"/>
  <c r="I1193" i="8"/>
  <c r="H1193" i="8"/>
  <c r="G1193" i="8"/>
  <c r="E1191" i="8"/>
  <c r="D1191" i="8"/>
  <c r="C1191" i="8"/>
  <c r="C1190" i="8"/>
  <c r="I1187" i="8"/>
  <c r="H1187" i="8"/>
  <c r="F1187" i="8"/>
  <c r="F1186" i="8"/>
  <c r="F1185" i="8"/>
  <c r="F1184" i="8"/>
  <c r="J1183" i="8"/>
  <c r="I1183" i="8"/>
  <c r="H1183" i="8"/>
  <c r="G1183" i="8"/>
  <c r="J1182" i="8"/>
  <c r="I1182" i="8"/>
  <c r="H1182" i="8"/>
  <c r="G1182" i="8"/>
  <c r="J1181" i="8"/>
  <c r="I1181" i="8"/>
  <c r="H1181" i="8"/>
  <c r="G1181" i="8"/>
  <c r="J1180" i="8"/>
  <c r="I1180" i="8"/>
  <c r="H1180" i="8"/>
  <c r="G1180" i="8"/>
  <c r="F1179" i="8"/>
  <c r="E1179" i="8"/>
  <c r="D1179" i="8"/>
  <c r="C1179" i="8"/>
  <c r="I1177" i="8"/>
  <c r="H1177" i="8"/>
  <c r="F1177" i="8"/>
  <c r="F1176" i="8"/>
  <c r="F1175" i="8"/>
  <c r="J1174" i="8"/>
  <c r="I1174" i="8"/>
  <c r="H1174" i="8"/>
  <c r="G1174" i="8"/>
  <c r="F1173" i="8"/>
  <c r="E1173" i="8"/>
  <c r="D1173" i="8"/>
  <c r="C1173" i="8"/>
  <c r="I1171" i="8"/>
  <c r="H1171" i="8"/>
  <c r="F1171" i="8"/>
  <c r="F1170" i="8"/>
  <c r="F1169" i="8"/>
  <c r="J1168" i="8"/>
  <c r="I1168" i="8"/>
  <c r="H1168" i="8"/>
  <c r="G1168" i="8"/>
  <c r="J1167" i="8"/>
  <c r="I1167" i="8"/>
  <c r="H1167" i="8"/>
  <c r="G1167" i="8"/>
  <c r="E1165" i="8"/>
  <c r="D1165" i="8"/>
  <c r="C1165" i="8"/>
  <c r="I1163" i="8"/>
  <c r="H1163" i="8"/>
  <c r="F1163" i="8"/>
  <c r="F1162" i="8"/>
  <c r="F1161" i="8"/>
  <c r="J1160" i="8"/>
  <c r="I1160" i="8"/>
  <c r="H1160" i="8"/>
  <c r="G1160" i="8"/>
  <c r="J1159" i="8"/>
  <c r="I1159" i="8"/>
  <c r="H1159" i="8"/>
  <c r="G1159" i="8"/>
  <c r="F1158" i="8"/>
  <c r="E1158" i="8"/>
  <c r="D1158" i="8"/>
  <c r="C1158" i="8"/>
  <c r="I1156" i="8"/>
  <c r="H1156" i="8"/>
  <c r="F1156" i="8"/>
  <c r="F1155" i="8"/>
  <c r="F1154" i="8"/>
  <c r="J1153" i="8"/>
  <c r="I1153" i="8"/>
  <c r="H1153" i="8"/>
  <c r="G1153" i="8"/>
  <c r="J1152" i="8"/>
  <c r="I1152" i="8"/>
  <c r="H1152" i="8"/>
  <c r="G1152" i="8"/>
  <c r="F1151" i="8"/>
  <c r="E1151" i="8"/>
  <c r="D1151" i="8"/>
  <c r="C1151" i="8"/>
  <c r="I1149" i="8"/>
  <c r="H1149" i="8"/>
  <c r="F1149" i="8"/>
  <c r="F1148" i="8"/>
  <c r="F1147" i="8"/>
  <c r="J1146" i="8"/>
  <c r="I1146" i="8"/>
  <c r="H1146" i="8"/>
  <c r="G1146" i="8"/>
  <c r="J1145" i="8"/>
  <c r="I1145" i="8"/>
  <c r="H1145" i="8"/>
  <c r="G1145" i="8"/>
  <c r="F1144" i="8"/>
  <c r="E1144" i="8"/>
  <c r="D1144" i="8"/>
  <c r="C1144" i="8"/>
  <c r="I1142" i="8"/>
  <c r="H1142" i="8"/>
  <c r="F1142" i="8"/>
  <c r="F1141" i="8"/>
  <c r="F1140" i="8"/>
  <c r="J1139" i="8"/>
  <c r="I1139" i="8"/>
  <c r="H1139" i="8"/>
  <c r="G1139" i="8"/>
  <c r="J1138" i="8"/>
  <c r="I1138" i="8"/>
  <c r="H1138" i="8"/>
  <c r="G1138" i="8"/>
  <c r="F1137" i="8"/>
  <c r="E1137" i="8"/>
  <c r="D1137" i="8"/>
  <c r="C1137" i="8"/>
  <c r="I1135" i="8"/>
  <c r="H1135" i="8"/>
  <c r="F1135" i="8"/>
  <c r="F1134" i="8"/>
  <c r="F1133" i="8"/>
  <c r="J1132" i="8"/>
  <c r="I1132" i="8"/>
  <c r="H1132" i="8"/>
  <c r="G1132" i="8"/>
  <c r="J1131" i="8"/>
  <c r="I1131" i="8"/>
  <c r="H1131" i="8"/>
  <c r="G1131" i="8"/>
  <c r="F1130" i="8"/>
  <c r="E1130" i="8"/>
  <c r="D1130" i="8"/>
  <c r="C1130" i="8"/>
  <c r="I1128" i="8"/>
  <c r="H1128" i="8"/>
  <c r="F1128" i="8"/>
  <c r="F1127" i="8"/>
  <c r="F1126" i="8"/>
  <c r="J1125" i="8"/>
  <c r="I1125" i="8"/>
  <c r="H1125" i="8"/>
  <c r="G1125" i="8"/>
  <c r="J1124" i="8"/>
  <c r="I1124" i="8"/>
  <c r="H1124" i="8"/>
  <c r="G1124" i="8"/>
  <c r="F1123" i="8"/>
  <c r="E1123" i="8"/>
  <c r="D1123" i="8"/>
  <c r="C1123" i="8"/>
  <c r="I1121" i="8"/>
  <c r="H1121" i="8"/>
  <c r="F1121" i="8"/>
  <c r="F1120" i="8"/>
  <c r="F1119" i="8"/>
  <c r="J1118" i="8"/>
  <c r="I1118" i="8"/>
  <c r="H1118" i="8"/>
  <c r="G1118" i="8"/>
  <c r="J1117" i="8"/>
  <c r="I1117" i="8"/>
  <c r="H1117" i="8"/>
  <c r="G1117" i="8"/>
  <c r="F1116" i="8"/>
  <c r="E1116" i="8"/>
  <c r="D1116" i="8"/>
  <c r="C1116" i="8"/>
  <c r="I1114" i="8"/>
  <c r="H1114" i="8"/>
  <c r="F1114" i="8"/>
  <c r="F1113" i="8"/>
  <c r="F1112" i="8"/>
  <c r="J1111" i="8"/>
  <c r="I1111" i="8"/>
  <c r="H1111" i="8"/>
  <c r="G1111" i="8"/>
  <c r="J1110" i="8"/>
  <c r="I1110" i="8"/>
  <c r="H1110" i="8"/>
  <c r="G1110" i="8"/>
  <c r="F1109" i="8"/>
  <c r="E1109" i="8"/>
  <c r="D1109" i="8"/>
  <c r="C1109" i="8"/>
  <c r="I1107" i="8"/>
  <c r="H1107" i="8"/>
  <c r="F1107" i="8"/>
  <c r="F1106" i="8"/>
  <c r="F1105" i="8"/>
  <c r="J1104" i="8"/>
  <c r="I1104" i="8"/>
  <c r="H1104" i="8"/>
  <c r="G1104" i="8"/>
  <c r="J1103" i="8"/>
  <c r="I1103" i="8"/>
  <c r="H1103" i="8"/>
  <c r="G1103" i="8"/>
  <c r="F1102" i="8"/>
  <c r="E1102" i="8"/>
  <c r="D1102" i="8"/>
  <c r="C1102" i="8"/>
  <c r="I1100" i="8"/>
  <c r="H1100" i="8"/>
  <c r="F1100" i="8"/>
  <c r="F1099" i="8"/>
  <c r="F1098" i="8"/>
  <c r="J1097" i="8"/>
  <c r="I1097" i="8"/>
  <c r="H1097" i="8"/>
  <c r="G1097" i="8"/>
  <c r="J1096" i="8"/>
  <c r="I1096" i="8"/>
  <c r="H1096" i="8"/>
  <c r="G1096" i="8"/>
  <c r="F1095" i="8"/>
  <c r="E1095" i="8"/>
  <c r="D1095" i="8"/>
  <c r="C1095" i="8"/>
  <c r="C1094" i="8"/>
  <c r="I1091" i="8"/>
  <c r="H1091" i="8"/>
  <c r="F1091" i="8"/>
  <c r="F1090" i="8"/>
  <c r="F1089" i="8"/>
  <c r="F1088" i="8"/>
  <c r="J1087" i="8"/>
  <c r="I1087" i="8"/>
  <c r="H1087" i="8"/>
  <c r="G1087" i="8"/>
  <c r="J1086" i="8"/>
  <c r="I1086" i="8"/>
  <c r="H1086" i="8"/>
  <c r="G1086" i="8"/>
  <c r="J1085" i="8"/>
  <c r="I1085" i="8"/>
  <c r="H1085" i="8"/>
  <c r="G1085" i="8"/>
  <c r="J1084" i="8"/>
  <c r="I1084" i="8"/>
  <c r="H1084" i="8"/>
  <c r="G1084" i="8"/>
  <c r="F1083" i="8"/>
  <c r="E1083" i="8"/>
  <c r="D1083" i="8"/>
  <c r="C1083" i="8"/>
  <c r="I1081" i="8"/>
  <c r="H1081" i="8"/>
  <c r="F1081" i="8"/>
  <c r="F1080" i="8"/>
  <c r="F1079" i="8"/>
  <c r="J1078" i="8"/>
  <c r="I1078" i="8"/>
  <c r="H1078" i="8"/>
  <c r="G1078" i="8"/>
  <c r="J1077" i="8"/>
  <c r="I1077" i="8"/>
  <c r="H1077" i="8"/>
  <c r="G1077" i="8"/>
  <c r="F1076" i="8"/>
  <c r="E1076" i="8"/>
  <c r="D1076" i="8"/>
  <c r="C1076" i="8"/>
  <c r="I1074" i="8"/>
  <c r="H1074" i="8"/>
  <c r="F1074" i="8"/>
  <c r="F1073" i="8"/>
  <c r="F1072" i="8"/>
  <c r="J1071" i="8"/>
  <c r="I1071" i="8"/>
  <c r="H1071" i="8"/>
  <c r="G1071" i="8"/>
  <c r="E1069" i="8"/>
  <c r="D1069" i="8"/>
  <c r="C1069" i="8"/>
  <c r="I1067" i="8"/>
  <c r="H1067" i="8"/>
  <c r="F1067" i="8"/>
  <c r="F1066" i="8"/>
  <c r="F1065" i="8"/>
  <c r="J1064" i="8"/>
  <c r="I1064" i="8"/>
  <c r="H1064" i="8"/>
  <c r="G1064" i="8"/>
  <c r="J1063" i="8"/>
  <c r="I1063" i="8"/>
  <c r="H1063" i="8"/>
  <c r="G1063" i="8"/>
  <c r="E1061" i="8"/>
  <c r="D1061" i="8"/>
  <c r="C1061" i="8"/>
  <c r="I1059" i="8"/>
  <c r="H1059" i="8"/>
  <c r="F1059" i="8"/>
  <c r="F1058" i="8"/>
  <c r="F1057" i="8"/>
  <c r="J1056" i="8"/>
  <c r="I1056" i="8"/>
  <c r="H1056" i="8"/>
  <c r="G1056" i="8"/>
  <c r="J1055" i="8"/>
  <c r="I1055" i="8"/>
  <c r="H1055" i="8"/>
  <c r="G1055" i="8"/>
  <c r="F1054" i="8"/>
  <c r="E1054" i="8"/>
  <c r="D1054" i="8"/>
  <c r="C1054" i="8"/>
  <c r="I1052" i="8"/>
  <c r="H1052" i="8"/>
  <c r="F1052" i="8"/>
  <c r="F1051" i="8"/>
  <c r="F1050" i="8"/>
  <c r="J1049" i="8"/>
  <c r="I1049" i="8"/>
  <c r="H1049" i="8"/>
  <c r="G1049" i="8"/>
  <c r="J1048" i="8"/>
  <c r="I1048" i="8"/>
  <c r="H1048" i="8"/>
  <c r="G1048" i="8"/>
  <c r="F1047" i="8"/>
  <c r="E1047" i="8"/>
  <c r="D1047" i="8"/>
  <c r="C1047" i="8"/>
  <c r="C1046" i="8"/>
  <c r="I1043" i="8"/>
  <c r="H1043" i="8"/>
  <c r="F1043" i="8"/>
  <c r="F1042" i="8"/>
  <c r="F1041" i="8"/>
  <c r="F1040" i="8"/>
  <c r="J1039" i="8"/>
  <c r="I1039" i="8"/>
  <c r="H1039" i="8"/>
  <c r="G1039" i="8"/>
  <c r="J1038" i="8"/>
  <c r="I1038" i="8"/>
  <c r="H1038" i="8"/>
  <c r="G1038" i="8"/>
  <c r="J1037" i="8"/>
  <c r="I1037" i="8"/>
  <c r="H1037" i="8"/>
  <c r="G1037" i="8"/>
  <c r="J1036" i="8"/>
  <c r="I1036" i="8"/>
  <c r="H1036" i="8"/>
  <c r="G1036" i="8"/>
  <c r="F1035" i="8"/>
  <c r="E1035" i="8"/>
  <c r="D1035" i="8"/>
  <c r="C1035" i="8"/>
  <c r="I1033" i="8"/>
  <c r="H1033" i="8"/>
  <c r="F1033" i="8"/>
  <c r="F1032" i="8"/>
  <c r="F1031" i="8"/>
  <c r="J1030" i="8"/>
  <c r="I1030" i="8"/>
  <c r="H1030" i="8"/>
  <c r="G1030" i="8"/>
  <c r="J1029" i="8"/>
  <c r="I1029" i="8"/>
  <c r="H1029" i="8"/>
  <c r="G1029" i="8"/>
  <c r="E1028" i="8"/>
  <c r="D1028" i="8"/>
  <c r="C1028" i="8"/>
  <c r="I1026" i="8"/>
  <c r="H1026" i="8"/>
  <c r="F1026" i="8"/>
  <c r="F1025" i="8"/>
  <c r="F1024" i="8"/>
  <c r="J1023" i="8"/>
  <c r="I1023" i="8"/>
  <c r="H1023" i="8"/>
  <c r="G1023" i="8"/>
  <c r="E1021" i="8"/>
  <c r="D1021" i="8"/>
  <c r="C1021" i="8"/>
  <c r="I1019" i="8"/>
  <c r="H1019" i="8"/>
  <c r="F1019" i="8"/>
  <c r="F1018" i="8"/>
  <c r="F1017" i="8"/>
  <c r="J1016" i="8"/>
  <c r="I1016" i="8"/>
  <c r="H1016" i="8"/>
  <c r="G1016" i="8"/>
  <c r="J1015" i="8"/>
  <c r="I1015" i="8"/>
  <c r="H1015" i="8"/>
  <c r="G1015" i="8"/>
  <c r="E1013" i="8"/>
  <c r="D1013" i="8"/>
  <c r="C1013" i="8"/>
  <c r="I1011" i="8"/>
  <c r="H1011" i="8"/>
  <c r="F1011" i="8"/>
  <c r="F1010" i="8"/>
  <c r="F1009" i="8"/>
  <c r="J1008" i="8"/>
  <c r="I1008" i="8"/>
  <c r="H1008" i="8"/>
  <c r="G1008" i="8"/>
  <c r="J1007" i="8"/>
  <c r="I1007" i="8"/>
  <c r="H1007" i="8"/>
  <c r="G1007" i="8"/>
  <c r="F1006" i="8"/>
  <c r="E1006" i="8"/>
  <c r="D1006" i="8"/>
  <c r="C1006" i="8"/>
  <c r="I1004" i="8"/>
  <c r="H1004" i="8"/>
  <c r="F1004" i="8"/>
  <c r="F1003" i="8"/>
  <c r="F1002" i="8"/>
  <c r="J1001" i="8"/>
  <c r="I1001" i="8"/>
  <c r="H1001" i="8"/>
  <c r="G1001" i="8"/>
  <c r="J1000" i="8"/>
  <c r="I1000" i="8"/>
  <c r="H1000" i="8"/>
  <c r="G1000" i="8"/>
  <c r="F999" i="8"/>
  <c r="E999" i="8"/>
  <c r="D999" i="8"/>
  <c r="C999" i="8"/>
  <c r="I997" i="8"/>
  <c r="H997" i="8"/>
  <c r="F997" i="8"/>
  <c r="F996" i="8"/>
  <c r="F995" i="8"/>
  <c r="J994" i="8"/>
  <c r="I994" i="8"/>
  <c r="H994" i="8"/>
  <c r="G994" i="8"/>
  <c r="J993" i="8"/>
  <c r="I993" i="8"/>
  <c r="H993" i="8"/>
  <c r="G993" i="8"/>
  <c r="F992" i="8"/>
  <c r="E992" i="8"/>
  <c r="D992" i="8"/>
  <c r="C992" i="8"/>
  <c r="I990" i="8"/>
  <c r="H990" i="8"/>
  <c r="F990" i="8"/>
  <c r="F989" i="8"/>
  <c r="F988" i="8"/>
  <c r="J987" i="8"/>
  <c r="I987" i="8"/>
  <c r="H987" i="8"/>
  <c r="G987" i="8"/>
  <c r="J986" i="8"/>
  <c r="I986" i="8"/>
  <c r="H986" i="8"/>
  <c r="G986" i="8"/>
  <c r="F985" i="8"/>
  <c r="E985" i="8"/>
  <c r="D985" i="8"/>
  <c r="C985" i="8"/>
  <c r="I983" i="8"/>
  <c r="H983" i="8"/>
  <c r="F983" i="8"/>
  <c r="F982" i="8"/>
  <c r="F981" i="8"/>
  <c r="J980" i="8"/>
  <c r="I980" i="8"/>
  <c r="H980" i="8"/>
  <c r="G980" i="8"/>
  <c r="J979" i="8"/>
  <c r="I979" i="8"/>
  <c r="H979" i="8"/>
  <c r="G979" i="8"/>
  <c r="E977" i="8"/>
  <c r="D977" i="8"/>
  <c r="C977" i="8"/>
  <c r="I975" i="8"/>
  <c r="H975" i="8"/>
  <c r="F975" i="8"/>
  <c r="F974" i="8"/>
  <c r="F973" i="8"/>
  <c r="J972" i="8"/>
  <c r="I972" i="8"/>
  <c r="H972" i="8"/>
  <c r="G972" i="8"/>
  <c r="J971" i="8"/>
  <c r="I971" i="8"/>
  <c r="H971" i="8"/>
  <c r="G971" i="8"/>
  <c r="E969" i="8"/>
  <c r="D969" i="8"/>
  <c r="C969" i="8"/>
  <c r="C968" i="8"/>
  <c r="I965" i="8"/>
  <c r="H965" i="8"/>
  <c r="F965" i="8"/>
  <c r="F964" i="8"/>
  <c r="F963" i="8"/>
  <c r="F962" i="8"/>
  <c r="J961" i="8"/>
  <c r="I961" i="8"/>
  <c r="H961" i="8"/>
  <c r="G961" i="8"/>
  <c r="J960" i="8"/>
  <c r="I960" i="8"/>
  <c r="H960" i="8"/>
  <c r="G960" i="8"/>
  <c r="J959" i="8"/>
  <c r="I959" i="8"/>
  <c r="H959" i="8"/>
  <c r="G959" i="8"/>
  <c r="J958" i="8"/>
  <c r="I958" i="8"/>
  <c r="H958" i="8"/>
  <c r="G958" i="8"/>
  <c r="F957" i="8"/>
  <c r="E957" i="8"/>
  <c r="D957" i="8"/>
  <c r="C957" i="8"/>
  <c r="I955" i="8"/>
  <c r="H955" i="8"/>
  <c r="F955" i="8"/>
  <c r="F954" i="8"/>
  <c r="F953" i="8"/>
  <c r="J952" i="8"/>
  <c r="I952" i="8"/>
  <c r="H952" i="8"/>
  <c r="G952" i="8"/>
  <c r="J951" i="8"/>
  <c r="I951" i="8"/>
  <c r="H951" i="8"/>
  <c r="G951" i="8"/>
  <c r="E950" i="8"/>
  <c r="D950" i="8"/>
  <c r="C950" i="8"/>
  <c r="I948" i="8"/>
  <c r="H948" i="8"/>
  <c r="F948" i="8"/>
  <c r="F947" i="8"/>
  <c r="F946" i="8"/>
  <c r="J945" i="8"/>
  <c r="I945" i="8"/>
  <c r="H945" i="8"/>
  <c r="G945" i="8"/>
  <c r="E943" i="8"/>
  <c r="D943" i="8"/>
  <c r="C943" i="8"/>
  <c r="I941" i="8"/>
  <c r="H941" i="8"/>
  <c r="F941" i="8"/>
  <c r="F940" i="8"/>
  <c r="F939" i="8"/>
  <c r="J938" i="8"/>
  <c r="I938" i="8"/>
  <c r="H938" i="8"/>
  <c r="G938" i="8"/>
  <c r="J937" i="8"/>
  <c r="I937" i="8"/>
  <c r="H937" i="8"/>
  <c r="G937" i="8"/>
  <c r="E935" i="8"/>
  <c r="D935" i="8"/>
  <c r="C935" i="8"/>
  <c r="I933" i="8"/>
  <c r="H933" i="8"/>
  <c r="F933" i="8"/>
  <c r="F932" i="8"/>
  <c r="F931" i="8"/>
  <c r="J930" i="8"/>
  <c r="I930" i="8"/>
  <c r="H930" i="8"/>
  <c r="G930" i="8"/>
  <c r="J929" i="8"/>
  <c r="I929" i="8"/>
  <c r="H929" i="8"/>
  <c r="G929" i="8"/>
  <c r="F928" i="8"/>
  <c r="E928" i="8"/>
  <c r="D928" i="8"/>
  <c r="C928" i="8"/>
  <c r="I926" i="8"/>
  <c r="H926" i="8"/>
  <c r="F926" i="8"/>
  <c r="F925" i="8"/>
  <c r="F924" i="8"/>
  <c r="J923" i="8"/>
  <c r="I923" i="8"/>
  <c r="H923" i="8"/>
  <c r="G923" i="8"/>
  <c r="J922" i="8"/>
  <c r="I922" i="8"/>
  <c r="H922" i="8"/>
  <c r="G922" i="8"/>
  <c r="E920" i="8"/>
  <c r="D920" i="8"/>
  <c r="C920" i="8"/>
  <c r="I918" i="8"/>
  <c r="H918" i="8"/>
  <c r="F918" i="8"/>
  <c r="F917" i="8"/>
  <c r="F916" i="8"/>
  <c r="J915" i="8"/>
  <c r="I915" i="8"/>
  <c r="H915" i="8"/>
  <c r="G915" i="8"/>
  <c r="J914" i="8"/>
  <c r="I914" i="8"/>
  <c r="H914" i="8"/>
  <c r="G914" i="8"/>
  <c r="E912" i="8"/>
  <c r="D912" i="8"/>
  <c r="C912" i="8"/>
  <c r="C911" i="8"/>
  <c r="I908" i="8"/>
  <c r="H908" i="8"/>
  <c r="F908" i="8"/>
  <c r="F907" i="8"/>
  <c r="F906" i="8"/>
  <c r="F905" i="8"/>
  <c r="J904" i="8"/>
  <c r="I904" i="8"/>
  <c r="H904" i="8"/>
  <c r="G904" i="8"/>
  <c r="J903" i="8"/>
  <c r="I903" i="8"/>
  <c r="H903" i="8"/>
  <c r="G903" i="8"/>
  <c r="J902" i="8"/>
  <c r="I902" i="8"/>
  <c r="H902" i="8"/>
  <c r="G902" i="8"/>
  <c r="J901" i="8"/>
  <c r="I901" i="8"/>
  <c r="H901" i="8"/>
  <c r="G901" i="8"/>
  <c r="F900" i="8"/>
  <c r="E900" i="8"/>
  <c r="D900" i="8"/>
  <c r="C900" i="8"/>
  <c r="I898" i="8"/>
  <c r="H898" i="8"/>
  <c r="F898" i="8"/>
  <c r="F897" i="8"/>
  <c r="F896" i="8"/>
  <c r="J895" i="8"/>
  <c r="I895" i="8"/>
  <c r="H895" i="8"/>
  <c r="G895" i="8"/>
  <c r="J894" i="8"/>
  <c r="I894" i="8"/>
  <c r="H894" i="8"/>
  <c r="G894" i="8"/>
  <c r="E893" i="8"/>
  <c r="D893" i="8"/>
  <c r="C893" i="8"/>
  <c r="I891" i="8"/>
  <c r="H891" i="8"/>
  <c r="F891" i="8"/>
  <c r="F890" i="8"/>
  <c r="F889" i="8"/>
  <c r="J888" i="8"/>
  <c r="I888" i="8"/>
  <c r="H888" i="8"/>
  <c r="G888" i="8"/>
  <c r="E886" i="8"/>
  <c r="D886" i="8"/>
  <c r="C886" i="8"/>
  <c r="I884" i="8"/>
  <c r="H884" i="8"/>
  <c r="F884" i="8"/>
  <c r="F883" i="8"/>
  <c r="F882" i="8"/>
  <c r="J881" i="8"/>
  <c r="I881" i="8"/>
  <c r="H881" i="8"/>
  <c r="G881" i="8"/>
  <c r="J880" i="8"/>
  <c r="I880" i="8"/>
  <c r="H880" i="8"/>
  <c r="G880" i="8"/>
  <c r="E878" i="8"/>
  <c r="D878" i="8"/>
  <c r="C878" i="8"/>
  <c r="I876" i="8"/>
  <c r="H876" i="8"/>
  <c r="F876" i="8"/>
  <c r="F875" i="8"/>
  <c r="F874" i="8"/>
  <c r="J873" i="8"/>
  <c r="I873" i="8"/>
  <c r="H873" i="8"/>
  <c r="G873" i="8"/>
  <c r="J872" i="8"/>
  <c r="I872" i="8"/>
  <c r="H872" i="8"/>
  <c r="G872" i="8"/>
  <c r="F871" i="8"/>
  <c r="E871" i="8"/>
  <c r="D871" i="8"/>
  <c r="C871" i="8"/>
  <c r="I869" i="8"/>
  <c r="H869" i="8"/>
  <c r="F869" i="8"/>
  <c r="F868" i="8"/>
  <c r="F867" i="8"/>
  <c r="J866" i="8"/>
  <c r="I866" i="8"/>
  <c r="H866" i="8"/>
  <c r="G866" i="8"/>
  <c r="J865" i="8"/>
  <c r="I865" i="8"/>
  <c r="H865" i="8"/>
  <c r="G865" i="8"/>
  <c r="F864" i="8"/>
  <c r="E864" i="8"/>
  <c r="D864" i="8"/>
  <c r="C864" i="8"/>
  <c r="I862" i="8"/>
  <c r="H862" i="8"/>
  <c r="F862" i="8"/>
  <c r="F861" i="8"/>
  <c r="F860" i="8"/>
  <c r="J859" i="8"/>
  <c r="I859" i="8"/>
  <c r="H859" i="8"/>
  <c r="G859" i="8"/>
  <c r="J858" i="8"/>
  <c r="I858" i="8"/>
  <c r="H858" i="8"/>
  <c r="G858" i="8"/>
  <c r="F857" i="8"/>
  <c r="E857" i="8"/>
  <c r="D857" i="8"/>
  <c r="C857" i="8"/>
  <c r="I855" i="8"/>
  <c r="H855" i="8"/>
  <c r="F855" i="8"/>
  <c r="F854" i="8"/>
  <c r="F853" i="8"/>
  <c r="J852" i="8"/>
  <c r="I852" i="8"/>
  <c r="H852" i="8"/>
  <c r="G852" i="8"/>
  <c r="J851" i="8"/>
  <c r="I851" i="8"/>
  <c r="H851" i="8"/>
  <c r="G851" i="8"/>
  <c r="F850" i="8"/>
  <c r="E850" i="8"/>
  <c r="D850" i="8"/>
  <c r="C850" i="8"/>
  <c r="I848" i="8"/>
  <c r="H848" i="8"/>
  <c r="F848" i="8"/>
  <c r="F847" i="8"/>
  <c r="F846" i="8"/>
  <c r="J845" i="8"/>
  <c r="I845" i="8"/>
  <c r="H845" i="8"/>
  <c r="G845" i="8"/>
  <c r="J844" i="8"/>
  <c r="I844" i="8"/>
  <c r="H844" i="8"/>
  <c r="G844" i="8"/>
  <c r="E842" i="8"/>
  <c r="D842" i="8"/>
  <c r="C842" i="8"/>
  <c r="I840" i="8"/>
  <c r="H840" i="8"/>
  <c r="F840" i="8"/>
  <c r="F839" i="8"/>
  <c r="F838" i="8"/>
  <c r="J837" i="8"/>
  <c r="I837" i="8"/>
  <c r="H837" i="8"/>
  <c r="G837" i="8"/>
  <c r="J836" i="8"/>
  <c r="I836" i="8"/>
  <c r="H836" i="8"/>
  <c r="G836" i="8"/>
  <c r="E834" i="8"/>
  <c r="D834" i="8"/>
  <c r="C834" i="8"/>
  <c r="C833" i="8"/>
  <c r="A831" i="8"/>
  <c r="A829" i="8"/>
  <c r="I820" i="8"/>
  <c r="H820" i="8"/>
  <c r="F820" i="8"/>
  <c r="F819" i="8"/>
  <c r="F818" i="8"/>
  <c r="F817" i="8"/>
  <c r="J816" i="8"/>
  <c r="I816" i="8"/>
  <c r="H816" i="8"/>
  <c r="G816" i="8"/>
  <c r="J815" i="8"/>
  <c r="I815" i="8"/>
  <c r="H815" i="8"/>
  <c r="G815" i="8"/>
  <c r="J814" i="8"/>
  <c r="I814" i="8"/>
  <c r="H814" i="8"/>
  <c r="G814" i="8"/>
  <c r="J813" i="8"/>
  <c r="I813" i="8"/>
  <c r="H813" i="8"/>
  <c r="G813" i="8"/>
  <c r="E811" i="8"/>
  <c r="D811" i="8"/>
  <c r="C811" i="8"/>
  <c r="A810" i="8"/>
  <c r="C805" i="8"/>
  <c r="C803" i="8"/>
  <c r="I800" i="8"/>
  <c r="H800" i="8"/>
  <c r="F800" i="8"/>
  <c r="F799" i="8"/>
  <c r="F798" i="8"/>
  <c r="F797" i="8"/>
  <c r="J796" i="8"/>
  <c r="I796" i="8"/>
  <c r="H796" i="8"/>
  <c r="G796" i="8"/>
  <c r="J795" i="8"/>
  <c r="I795" i="8"/>
  <c r="H795" i="8"/>
  <c r="G795" i="8"/>
  <c r="J794" i="8"/>
  <c r="I794" i="8"/>
  <c r="H794" i="8"/>
  <c r="G794" i="8"/>
  <c r="J793" i="8"/>
  <c r="I793" i="8"/>
  <c r="H793" i="8"/>
  <c r="G793" i="8"/>
  <c r="F792" i="8"/>
  <c r="E792" i="8"/>
  <c r="D792" i="8"/>
  <c r="C792" i="8"/>
  <c r="I790" i="8"/>
  <c r="H790" i="8"/>
  <c r="F790" i="8"/>
  <c r="F789" i="8"/>
  <c r="F788" i="8"/>
  <c r="F787" i="8"/>
  <c r="J786" i="8"/>
  <c r="I786" i="8"/>
  <c r="H786" i="8"/>
  <c r="G786" i="8"/>
  <c r="J785" i="8"/>
  <c r="I785" i="8"/>
  <c r="H785" i="8"/>
  <c r="G785" i="8"/>
  <c r="J784" i="8"/>
  <c r="I784" i="8"/>
  <c r="H784" i="8"/>
  <c r="G784" i="8"/>
  <c r="J783" i="8"/>
  <c r="I783" i="8"/>
  <c r="H783" i="8"/>
  <c r="G783" i="8"/>
  <c r="F782" i="8"/>
  <c r="E782" i="8"/>
  <c r="D782" i="8"/>
  <c r="C782" i="8"/>
  <c r="I780" i="8"/>
  <c r="H780" i="8"/>
  <c r="F780" i="8"/>
  <c r="F779" i="8"/>
  <c r="F778" i="8"/>
  <c r="J777" i="8"/>
  <c r="I777" i="8"/>
  <c r="H777" i="8"/>
  <c r="G777" i="8"/>
  <c r="J776" i="8"/>
  <c r="I776" i="8"/>
  <c r="H776" i="8"/>
  <c r="G776" i="8"/>
  <c r="F775" i="8"/>
  <c r="E775" i="8"/>
  <c r="D775" i="8"/>
  <c r="C775" i="8"/>
  <c r="I773" i="8"/>
  <c r="H773" i="8"/>
  <c r="F773" i="8"/>
  <c r="F772" i="8"/>
  <c r="F771" i="8"/>
  <c r="F770" i="8"/>
  <c r="J769" i="8"/>
  <c r="I769" i="8"/>
  <c r="H769" i="8"/>
  <c r="G769" i="8"/>
  <c r="J768" i="8"/>
  <c r="I768" i="8"/>
  <c r="H768" i="8"/>
  <c r="G768" i="8"/>
  <c r="J767" i="8"/>
  <c r="I767" i="8"/>
  <c r="H767" i="8"/>
  <c r="G767" i="8"/>
  <c r="J766" i="8"/>
  <c r="I766" i="8"/>
  <c r="H766" i="8"/>
  <c r="G766" i="8"/>
  <c r="F765" i="8"/>
  <c r="E765" i="8"/>
  <c r="D765" i="8"/>
  <c r="C765" i="8"/>
  <c r="I763" i="8"/>
  <c r="H763" i="8"/>
  <c r="F763" i="8"/>
  <c r="F762" i="8"/>
  <c r="F761" i="8"/>
  <c r="F760" i="8"/>
  <c r="J759" i="8"/>
  <c r="I759" i="8"/>
  <c r="H759" i="8"/>
  <c r="G759" i="8"/>
  <c r="J758" i="8"/>
  <c r="I758" i="8"/>
  <c r="H758" i="8"/>
  <c r="G758" i="8"/>
  <c r="J757" i="8"/>
  <c r="I757" i="8"/>
  <c r="H757" i="8"/>
  <c r="G757" i="8"/>
  <c r="E756" i="8"/>
  <c r="D756" i="8"/>
  <c r="C756" i="8"/>
  <c r="I754" i="8"/>
  <c r="H754" i="8"/>
  <c r="F754" i="8"/>
  <c r="F753" i="8"/>
  <c r="F752" i="8"/>
  <c r="F751" i="8"/>
  <c r="J750" i="8"/>
  <c r="I750" i="8"/>
  <c r="H750" i="8"/>
  <c r="G750" i="8"/>
  <c r="J749" i="8"/>
  <c r="I749" i="8"/>
  <c r="H749" i="8"/>
  <c r="G749" i="8"/>
  <c r="J748" i="8"/>
  <c r="I748" i="8"/>
  <c r="H748" i="8"/>
  <c r="G748" i="8"/>
  <c r="J747" i="8"/>
  <c r="I747" i="8"/>
  <c r="H747" i="8"/>
  <c r="G747" i="8"/>
  <c r="E745" i="8"/>
  <c r="D745" i="8"/>
  <c r="C745" i="8"/>
  <c r="I743" i="8"/>
  <c r="H743" i="8"/>
  <c r="F743" i="8"/>
  <c r="F742" i="8"/>
  <c r="F741" i="8"/>
  <c r="F740" i="8"/>
  <c r="J739" i="8"/>
  <c r="I739" i="8"/>
  <c r="H739" i="8"/>
  <c r="G739" i="8"/>
  <c r="J738" i="8"/>
  <c r="I738" i="8"/>
  <c r="H738" i="8"/>
  <c r="G738" i="8"/>
  <c r="J737" i="8"/>
  <c r="I737" i="8"/>
  <c r="H737" i="8"/>
  <c r="G737" i="8"/>
  <c r="J736" i="8"/>
  <c r="I736" i="8"/>
  <c r="H736" i="8"/>
  <c r="G736" i="8"/>
  <c r="F735" i="8"/>
  <c r="E735" i="8"/>
  <c r="D735" i="8"/>
  <c r="C735" i="8"/>
  <c r="A734" i="8"/>
  <c r="I728" i="8"/>
  <c r="H728" i="8"/>
  <c r="F728" i="8"/>
  <c r="F727" i="8"/>
  <c r="F726" i="8"/>
  <c r="J725" i="8"/>
  <c r="I725" i="8"/>
  <c r="H725" i="8"/>
  <c r="G725" i="8"/>
  <c r="E723" i="8"/>
  <c r="D723" i="8"/>
  <c r="C723" i="8"/>
  <c r="I721" i="8"/>
  <c r="H721" i="8"/>
  <c r="F721" i="8"/>
  <c r="F720" i="8"/>
  <c r="F719" i="8"/>
  <c r="J718" i="8"/>
  <c r="I718" i="8"/>
  <c r="H718" i="8"/>
  <c r="G718" i="8"/>
  <c r="E716" i="8"/>
  <c r="D716" i="8"/>
  <c r="C716" i="8"/>
  <c r="I714" i="8"/>
  <c r="H714" i="8"/>
  <c r="F714" i="8"/>
  <c r="F713" i="8"/>
  <c r="F712" i="8"/>
  <c r="F711" i="8"/>
  <c r="J710" i="8"/>
  <c r="I710" i="8"/>
  <c r="H710" i="8"/>
  <c r="G710" i="8"/>
  <c r="J709" i="8"/>
  <c r="I709" i="8"/>
  <c r="H709" i="8"/>
  <c r="G709" i="8"/>
  <c r="J708" i="8"/>
  <c r="I708" i="8"/>
  <c r="H708" i="8"/>
  <c r="G708" i="8"/>
  <c r="E706" i="8"/>
  <c r="D706" i="8"/>
  <c r="C706" i="8"/>
  <c r="C705" i="8"/>
  <c r="I702" i="8"/>
  <c r="H702" i="8"/>
  <c r="F702" i="8"/>
  <c r="F701" i="8"/>
  <c r="F700" i="8"/>
  <c r="F699" i="8"/>
  <c r="J698" i="8"/>
  <c r="I698" i="8"/>
  <c r="H698" i="8"/>
  <c r="G698" i="8"/>
  <c r="J697" i="8"/>
  <c r="I697" i="8"/>
  <c r="H697" i="8"/>
  <c r="G697" i="8"/>
  <c r="J696" i="8"/>
  <c r="I696" i="8"/>
  <c r="H696" i="8"/>
  <c r="G696" i="8"/>
  <c r="J695" i="8"/>
  <c r="I695" i="8"/>
  <c r="H695" i="8"/>
  <c r="G695" i="8"/>
  <c r="F694" i="8"/>
  <c r="E694" i="8"/>
  <c r="D694" i="8"/>
  <c r="C694" i="8"/>
  <c r="C693" i="8"/>
  <c r="I690" i="8"/>
  <c r="H690" i="8"/>
  <c r="F690" i="8"/>
  <c r="F689" i="8"/>
  <c r="F688" i="8"/>
  <c r="J687" i="8"/>
  <c r="I687" i="8"/>
  <c r="H687" i="8"/>
  <c r="G687" i="8"/>
  <c r="J686" i="8"/>
  <c r="I686" i="8"/>
  <c r="H686" i="8"/>
  <c r="G686" i="8"/>
  <c r="F685" i="8"/>
  <c r="E685" i="8"/>
  <c r="D685" i="8"/>
  <c r="C685" i="8"/>
  <c r="I683" i="8"/>
  <c r="H683" i="8"/>
  <c r="F683" i="8"/>
  <c r="F682" i="8"/>
  <c r="F681" i="8"/>
  <c r="J680" i="8"/>
  <c r="I680" i="8"/>
  <c r="H680" i="8"/>
  <c r="G680" i="8"/>
  <c r="J679" i="8"/>
  <c r="I679" i="8"/>
  <c r="H679" i="8"/>
  <c r="G679" i="8"/>
  <c r="F678" i="8"/>
  <c r="E678" i="8"/>
  <c r="D678" i="8"/>
  <c r="C678" i="8"/>
  <c r="I676" i="8"/>
  <c r="H676" i="8"/>
  <c r="F676" i="8"/>
  <c r="F675" i="8"/>
  <c r="F674" i="8"/>
  <c r="F673" i="8"/>
  <c r="J672" i="8"/>
  <c r="I672" i="8"/>
  <c r="H672" i="8"/>
  <c r="G672" i="8"/>
  <c r="J671" i="8"/>
  <c r="I671" i="8"/>
  <c r="H671" i="8"/>
  <c r="G671" i="8"/>
  <c r="J670" i="8"/>
  <c r="I670" i="8"/>
  <c r="H670" i="8"/>
  <c r="G670" i="8"/>
  <c r="J669" i="8"/>
  <c r="I669" i="8"/>
  <c r="H669" i="8"/>
  <c r="G669" i="8"/>
  <c r="F668" i="8"/>
  <c r="E668" i="8"/>
  <c r="D668" i="8"/>
  <c r="C668" i="8"/>
  <c r="I666" i="8"/>
  <c r="H666" i="8"/>
  <c r="F666" i="8"/>
  <c r="F665" i="8"/>
  <c r="F664" i="8"/>
  <c r="F663" i="8"/>
  <c r="J662" i="8"/>
  <c r="I662" i="8"/>
  <c r="H662" i="8"/>
  <c r="G662" i="8"/>
  <c r="J661" i="8"/>
  <c r="I661" i="8"/>
  <c r="H661" i="8"/>
  <c r="G661" i="8"/>
  <c r="J660" i="8"/>
  <c r="I660" i="8"/>
  <c r="H660" i="8"/>
  <c r="G660" i="8"/>
  <c r="J659" i="8"/>
  <c r="I659" i="8"/>
  <c r="H659" i="8"/>
  <c r="G659" i="8"/>
  <c r="F658" i="8"/>
  <c r="E658" i="8"/>
  <c r="D658" i="8"/>
  <c r="C658" i="8"/>
  <c r="I656" i="8"/>
  <c r="H656" i="8"/>
  <c r="F656" i="8"/>
  <c r="F655" i="8"/>
  <c r="F654" i="8"/>
  <c r="F653" i="8"/>
  <c r="J652" i="8"/>
  <c r="I652" i="8"/>
  <c r="H652" i="8"/>
  <c r="G652" i="8"/>
  <c r="J651" i="8"/>
  <c r="I651" i="8"/>
  <c r="H651" i="8"/>
  <c r="G651" i="8"/>
  <c r="J650" i="8"/>
  <c r="I650" i="8"/>
  <c r="H650" i="8"/>
  <c r="G650" i="8"/>
  <c r="J649" i="8"/>
  <c r="I649" i="8"/>
  <c r="H649" i="8"/>
  <c r="G649" i="8"/>
  <c r="F648" i="8"/>
  <c r="E648" i="8"/>
  <c r="D648" i="8"/>
  <c r="C648" i="8"/>
  <c r="I646" i="8"/>
  <c r="H646" i="8"/>
  <c r="F646" i="8"/>
  <c r="F645" i="8"/>
  <c r="F644" i="8"/>
  <c r="F643" i="8"/>
  <c r="J642" i="8"/>
  <c r="I642" i="8"/>
  <c r="H642" i="8"/>
  <c r="G642" i="8"/>
  <c r="J641" i="8"/>
  <c r="I641" i="8"/>
  <c r="H641" i="8"/>
  <c r="G641" i="8"/>
  <c r="J640" i="8"/>
  <c r="I640" i="8"/>
  <c r="H640" i="8"/>
  <c r="G640" i="8"/>
  <c r="J639" i="8"/>
  <c r="I639" i="8"/>
  <c r="H639" i="8"/>
  <c r="G639" i="8"/>
  <c r="F638" i="8"/>
  <c r="E638" i="8"/>
  <c r="D638" i="8"/>
  <c r="C638" i="8"/>
  <c r="I636" i="8"/>
  <c r="H636" i="8"/>
  <c r="F636" i="8"/>
  <c r="F635" i="8"/>
  <c r="F634" i="8"/>
  <c r="F633" i="8"/>
  <c r="J632" i="8"/>
  <c r="I632" i="8"/>
  <c r="H632" i="8"/>
  <c r="G632" i="8"/>
  <c r="J631" i="8"/>
  <c r="I631" i="8"/>
  <c r="H631" i="8"/>
  <c r="G631" i="8"/>
  <c r="J630" i="8"/>
  <c r="I630" i="8"/>
  <c r="H630" i="8"/>
  <c r="G630" i="8"/>
  <c r="J629" i="8"/>
  <c r="I629" i="8"/>
  <c r="H629" i="8"/>
  <c r="G629" i="8"/>
  <c r="F628" i="8"/>
  <c r="E628" i="8"/>
  <c r="D628" i="8"/>
  <c r="C628" i="8"/>
  <c r="A627" i="8"/>
  <c r="A625" i="8"/>
  <c r="I616" i="8"/>
  <c r="H616" i="8"/>
  <c r="F616" i="8"/>
  <c r="F615" i="8"/>
  <c r="F614" i="8"/>
  <c r="J613" i="8"/>
  <c r="I613" i="8"/>
  <c r="H613" i="8"/>
  <c r="G613" i="8"/>
  <c r="J612" i="8"/>
  <c r="I612" i="8"/>
  <c r="H612" i="8"/>
  <c r="G612" i="8"/>
  <c r="F611" i="8"/>
  <c r="E611" i="8"/>
  <c r="D611" i="8"/>
  <c r="C611" i="8"/>
  <c r="I609" i="8"/>
  <c r="H609" i="8"/>
  <c r="F609" i="8"/>
  <c r="F608" i="8"/>
  <c r="F607" i="8"/>
  <c r="J606" i="8"/>
  <c r="I606" i="8"/>
  <c r="H606" i="8"/>
  <c r="G606" i="8"/>
  <c r="E604" i="8"/>
  <c r="D604" i="8"/>
  <c r="C604" i="8"/>
  <c r="I602" i="8"/>
  <c r="H602" i="8"/>
  <c r="F602" i="8"/>
  <c r="F601" i="8"/>
  <c r="F600" i="8"/>
  <c r="J599" i="8"/>
  <c r="I599" i="8"/>
  <c r="H599" i="8"/>
  <c r="G599" i="8"/>
  <c r="E597" i="8"/>
  <c r="D597" i="8"/>
  <c r="C597" i="8"/>
  <c r="C596" i="8"/>
  <c r="I593" i="8"/>
  <c r="H593" i="8"/>
  <c r="F593" i="8"/>
  <c r="F592" i="8"/>
  <c r="F591" i="8"/>
  <c r="J590" i="8"/>
  <c r="I590" i="8"/>
  <c r="H590" i="8"/>
  <c r="G590" i="8"/>
  <c r="E588" i="8"/>
  <c r="D588" i="8"/>
  <c r="C588" i="8"/>
  <c r="I586" i="8"/>
  <c r="H586" i="8"/>
  <c r="F586" i="8"/>
  <c r="F585" i="8"/>
  <c r="F584" i="8"/>
  <c r="J583" i="8"/>
  <c r="I583" i="8"/>
  <c r="H583" i="8"/>
  <c r="G583" i="8"/>
  <c r="E581" i="8"/>
  <c r="D581" i="8"/>
  <c r="C581" i="8"/>
  <c r="I579" i="8"/>
  <c r="H579" i="8"/>
  <c r="F579" i="8"/>
  <c r="F578" i="8"/>
  <c r="F577" i="8"/>
  <c r="J576" i="8"/>
  <c r="I576" i="8"/>
  <c r="H576" i="8"/>
  <c r="G576" i="8"/>
  <c r="J575" i="8"/>
  <c r="I575" i="8"/>
  <c r="H575" i="8"/>
  <c r="G575" i="8"/>
  <c r="E573" i="8"/>
  <c r="D573" i="8"/>
  <c r="C573" i="8"/>
  <c r="I571" i="8"/>
  <c r="H571" i="8"/>
  <c r="F571" i="8"/>
  <c r="F570" i="8"/>
  <c r="F569" i="8"/>
  <c r="J568" i="8"/>
  <c r="I568" i="8"/>
  <c r="G568" i="8"/>
  <c r="E568" i="8"/>
  <c r="D568" i="8"/>
  <c r="C568" i="8"/>
  <c r="J567" i="8"/>
  <c r="I567" i="8"/>
  <c r="H567" i="8"/>
  <c r="G567" i="8"/>
  <c r="J566" i="8"/>
  <c r="I566" i="8"/>
  <c r="H566" i="8"/>
  <c r="G566" i="8"/>
  <c r="E564" i="8"/>
  <c r="D564" i="8"/>
  <c r="C564" i="8"/>
  <c r="I562" i="8"/>
  <c r="H562" i="8"/>
  <c r="F562" i="8"/>
  <c r="F561" i="8"/>
  <c r="F560" i="8"/>
  <c r="J559" i="8"/>
  <c r="I559" i="8"/>
  <c r="H559" i="8"/>
  <c r="G559" i="8"/>
  <c r="E557" i="8"/>
  <c r="D557" i="8"/>
  <c r="C557" i="8"/>
  <c r="I555" i="8"/>
  <c r="H555" i="8"/>
  <c r="F555" i="8"/>
  <c r="F554" i="8"/>
  <c r="F553" i="8"/>
  <c r="J552" i="8"/>
  <c r="I552" i="8"/>
  <c r="H552" i="8"/>
  <c r="G552" i="8"/>
  <c r="J551" i="8"/>
  <c r="I551" i="8"/>
  <c r="H551" i="8"/>
  <c r="G551" i="8"/>
  <c r="E549" i="8"/>
  <c r="D549" i="8"/>
  <c r="C549" i="8"/>
  <c r="I547" i="8"/>
  <c r="H547" i="8"/>
  <c r="F547" i="8"/>
  <c r="F546" i="8"/>
  <c r="F545" i="8"/>
  <c r="J544" i="8"/>
  <c r="I544" i="8"/>
  <c r="H544" i="8"/>
  <c r="G544" i="8"/>
  <c r="J543" i="8"/>
  <c r="I543" i="8"/>
  <c r="H543" i="8"/>
  <c r="G543" i="8"/>
  <c r="F542" i="8"/>
  <c r="E542" i="8"/>
  <c r="D542" i="8"/>
  <c r="C542" i="8"/>
  <c r="I540" i="8"/>
  <c r="H540" i="8"/>
  <c r="F540" i="8"/>
  <c r="F539" i="8"/>
  <c r="F538" i="8"/>
  <c r="J537" i="8"/>
  <c r="I537" i="8"/>
  <c r="H537" i="8"/>
  <c r="G537" i="8"/>
  <c r="E535" i="8"/>
  <c r="D535" i="8"/>
  <c r="C535" i="8"/>
  <c r="I533" i="8"/>
  <c r="H533" i="8"/>
  <c r="F533" i="8"/>
  <c r="F532" i="8"/>
  <c r="F531" i="8"/>
  <c r="J530" i="8"/>
  <c r="I530" i="8"/>
  <c r="H530" i="8"/>
  <c r="G530" i="8"/>
  <c r="F529" i="8"/>
  <c r="E529" i="8"/>
  <c r="D529" i="8"/>
  <c r="C529" i="8"/>
  <c r="I527" i="8"/>
  <c r="H527" i="8"/>
  <c r="F527" i="8"/>
  <c r="F526" i="8"/>
  <c r="F525" i="8"/>
  <c r="J524" i="8"/>
  <c r="I524" i="8"/>
  <c r="H524" i="8"/>
  <c r="G524" i="8"/>
  <c r="F523" i="8"/>
  <c r="E523" i="8"/>
  <c r="D523" i="8"/>
  <c r="C523" i="8"/>
  <c r="C522" i="8"/>
  <c r="I519" i="8"/>
  <c r="H519" i="8"/>
  <c r="F519" i="8"/>
  <c r="F518" i="8"/>
  <c r="F517" i="8"/>
  <c r="J516" i="8"/>
  <c r="I516" i="8"/>
  <c r="H516" i="8"/>
  <c r="G516" i="8"/>
  <c r="J515" i="8"/>
  <c r="I515" i="8"/>
  <c r="H515" i="8"/>
  <c r="G515" i="8"/>
  <c r="F514" i="8"/>
  <c r="E514" i="8"/>
  <c r="D514" i="8"/>
  <c r="C514" i="8"/>
  <c r="I512" i="8"/>
  <c r="H512" i="8"/>
  <c r="F512" i="8"/>
  <c r="F511" i="8"/>
  <c r="F510" i="8"/>
  <c r="J509" i="8"/>
  <c r="I509" i="8"/>
  <c r="H509" i="8"/>
  <c r="G509" i="8"/>
  <c r="E507" i="8"/>
  <c r="D507" i="8"/>
  <c r="C507" i="8"/>
  <c r="I505" i="8"/>
  <c r="H505" i="8"/>
  <c r="F505" i="8"/>
  <c r="F504" i="8"/>
  <c r="F503" i="8"/>
  <c r="F502" i="8"/>
  <c r="J501" i="8"/>
  <c r="I501" i="8"/>
  <c r="H501" i="8"/>
  <c r="G501" i="8"/>
  <c r="J500" i="8"/>
  <c r="I500" i="8"/>
  <c r="H500" i="8"/>
  <c r="G500" i="8"/>
  <c r="J499" i="8"/>
  <c r="I499" i="8"/>
  <c r="H499" i="8"/>
  <c r="G499" i="8"/>
  <c r="E497" i="8"/>
  <c r="D497" i="8"/>
  <c r="C497" i="8"/>
  <c r="I495" i="8"/>
  <c r="H495" i="8"/>
  <c r="F495" i="8"/>
  <c r="F494" i="8"/>
  <c r="F493" i="8"/>
  <c r="J492" i="8"/>
  <c r="I492" i="8"/>
  <c r="H492" i="8"/>
  <c r="G492" i="8"/>
  <c r="E490" i="8"/>
  <c r="D490" i="8"/>
  <c r="C490" i="8"/>
  <c r="C489" i="8"/>
  <c r="I486" i="8"/>
  <c r="H486" i="8"/>
  <c r="F486" i="8"/>
  <c r="F485" i="8"/>
  <c r="F484" i="8"/>
  <c r="J483" i="8"/>
  <c r="I483" i="8"/>
  <c r="H483" i="8"/>
  <c r="G483" i="8"/>
  <c r="E481" i="8"/>
  <c r="D481" i="8"/>
  <c r="C481" i="8"/>
  <c r="I479" i="8"/>
  <c r="H479" i="8"/>
  <c r="F479" i="8"/>
  <c r="F478" i="8"/>
  <c r="F477" i="8"/>
  <c r="J476" i="8"/>
  <c r="I476" i="8"/>
  <c r="H476" i="8"/>
  <c r="G476" i="8"/>
  <c r="E474" i="8"/>
  <c r="D474" i="8"/>
  <c r="C474" i="8"/>
  <c r="I472" i="8"/>
  <c r="H472" i="8"/>
  <c r="F472" i="8"/>
  <c r="F471" i="8"/>
  <c r="F470" i="8"/>
  <c r="J469" i="8"/>
  <c r="I469" i="8"/>
  <c r="H469" i="8"/>
  <c r="G469" i="8"/>
  <c r="J468" i="8"/>
  <c r="I468" i="8"/>
  <c r="H468" i="8"/>
  <c r="G468" i="8"/>
  <c r="F467" i="8"/>
  <c r="E467" i="8"/>
  <c r="D467" i="8"/>
  <c r="C467" i="8"/>
  <c r="I465" i="8"/>
  <c r="H465" i="8"/>
  <c r="F465" i="8"/>
  <c r="F464" i="8"/>
  <c r="F463" i="8"/>
  <c r="J462" i="8"/>
  <c r="I462" i="8"/>
  <c r="H462" i="8"/>
  <c r="G462" i="8"/>
  <c r="F461" i="8"/>
  <c r="E461" i="8"/>
  <c r="D461" i="8"/>
  <c r="C461" i="8"/>
  <c r="I459" i="8"/>
  <c r="H459" i="8"/>
  <c r="F459" i="8"/>
  <c r="F458" i="8"/>
  <c r="F457" i="8"/>
  <c r="J456" i="8"/>
  <c r="I456" i="8"/>
  <c r="H456" i="8"/>
  <c r="G456" i="8"/>
  <c r="J455" i="8"/>
  <c r="I455" i="8"/>
  <c r="H455" i="8"/>
  <c r="G455" i="8"/>
  <c r="F454" i="8"/>
  <c r="E454" i="8"/>
  <c r="D454" i="8"/>
  <c r="C454" i="8"/>
  <c r="I452" i="8"/>
  <c r="H452" i="8"/>
  <c r="F452" i="8"/>
  <c r="F451" i="8"/>
  <c r="F450" i="8"/>
  <c r="J449" i="8"/>
  <c r="I449" i="8"/>
  <c r="G449" i="8"/>
  <c r="E449" i="8"/>
  <c r="D449" i="8"/>
  <c r="C449" i="8"/>
  <c r="J448" i="8"/>
  <c r="I448" i="8"/>
  <c r="H448" i="8"/>
  <c r="G448" i="8"/>
  <c r="J447" i="8"/>
  <c r="I447" i="8"/>
  <c r="H447" i="8"/>
  <c r="G447" i="8"/>
  <c r="E445" i="8"/>
  <c r="D445" i="8"/>
  <c r="C445" i="8"/>
  <c r="I443" i="8"/>
  <c r="H443" i="8"/>
  <c r="F443" i="8"/>
  <c r="F442" i="8"/>
  <c r="F441" i="8"/>
  <c r="F440" i="8"/>
  <c r="J439" i="8"/>
  <c r="I439" i="8"/>
  <c r="H439" i="8"/>
  <c r="G439" i="8"/>
  <c r="J438" i="8"/>
  <c r="I438" i="8"/>
  <c r="H438" i="8"/>
  <c r="G438" i="8"/>
  <c r="J437" i="8"/>
  <c r="I437" i="8"/>
  <c r="H437" i="8"/>
  <c r="G437" i="8"/>
  <c r="F436" i="8"/>
  <c r="E436" i="8"/>
  <c r="D436" i="8"/>
  <c r="C436" i="8"/>
  <c r="I434" i="8"/>
  <c r="H434" i="8"/>
  <c r="F434" i="8"/>
  <c r="F433" i="8"/>
  <c r="F432" i="8"/>
  <c r="J431" i="8"/>
  <c r="I431" i="8"/>
  <c r="H431" i="8"/>
  <c r="G431" i="8"/>
  <c r="E429" i="8"/>
  <c r="D429" i="8"/>
  <c r="C429" i="8"/>
  <c r="I427" i="8"/>
  <c r="H427" i="8"/>
  <c r="F427" i="8"/>
  <c r="F426" i="8"/>
  <c r="F425" i="8"/>
  <c r="J424" i="8"/>
  <c r="I424" i="8"/>
  <c r="H424" i="8"/>
  <c r="G424" i="8"/>
  <c r="J423" i="8"/>
  <c r="I423" i="8"/>
  <c r="H423" i="8"/>
  <c r="G423" i="8"/>
  <c r="F422" i="8"/>
  <c r="E422" i="8"/>
  <c r="D422" i="8"/>
  <c r="C422" i="8"/>
  <c r="I420" i="8"/>
  <c r="H420" i="8"/>
  <c r="F420" i="8"/>
  <c r="F419" i="8"/>
  <c r="F418" i="8"/>
  <c r="J417" i="8"/>
  <c r="I417" i="8"/>
  <c r="H417" i="8"/>
  <c r="G417" i="8"/>
  <c r="F416" i="8"/>
  <c r="E416" i="8"/>
  <c r="D416" i="8"/>
  <c r="C416" i="8"/>
  <c r="I414" i="8"/>
  <c r="H414" i="8"/>
  <c r="F414" i="8"/>
  <c r="F413" i="8"/>
  <c r="F412" i="8"/>
  <c r="J411" i="8"/>
  <c r="I411" i="8"/>
  <c r="H411" i="8"/>
  <c r="G411" i="8"/>
  <c r="J410" i="8"/>
  <c r="I410" i="8"/>
  <c r="H410" i="8"/>
  <c r="G410" i="8"/>
  <c r="F409" i="8"/>
  <c r="E409" i="8"/>
  <c r="D409" i="8"/>
  <c r="C409" i="8"/>
  <c r="I407" i="8"/>
  <c r="H407" i="8"/>
  <c r="F407" i="8"/>
  <c r="F406" i="8"/>
  <c r="F405" i="8"/>
  <c r="J404" i="8"/>
  <c r="I404" i="8"/>
  <c r="H404" i="8"/>
  <c r="G404" i="8"/>
  <c r="J403" i="8"/>
  <c r="I403" i="8"/>
  <c r="H403" i="8"/>
  <c r="G403" i="8"/>
  <c r="E401" i="8"/>
  <c r="D401" i="8"/>
  <c r="C401" i="8"/>
  <c r="I399" i="8"/>
  <c r="H399" i="8"/>
  <c r="F399" i="8"/>
  <c r="F398" i="8"/>
  <c r="F397" i="8"/>
  <c r="J396" i="8"/>
  <c r="I396" i="8"/>
  <c r="H396" i="8"/>
  <c r="G396" i="8"/>
  <c r="J395" i="8"/>
  <c r="I395" i="8"/>
  <c r="H395" i="8"/>
  <c r="G395" i="8"/>
  <c r="F394" i="8"/>
  <c r="E394" i="8"/>
  <c r="D394" i="8"/>
  <c r="C394" i="8"/>
  <c r="I392" i="8"/>
  <c r="H392" i="8"/>
  <c r="F392" i="8"/>
  <c r="F391" i="8"/>
  <c r="F390" i="8"/>
  <c r="F389" i="8"/>
  <c r="J388" i="8"/>
  <c r="I388" i="8"/>
  <c r="H388" i="8"/>
  <c r="G388" i="8"/>
  <c r="J387" i="8"/>
  <c r="I387" i="8"/>
  <c r="H387" i="8"/>
  <c r="G387" i="8"/>
  <c r="J386" i="8"/>
  <c r="I386" i="8"/>
  <c r="H386" i="8"/>
  <c r="G386" i="8"/>
  <c r="J385" i="8"/>
  <c r="I385" i="8"/>
  <c r="H385" i="8"/>
  <c r="G385" i="8"/>
  <c r="F384" i="8"/>
  <c r="E384" i="8"/>
  <c r="D384" i="8"/>
  <c r="C384" i="8"/>
  <c r="I382" i="8"/>
  <c r="H382" i="8"/>
  <c r="F382" i="8"/>
  <c r="F381" i="8"/>
  <c r="F380" i="8"/>
  <c r="J379" i="8"/>
  <c r="I379" i="8"/>
  <c r="H379" i="8"/>
  <c r="G379" i="8"/>
  <c r="F378" i="8"/>
  <c r="E378" i="8"/>
  <c r="D378" i="8"/>
  <c r="C378" i="8"/>
  <c r="I376" i="8"/>
  <c r="H376" i="8"/>
  <c r="F376" i="8"/>
  <c r="F375" i="8"/>
  <c r="F374" i="8"/>
  <c r="F373" i="8"/>
  <c r="J372" i="8"/>
  <c r="I372" i="8"/>
  <c r="H372" i="8"/>
  <c r="G372" i="8"/>
  <c r="J371" i="8"/>
  <c r="I371" i="8"/>
  <c r="H371" i="8"/>
  <c r="G371" i="8"/>
  <c r="J370" i="8"/>
  <c r="I370" i="8"/>
  <c r="H370" i="8"/>
  <c r="G370" i="8"/>
  <c r="F369" i="8"/>
  <c r="E369" i="8"/>
  <c r="D369" i="8"/>
  <c r="C369" i="8"/>
  <c r="C368" i="8"/>
  <c r="A366" i="8"/>
  <c r="I360" i="8"/>
  <c r="H360" i="8"/>
  <c r="F360" i="8"/>
  <c r="F359" i="8"/>
  <c r="F358" i="8"/>
  <c r="J357" i="8"/>
  <c r="I357" i="8"/>
  <c r="H357" i="8"/>
  <c r="G357" i="8"/>
  <c r="J356" i="8"/>
  <c r="I356" i="8"/>
  <c r="H356" i="8"/>
  <c r="G356" i="8"/>
  <c r="E354" i="8"/>
  <c r="D354" i="8"/>
  <c r="C354" i="8"/>
  <c r="I352" i="8"/>
  <c r="H352" i="8"/>
  <c r="F352" i="8"/>
  <c r="F351" i="8"/>
  <c r="F350" i="8"/>
  <c r="J349" i="8"/>
  <c r="I349" i="8"/>
  <c r="H349" i="8"/>
  <c r="G349" i="8"/>
  <c r="E347" i="8"/>
  <c r="D347" i="8"/>
  <c r="C347" i="8"/>
  <c r="I345" i="8"/>
  <c r="H345" i="8"/>
  <c r="F345" i="8"/>
  <c r="F344" i="8"/>
  <c r="F343" i="8"/>
  <c r="J342" i="8"/>
  <c r="I342" i="8"/>
  <c r="H342" i="8"/>
  <c r="G342" i="8"/>
  <c r="E340" i="8"/>
  <c r="D340" i="8"/>
  <c r="C340" i="8"/>
  <c r="I338" i="8"/>
  <c r="H338" i="8"/>
  <c r="F338" i="8"/>
  <c r="F337" i="8"/>
  <c r="F336" i="8"/>
  <c r="J335" i="8"/>
  <c r="I335" i="8"/>
  <c r="H335" i="8"/>
  <c r="G335" i="8"/>
  <c r="E333" i="8"/>
  <c r="D333" i="8"/>
  <c r="C333" i="8"/>
  <c r="I331" i="8"/>
  <c r="H331" i="8"/>
  <c r="F331" i="8"/>
  <c r="F330" i="8"/>
  <c r="F329" i="8"/>
  <c r="J328" i="8"/>
  <c r="I328" i="8"/>
  <c r="H328" i="8"/>
  <c r="G328" i="8"/>
  <c r="E326" i="8"/>
  <c r="D326" i="8"/>
  <c r="C326" i="8"/>
  <c r="I324" i="8"/>
  <c r="H324" i="8"/>
  <c r="F324" i="8"/>
  <c r="F323" i="8"/>
  <c r="F322" i="8"/>
  <c r="F321" i="8"/>
  <c r="J320" i="8"/>
  <c r="I320" i="8"/>
  <c r="H320" i="8"/>
  <c r="G320" i="8"/>
  <c r="J319" i="8"/>
  <c r="I319" i="8"/>
  <c r="H319" i="8"/>
  <c r="G319" i="8"/>
  <c r="J318" i="8"/>
  <c r="I318" i="8"/>
  <c r="H318" i="8"/>
  <c r="G318" i="8"/>
  <c r="F317" i="8"/>
  <c r="E317" i="8"/>
  <c r="D317" i="8"/>
  <c r="C317" i="8"/>
  <c r="I315" i="8"/>
  <c r="H315" i="8"/>
  <c r="F315" i="8"/>
  <c r="F314" i="8"/>
  <c r="F313" i="8"/>
  <c r="J312" i="8"/>
  <c r="I312" i="8"/>
  <c r="H312" i="8"/>
  <c r="G312" i="8"/>
  <c r="J311" i="8"/>
  <c r="I311" i="8"/>
  <c r="H311" i="8"/>
  <c r="G311" i="8"/>
  <c r="E309" i="8"/>
  <c r="D309" i="8"/>
  <c r="C309" i="8"/>
  <c r="I307" i="8"/>
  <c r="H307" i="8"/>
  <c r="F307" i="8"/>
  <c r="F306" i="8"/>
  <c r="F305" i="8"/>
  <c r="F304" i="8"/>
  <c r="J303" i="8"/>
  <c r="I303" i="8"/>
  <c r="H303" i="8"/>
  <c r="G303" i="8"/>
  <c r="J302" i="8"/>
  <c r="I302" i="8"/>
  <c r="H302" i="8"/>
  <c r="G302" i="8"/>
  <c r="J301" i="8"/>
  <c r="I301" i="8"/>
  <c r="H301" i="8"/>
  <c r="G301" i="8"/>
  <c r="J300" i="8"/>
  <c r="I300" i="8"/>
  <c r="H300" i="8"/>
  <c r="G300" i="8"/>
  <c r="E298" i="8"/>
  <c r="I296" i="8"/>
  <c r="H296" i="8"/>
  <c r="F296" i="8"/>
  <c r="F295" i="8"/>
  <c r="F294" i="8"/>
  <c r="J293" i="8"/>
  <c r="I293" i="8"/>
  <c r="H293" i="8"/>
  <c r="G293" i="8"/>
  <c r="E291" i="8"/>
  <c r="D291" i="8"/>
  <c r="C291" i="8"/>
  <c r="I289" i="8"/>
  <c r="H289" i="8"/>
  <c r="F289" i="8"/>
  <c r="F288" i="8"/>
  <c r="F287" i="8"/>
  <c r="J286" i="8"/>
  <c r="I286" i="8"/>
  <c r="H286" i="8"/>
  <c r="G286" i="8"/>
  <c r="J285" i="8"/>
  <c r="I285" i="8"/>
  <c r="H285" i="8"/>
  <c r="G285" i="8"/>
  <c r="E283" i="8"/>
  <c r="D283" i="8"/>
  <c r="C283" i="8"/>
  <c r="I281" i="8"/>
  <c r="H281" i="8"/>
  <c r="F281" i="8"/>
  <c r="F280" i="8"/>
  <c r="F279" i="8"/>
  <c r="F278" i="8"/>
  <c r="J277" i="8"/>
  <c r="I277" i="8"/>
  <c r="H277" i="8"/>
  <c r="G277" i="8"/>
  <c r="J276" i="8"/>
  <c r="I276" i="8"/>
  <c r="H276" i="8"/>
  <c r="G276" i="8"/>
  <c r="J275" i="8"/>
  <c r="I275" i="8"/>
  <c r="H275" i="8"/>
  <c r="G275" i="8"/>
  <c r="J274" i="8"/>
  <c r="I274" i="8"/>
  <c r="H274" i="8"/>
  <c r="G274" i="8"/>
  <c r="F273" i="8"/>
  <c r="E273" i="8"/>
  <c r="D273" i="8"/>
  <c r="C273" i="8"/>
  <c r="I271" i="8"/>
  <c r="H271" i="8"/>
  <c r="F271" i="8"/>
  <c r="F270" i="8"/>
  <c r="F269" i="8"/>
  <c r="J268" i="8"/>
  <c r="I268" i="8"/>
  <c r="H268" i="8"/>
  <c r="G268" i="8"/>
  <c r="J267" i="8"/>
  <c r="I267" i="8"/>
  <c r="H267" i="8"/>
  <c r="G267" i="8"/>
  <c r="F266" i="8"/>
  <c r="E266" i="8"/>
  <c r="D266" i="8"/>
  <c r="C266" i="8"/>
  <c r="I264" i="8"/>
  <c r="H264" i="8"/>
  <c r="F264" i="8"/>
  <c r="F263" i="8"/>
  <c r="F262" i="8"/>
  <c r="J261" i="8"/>
  <c r="I261" i="8"/>
  <c r="H261" i="8"/>
  <c r="G261" i="8"/>
  <c r="J260" i="8"/>
  <c r="I260" i="8"/>
  <c r="H260" i="8"/>
  <c r="G260" i="8"/>
  <c r="F259" i="8"/>
  <c r="E259" i="8"/>
  <c r="D259" i="8"/>
  <c r="C259" i="8"/>
  <c r="I257" i="8"/>
  <c r="H257" i="8"/>
  <c r="F257" i="8"/>
  <c r="F256" i="8"/>
  <c r="F255" i="8"/>
  <c r="F254" i="8"/>
  <c r="J253" i="8"/>
  <c r="I253" i="8"/>
  <c r="H253" i="8"/>
  <c r="G253" i="8"/>
  <c r="J252" i="8"/>
  <c r="I252" i="8"/>
  <c r="H252" i="8"/>
  <c r="G252" i="8"/>
  <c r="J251" i="8"/>
  <c r="I251" i="8"/>
  <c r="H251" i="8"/>
  <c r="G251" i="8"/>
  <c r="J250" i="8"/>
  <c r="I250" i="8"/>
  <c r="H250" i="8"/>
  <c r="G250" i="8"/>
  <c r="F249" i="8"/>
  <c r="E249" i="8"/>
  <c r="D249" i="8"/>
  <c r="C249" i="8"/>
  <c r="I247" i="8"/>
  <c r="H247" i="8"/>
  <c r="F247" i="8"/>
  <c r="F246" i="8"/>
  <c r="F245" i="8"/>
  <c r="J244" i="8"/>
  <c r="I244" i="8"/>
  <c r="H244" i="8"/>
  <c r="G244" i="8"/>
  <c r="J243" i="8"/>
  <c r="I243" i="8"/>
  <c r="H243" i="8"/>
  <c r="G243" i="8"/>
  <c r="F242" i="8"/>
  <c r="E242" i="8"/>
  <c r="D242" i="8"/>
  <c r="C242" i="8"/>
  <c r="I240" i="8"/>
  <c r="H240" i="8"/>
  <c r="F240" i="8"/>
  <c r="F239" i="8"/>
  <c r="F238" i="8"/>
  <c r="J237" i="8"/>
  <c r="I237" i="8"/>
  <c r="H237" i="8"/>
  <c r="G237" i="8"/>
  <c r="J236" i="8"/>
  <c r="I236" i="8"/>
  <c r="H236" i="8"/>
  <c r="G236" i="8"/>
  <c r="E234" i="8"/>
  <c r="D234" i="8"/>
  <c r="C234" i="8"/>
  <c r="I232" i="8"/>
  <c r="H232" i="8"/>
  <c r="F232" i="8"/>
  <c r="F231" i="8"/>
  <c r="F230" i="8"/>
  <c r="J229" i="8"/>
  <c r="I229" i="8"/>
  <c r="H229" i="8"/>
  <c r="G229" i="8"/>
  <c r="J228" i="8"/>
  <c r="I228" i="8"/>
  <c r="H228" i="8"/>
  <c r="G228" i="8"/>
  <c r="J227" i="8"/>
  <c r="I227" i="8"/>
  <c r="H227" i="8"/>
  <c r="G227" i="8"/>
  <c r="E225" i="8"/>
  <c r="D225" i="8"/>
  <c r="C225" i="8"/>
  <c r="I223" i="8"/>
  <c r="H223" i="8"/>
  <c r="F223" i="8"/>
  <c r="F222" i="8"/>
  <c r="F221" i="8"/>
  <c r="F220" i="8"/>
  <c r="J219" i="8"/>
  <c r="I219" i="8"/>
  <c r="H219" i="8"/>
  <c r="G219" i="8"/>
  <c r="J218" i="8"/>
  <c r="I218" i="8"/>
  <c r="H218" i="8"/>
  <c r="G218" i="8"/>
  <c r="J217" i="8"/>
  <c r="I217" i="8"/>
  <c r="H217" i="8"/>
  <c r="G217" i="8"/>
  <c r="J216" i="8"/>
  <c r="I216" i="8"/>
  <c r="H216" i="8"/>
  <c r="G216" i="8"/>
  <c r="E214" i="8"/>
  <c r="D214" i="8"/>
  <c r="C214" i="8"/>
  <c r="A213" i="8"/>
  <c r="A211" i="8"/>
  <c r="I202" i="8"/>
  <c r="H202" i="8"/>
  <c r="F202" i="8"/>
  <c r="F201" i="8"/>
  <c r="F200" i="8"/>
  <c r="F199" i="8"/>
  <c r="J198" i="8"/>
  <c r="I198" i="8"/>
  <c r="H198" i="8"/>
  <c r="G198" i="8"/>
  <c r="J197" i="8"/>
  <c r="I197" i="8"/>
  <c r="H197" i="8"/>
  <c r="G197" i="8"/>
  <c r="J196" i="8"/>
  <c r="I196" i="8"/>
  <c r="H196" i="8"/>
  <c r="G196" i="8"/>
  <c r="F195" i="8"/>
  <c r="E195" i="8"/>
  <c r="D195" i="8"/>
  <c r="C195" i="8"/>
  <c r="I193" i="8"/>
  <c r="H193" i="8"/>
  <c r="F193" i="8"/>
  <c r="F192" i="8"/>
  <c r="F191" i="8"/>
  <c r="J190" i="8"/>
  <c r="I190" i="8"/>
  <c r="H190" i="8"/>
  <c r="G190" i="8"/>
  <c r="J189" i="8"/>
  <c r="I189" i="8"/>
  <c r="H189" i="8"/>
  <c r="G189" i="8"/>
  <c r="F188" i="8"/>
  <c r="E188" i="8"/>
  <c r="D188" i="8"/>
  <c r="C188" i="8"/>
  <c r="AC187" i="8"/>
  <c r="C187" i="8"/>
  <c r="I184" i="8"/>
  <c r="H184" i="8"/>
  <c r="F184" i="8"/>
  <c r="F183" i="8"/>
  <c r="F182" i="8"/>
  <c r="F181" i="8"/>
  <c r="J180" i="8"/>
  <c r="I180" i="8"/>
  <c r="H180" i="8"/>
  <c r="G180" i="8"/>
  <c r="J179" i="8"/>
  <c r="I179" i="8"/>
  <c r="H179" i="8"/>
  <c r="G179" i="8"/>
  <c r="J178" i="8"/>
  <c r="I178" i="8"/>
  <c r="H178" i="8"/>
  <c r="G178" i="8"/>
  <c r="F177" i="8"/>
  <c r="E177" i="8"/>
  <c r="D177" i="8"/>
  <c r="C177" i="8"/>
  <c r="I175" i="8"/>
  <c r="H175" i="8"/>
  <c r="F175" i="8"/>
  <c r="F174" i="8"/>
  <c r="F173" i="8"/>
  <c r="F172" i="8"/>
  <c r="J171" i="8"/>
  <c r="I171" i="8"/>
  <c r="H171" i="8"/>
  <c r="G171" i="8"/>
  <c r="J170" i="8"/>
  <c r="I170" i="8"/>
  <c r="H170" i="8"/>
  <c r="G170" i="8"/>
  <c r="J169" i="8"/>
  <c r="I169" i="8"/>
  <c r="H169" i="8"/>
  <c r="G169" i="8"/>
  <c r="J168" i="8"/>
  <c r="I168" i="8"/>
  <c r="H168" i="8"/>
  <c r="G168" i="8"/>
  <c r="F167" i="8"/>
  <c r="E167" i="8"/>
  <c r="D167" i="8"/>
  <c r="C167" i="8"/>
  <c r="I165" i="8"/>
  <c r="H165" i="8"/>
  <c r="F165" i="8"/>
  <c r="F164" i="8"/>
  <c r="F163" i="8"/>
  <c r="J162" i="8"/>
  <c r="I162" i="8"/>
  <c r="H162" i="8"/>
  <c r="G162" i="8"/>
  <c r="J161" i="8"/>
  <c r="I161" i="8"/>
  <c r="H161" i="8"/>
  <c r="G161" i="8"/>
  <c r="E159" i="8"/>
  <c r="D159" i="8"/>
  <c r="C159" i="8"/>
  <c r="I157" i="8"/>
  <c r="H157" i="8"/>
  <c r="F157" i="8"/>
  <c r="F156" i="8"/>
  <c r="F155" i="8"/>
  <c r="J154" i="8"/>
  <c r="I154" i="8"/>
  <c r="H154" i="8"/>
  <c r="G154" i="8"/>
  <c r="E152" i="8"/>
  <c r="D152" i="8"/>
  <c r="C152" i="8"/>
  <c r="I150" i="8"/>
  <c r="H150" i="8"/>
  <c r="F150" i="8"/>
  <c r="F149" i="8"/>
  <c r="F148" i="8"/>
  <c r="F147" i="8"/>
  <c r="J146" i="8"/>
  <c r="I146" i="8"/>
  <c r="H146" i="8"/>
  <c r="G146" i="8"/>
  <c r="J145" i="8"/>
  <c r="I145" i="8"/>
  <c r="H145" i="8"/>
  <c r="G145" i="8"/>
  <c r="J144" i="8"/>
  <c r="I144" i="8"/>
  <c r="H144" i="8"/>
  <c r="G144" i="8"/>
  <c r="J143" i="8"/>
  <c r="I143" i="8"/>
  <c r="H143" i="8"/>
  <c r="G143" i="8"/>
  <c r="E141" i="8"/>
  <c r="D141" i="8"/>
  <c r="C141" i="8"/>
  <c r="I139" i="8"/>
  <c r="H139" i="8"/>
  <c r="F139" i="8"/>
  <c r="F138" i="8"/>
  <c r="F137" i="8"/>
  <c r="F136" i="8"/>
  <c r="J135" i="8"/>
  <c r="I135" i="8"/>
  <c r="H135" i="8"/>
  <c r="G135" i="8"/>
  <c r="J134" i="8"/>
  <c r="I134" i="8"/>
  <c r="H134" i="8"/>
  <c r="G134" i="8"/>
  <c r="J133" i="8"/>
  <c r="I133" i="8"/>
  <c r="H133" i="8"/>
  <c r="G133" i="8"/>
  <c r="J132" i="8"/>
  <c r="I132" i="8"/>
  <c r="H132" i="8"/>
  <c r="G132" i="8"/>
  <c r="E130" i="8"/>
  <c r="D130" i="8"/>
  <c r="C130" i="8"/>
  <c r="A129" i="8"/>
  <c r="I123" i="8"/>
  <c r="H123" i="8"/>
  <c r="F123" i="8"/>
  <c r="F122" i="8"/>
  <c r="F121" i="8"/>
  <c r="J120" i="8"/>
  <c r="I120" i="8"/>
  <c r="H120" i="8"/>
  <c r="G120" i="8"/>
  <c r="J119" i="8"/>
  <c r="I119" i="8"/>
  <c r="H119" i="8"/>
  <c r="G119" i="8"/>
  <c r="E117" i="8"/>
  <c r="D117" i="8"/>
  <c r="C117" i="8"/>
  <c r="I115" i="8"/>
  <c r="H115" i="8"/>
  <c r="F115" i="8"/>
  <c r="F114" i="8"/>
  <c r="F113" i="8"/>
  <c r="J112" i="8"/>
  <c r="I112" i="8"/>
  <c r="H112" i="8"/>
  <c r="G112" i="8"/>
  <c r="J111" i="8"/>
  <c r="I111" i="8"/>
  <c r="H111" i="8"/>
  <c r="G111" i="8"/>
  <c r="F110" i="8"/>
  <c r="E110" i="8"/>
  <c r="D110" i="8"/>
  <c r="C110" i="8"/>
  <c r="A109" i="8"/>
  <c r="J106" i="8"/>
  <c r="A104" i="8"/>
  <c r="I98" i="8"/>
  <c r="H98" i="8"/>
  <c r="F98" i="8"/>
  <c r="F97" i="8"/>
  <c r="F96" i="8"/>
  <c r="J95" i="8"/>
  <c r="I95" i="8"/>
  <c r="H95" i="8"/>
  <c r="G95" i="8"/>
  <c r="E93" i="8"/>
  <c r="D93" i="8"/>
  <c r="C93" i="8"/>
  <c r="A92" i="8"/>
  <c r="I86" i="8"/>
  <c r="H86" i="8"/>
  <c r="F86" i="8"/>
  <c r="F85" i="8"/>
  <c r="F84" i="8"/>
  <c r="F83" i="8"/>
  <c r="J82" i="8"/>
  <c r="I82" i="8"/>
  <c r="H82" i="8"/>
  <c r="G82" i="8"/>
  <c r="J81" i="8"/>
  <c r="I81" i="8"/>
  <c r="H81" i="8"/>
  <c r="G81" i="8"/>
  <c r="J80" i="8"/>
  <c r="I80" i="8"/>
  <c r="H80" i="8"/>
  <c r="G80" i="8"/>
  <c r="E78" i="8"/>
  <c r="D78" i="8"/>
  <c r="C78" i="8"/>
  <c r="I76" i="8"/>
  <c r="H76" i="8"/>
  <c r="F76" i="8"/>
  <c r="F75" i="8"/>
  <c r="F74" i="8"/>
  <c r="J73" i="8"/>
  <c r="I73" i="8"/>
  <c r="H73" i="8"/>
  <c r="G73" i="8"/>
  <c r="E71" i="8"/>
  <c r="D71" i="8"/>
  <c r="C71" i="8"/>
  <c r="I69" i="8"/>
  <c r="H69" i="8"/>
  <c r="F69" i="8"/>
  <c r="F68" i="8"/>
  <c r="F67" i="8"/>
  <c r="J66" i="8"/>
  <c r="I66" i="8"/>
  <c r="H66" i="8"/>
  <c r="G66" i="8"/>
  <c r="E64" i="8"/>
  <c r="D64" i="8"/>
  <c r="C64" i="8"/>
  <c r="A63" i="8"/>
  <c r="I57" i="8"/>
  <c r="H57" i="8"/>
  <c r="F57" i="8"/>
  <c r="F56" i="8"/>
  <c r="F55" i="8"/>
  <c r="F54" i="8"/>
  <c r="J53" i="8"/>
  <c r="I53" i="8"/>
  <c r="H53" i="8"/>
  <c r="G53" i="8"/>
  <c r="J52" i="8"/>
  <c r="I52" i="8"/>
  <c r="H52" i="8"/>
  <c r="G52" i="8"/>
  <c r="J51" i="8"/>
  <c r="I51" i="8"/>
  <c r="H51" i="8"/>
  <c r="G51" i="8"/>
  <c r="F50" i="8"/>
  <c r="E50" i="8"/>
  <c r="D50" i="8"/>
  <c r="C50" i="8"/>
  <c r="I48" i="8"/>
  <c r="H48" i="8"/>
  <c r="F48" i="8"/>
  <c r="F47" i="8"/>
  <c r="F46" i="8"/>
  <c r="J45" i="8"/>
  <c r="I45" i="8"/>
  <c r="H45" i="8"/>
  <c r="G45" i="8"/>
  <c r="J44" i="8"/>
  <c r="I44" i="8"/>
  <c r="H44" i="8"/>
  <c r="G44" i="8"/>
  <c r="F43" i="8"/>
  <c r="E43" i="8"/>
  <c r="D43" i="8"/>
  <c r="C43" i="8"/>
  <c r="A42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587" i="4"/>
  <c r="A588" i="4"/>
  <c r="A589" i="4"/>
  <c r="A590" i="4"/>
  <c r="A591" i="4"/>
  <c r="A592" i="4"/>
  <c r="A593" i="4"/>
  <c r="A594" i="4"/>
  <c r="A595" i="4"/>
  <c r="A596" i="4"/>
  <c r="A597" i="4"/>
  <c r="A598" i="4"/>
  <c r="A599" i="4"/>
  <c r="A600" i="4"/>
  <c r="A601" i="4"/>
  <c r="A602" i="4"/>
  <c r="A603" i="4"/>
  <c r="A604" i="4"/>
  <c r="A605" i="4"/>
  <c r="A606" i="4"/>
  <c r="A607" i="4"/>
  <c r="A608" i="4"/>
  <c r="A609" i="4"/>
  <c r="A610" i="4"/>
  <c r="A611" i="4"/>
  <c r="A612" i="4"/>
  <c r="A613" i="4"/>
  <c r="A614" i="4"/>
  <c r="A615" i="4"/>
  <c r="A616" i="4"/>
  <c r="A617" i="4"/>
  <c r="A618" i="4"/>
  <c r="A619" i="4"/>
  <c r="A620" i="4"/>
  <c r="A621" i="4"/>
  <c r="A622" i="4"/>
  <c r="A623" i="4"/>
  <c r="A624" i="4"/>
  <c r="A625" i="4"/>
  <c r="A626" i="4"/>
  <c r="A627" i="4"/>
  <c r="A628" i="4"/>
  <c r="A629" i="4"/>
  <c r="A630" i="4"/>
  <c r="A631" i="4"/>
  <c r="A632" i="4"/>
  <c r="A633" i="4"/>
  <c r="A634" i="4"/>
  <c r="A635" i="4"/>
  <c r="A636" i="4"/>
  <c r="A637" i="4"/>
  <c r="A638" i="4"/>
  <c r="A639" i="4"/>
  <c r="A640" i="4"/>
  <c r="A641" i="4"/>
  <c r="A642" i="4"/>
  <c r="A643" i="4"/>
  <c r="A644" i="4"/>
  <c r="A645" i="4"/>
  <c r="A646" i="4"/>
  <c r="A647" i="4"/>
  <c r="A648" i="4"/>
  <c r="A649" i="4"/>
  <c r="A650" i="4"/>
  <c r="A651" i="4"/>
  <c r="A652" i="4"/>
  <c r="A653" i="4"/>
  <c r="A654" i="4"/>
  <c r="A655" i="4"/>
  <c r="A656" i="4"/>
  <c r="A657" i="4"/>
  <c r="A658" i="4"/>
  <c r="A659" i="4"/>
  <c r="A660" i="4"/>
  <c r="A661" i="4"/>
  <c r="A662" i="4"/>
  <c r="A663" i="4"/>
  <c r="A664" i="4"/>
  <c r="A665" i="4"/>
  <c r="A666" i="4"/>
  <c r="A667" i="4"/>
  <c r="A668" i="4"/>
  <c r="A669" i="4"/>
  <c r="A670" i="4"/>
  <c r="A671" i="4"/>
  <c r="A672" i="4"/>
  <c r="A673" i="4"/>
  <c r="A674" i="4"/>
  <c r="A675" i="4"/>
  <c r="A676" i="4"/>
  <c r="A677" i="4"/>
  <c r="A678" i="4"/>
  <c r="A679" i="4"/>
  <c r="A680" i="4"/>
  <c r="A681" i="4"/>
  <c r="A682" i="4"/>
  <c r="A683" i="4"/>
  <c r="A684" i="4"/>
  <c r="A685" i="4"/>
  <c r="A686" i="4"/>
  <c r="A687" i="4"/>
  <c r="A688" i="4"/>
  <c r="A689" i="4"/>
  <c r="A690" i="4"/>
  <c r="A691" i="4"/>
  <c r="A692" i="4"/>
  <c r="A693" i="4"/>
  <c r="A694" i="4"/>
  <c r="A695" i="4"/>
  <c r="A696" i="4"/>
  <c r="A697" i="4"/>
  <c r="A698" i="4"/>
  <c r="A699" i="4"/>
  <c r="A700" i="4"/>
  <c r="A701" i="4"/>
  <c r="A702" i="4"/>
  <c r="A703" i="4"/>
  <c r="A704" i="4"/>
  <c r="A705" i="4"/>
  <c r="A706" i="4"/>
  <c r="A707" i="4"/>
  <c r="A708" i="4"/>
  <c r="A709" i="4"/>
  <c r="A710" i="4"/>
  <c r="A711" i="4"/>
  <c r="A712" i="4"/>
  <c r="A713" i="4"/>
  <c r="A714" i="4"/>
  <c r="A715" i="4"/>
  <c r="A716" i="4"/>
  <c r="A717" i="4"/>
  <c r="A718" i="4"/>
  <c r="A719" i="4"/>
  <c r="A720" i="4"/>
  <c r="A721" i="4"/>
  <c r="A722" i="4"/>
  <c r="A723" i="4"/>
  <c r="A724" i="4"/>
  <c r="A725" i="4"/>
  <c r="A726" i="4"/>
  <c r="A727" i="4"/>
  <c r="A728" i="4"/>
  <c r="A729" i="4"/>
  <c r="A730" i="4"/>
  <c r="A731" i="4"/>
  <c r="A732" i="4"/>
  <c r="A733" i="4"/>
  <c r="A734" i="4"/>
  <c r="A735" i="4"/>
  <c r="A736" i="4"/>
  <c r="A737" i="4"/>
  <c r="A738" i="4"/>
  <c r="A739" i="4"/>
  <c r="A740" i="4"/>
  <c r="A741" i="4"/>
  <c r="A742" i="4"/>
  <c r="A743" i="4"/>
  <c r="A744" i="4"/>
  <c r="A745" i="4"/>
  <c r="A746" i="4"/>
  <c r="A747" i="4"/>
  <c r="A748" i="4"/>
  <c r="A749" i="4"/>
  <c r="A750" i="4"/>
  <c r="A751" i="4"/>
  <c r="A752" i="4"/>
  <c r="A753" i="4"/>
  <c r="A754" i="4"/>
  <c r="A755" i="4"/>
  <c r="A756" i="4"/>
  <c r="A757" i="4"/>
  <c r="A758" i="4"/>
  <c r="A759" i="4"/>
  <c r="A760" i="4"/>
  <c r="A761" i="4"/>
  <c r="A762" i="4"/>
  <c r="A763" i="4"/>
  <c r="A764" i="4"/>
  <c r="A765" i="4"/>
  <c r="A766" i="4"/>
  <c r="A767" i="4"/>
  <c r="A768" i="4"/>
  <c r="A769" i="4"/>
  <c r="A770" i="4"/>
  <c r="A771" i="4"/>
  <c r="A772" i="4"/>
  <c r="A773" i="4"/>
  <c r="A774" i="4"/>
  <c r="A775" i="4"/>
  <c r="A776" i="4"/>
  <c r="A777" i="4"/>
  <c r="A778" i="4"/>
  <c r="A779" i="4"/>
  <c r="A780" i="4"/>
  <c r="A781" i="4"/>
  <c r="A782" i="4"/>
  <c r="A783" i="4"/>
  <c r="A784" i="4"/>
  <c r="A785" i="4"/>
  <c r="A786" i="4"/>
  <c r="A787" i="4"/>
  <c r="A788" i="4"/>
  <c r="A789" i="4"/>
  <c r="A790" i="4"/>
  <c r="A791" i="4"/>
  <c r="A792" i="4"/>
  <c r="A793" i="4"/>
  <c r="A794" i="4"/>
  <c r="A795" i="4"/>
  <c r="A796" i="4"/>
  <c r="A797" i="4"/>
  <c r="A798" i="4"/>
  <c r="A799" i="4"/>
  <c r="A800" i="4"/>
  <c r="A801" i="4"/>
  <c r="A802" i="4"/>
  <c r="A803" i="4"/>
  <c r="A804" i="4"/>
  <c r="A805" i="4"/>
  <c r="A806" i="4"/>
  <c r="A807" i="4"/>
  <c r="A808" i="4"/>
  <c r="A809" i="4"/>
  <c r="A810" i="4"/>
  <c r="A811" i="4"/>
  <c r="A812" i="4"/>
  <c r="A813" i="4"/>
  <c r="A814" i="4"/>
  <c r="A815" i="4"/>
  <c r="A816" i="4"/>
  <c r="A817" i="4"/>
  <c r="A818" i="4"/>
  <c r="A819" i="4"/>
  <c r="A820" i="4"/>
  <c r="A821" i="4"/>
  <c r="A822" i="4"/>
  <c r="A823" i="4"/>
  <c r="A824" i="4"/>
  <c r="A825" i="4"/>
  <c r="A826" i="4"/>
  <c r="A827" i="4"/>
  <c r="A828" i="4"/>
  <c r="A829" i="4"/>
  <c r="A830" i="4"/>
  <c r="A831" i="4"/>
  <c r="A832" i="4"/>
  <c r="A833" i="4"/>
  <c r="A834" i="4"/>
  <c r="A835" i="4"/>
  <c r="A836" i="4"/>
  <c r="A837" i="4"/>
  <c r="A838" i="4"/>
  <c r="A839" i="4"/>
  <c r="A840" i="4"/>
  <c r="A841" i="4"/>
  <c r="A842" i="4"/>
  <c r="A843" i="4"/>
  <c r="A844" i="4"/>
  <c r="A845" i="4"/>
  <c r="A846" i="4"/>
  <c r="A847" i="4"/>
  <c r="A848" i="4"/>
  <c r="A849" i="4"/>
  <c r="A850" i="4"/>
  <c r="A851" i="4"/>
  <c r="A852" i="4"/>
  <c r="A853" i="4"/>
  <c r="A854" i="4"/>
  <c r="A855" i="4"/>
  <c r="A856" i="4"/>
  <c r="A857" i="4"/>
  <c r="A858" i="4"/>
  <c r="A859" i="4"/>
  <c r="A860" i="4"/>
  <c r="A861" i="4"/>
  <c r="A862" i="4"/>
  <c r="A863" i="4"/>
  <c r="A864" i="4"/>
  <c r="A865" i="4"/>
  <c r="A866" i="4"/>
  <c r="A867" i="4"/>
  <c r="A868" i="4"/>
  <c r="A869" i="4"/>
  <c r="A870" i="4"/>
  <c r="A871" i="4"/>
  <c r="A872" i="4"/>
  <c r="A873" i="4"/>
  <c r="A874" i="4"/>
  <c r="A875" i="4"/>
  <c r="A876" i="4"/>
  <c r="A877" i="4"/>
  <c r="A878" i="4"/>
  <c r="A879" i="4"/>
  <c r="A880" i="4"/>
  <c r="A881" i="4"/>
  <c r="A882" i="4"/>
  <c r="A883" i="4"/>
  <c r="A884" i="4"/>
  <c r="A885" i="4"/>
  <c r="A886" i="4"/>
  <c r="A887" i="4"/>
  <c r="A888" i="4"/>
  <c r="A889" i="4"/>
  <c r="A890" i="4"/>
  <c r="A891" i="4"/>
  <c r="A892" i="4"/>
  <c r="A893" i="4"/>
  <c r="A894" i="4"/>
  <c r="A895" i="4"/>
  <c r="A896" i="4"/>
  <c r="A897" i="4"/>
  <c r="A898" i="4"/>
  <c r="A899" i="4"/>
  <c r="A900" i="4"/>
  <c r="A901" i="4"/>
  <c r="A902" i="4"/>
  <c r="A903" i="4"/>
  <c r="A904" i="4"/>
  <c r="A905" i="4"/>
  <c r="A906" i="4"/>
  <c r="A907" i="4"/>
  <c r="A908" i="4"/>
  <c r="A909" i="4"/>
  <c r="A910" i="4"/>
  <c r="A911" i="4"/>
  <c r="A912" i="4"/>
  <c r="A913" i="4"/>
  <c r="A914" i="4"/>
  <c r="A915" i="4"/>
  <c r="A916" i="4"/>
  <c r="A917" i="4"/>
  <c r="A918" i="4"/>
  <c r="A919" i="4"/>
  <c r="A920" i="4"/>
  <c r="A921" i="4"/>
  <c r="A922" i="4"/>
  <c r="A923" i="4"/>
  <c r="A924" i="4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B26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D32" i="1"/>
  <c r="AC32" i="1"/>
  <c r="CQ32" i="1" s="1"/>
  <c r="P32" i="1" s="1"/>
  <c r="AE32" i="1"/>
  <c r="AF32" i="1"/>
  <c r="AG32" i="1"/>
  <c r="CU32" i="1" s="1"/>
  <c r="T32" i="1" s="1"/>
  <c r="AH32" i="1"/>
  <c r="CV32" i="1" s="1"/>
  <c r="U32" i="1" s="1"/>
  <c r="AI32" i="1"/>
  <c r="CW32" i="1" s="1"/>
  <c r="V32" i="1" s="1"/>
  <c r="AJ32" i="1"/>
  <c r="CX32" i="1" s="1"/>
  <c r="W32" i="1" s="1"/>
  <c r="FR32" i="1"/>
  <c r="GL32" i="1"/>
  <c r="GN32" i="1"/>
  <c r="GO32" i="1"/>
  <c r="CC37" i="1" s="1"/>
  <c r="GV32" i="1"/>
  <c r="HC32" i="1" s="1"/>
  <c r="GX32" i="1" s="1"/>
  <c r="D33" i="1"/>
  <c r="AC33" i="1"/>
  <c r="CQ33" i="1" s="1"/>
  <c r="P33" i="1" s="1"/>
  <c r="AE33" i="1"/>
  <c r="AD33" i="1" s="1"/>
  <c r="AF33" i="1"/>
  <c r="CT33" i="1" s="1"/>
  <c r="S33" i="1" s="1"/>
  <c r="AG33" i="1"/>
  <c r="AH33" i="1"/>
  <c r="CV33" i="1" s="1"/>
  <c r="U33" i="1" s="1"/>
  <c r="AI33" i="1"/>
  <c r="CW33" i="1" s="1"/>
  <c r="V33" i="1" s="1"/>
  <c r="AJ33" i="1"/>
  <c r="CX33" i="1" s="1"/>
  <c r="W33" i="1" s="1"/>
  <c r="CR33" i="1"/>
  <c r="Q33" i="1" s="1"/>
  <c r="CS33" i="1"/>
  <c r="R33" i="1" s="1"/>
  <c r="GK33" i="1" s="1"/>
  <c r="CU33" i="1"/>
  <c r="T33" i="1" s="1"/>
  <c r="FR33" i="1"/>
  <c r="GL33" i="1"/>
  <c r="GN33" i="1"/>
  <c r="GO33" i="1"/>
  <c r="GV33" i="1"/>
  <c r="HC33" i="1" s="1"/>
  <c r="GX33" i="1" s="1"/>
  <c r="D34" i="1"/>
  <c r="AC34" i="1"/>
  <c r="CQ34" i="1" s="1"/>
  <c r="P34" i="1" s="1"/>
  <c r="AE34" i="1"/>
  <c r="AF34" i="1"/>
  <c r="AG34" i="1"/>
  <c r="CU34" i="1" s="1"/>
  <c r="T34" i="1" s="1"/>
  <c r="AH34" i="1"/>
  <c r="CV34" i="1" s="1"/>
  <c r="U34" i="1" s="1"/>
  <c r="AI34" i="1"/>
  <c r="AJ34" i="1"/>
  <c r="CX34" i="1" s="1"/>
  <c r="W34" i="1" s="1"/>
  <c r="CW34" i="1"/>
  <c r="V34" i="1" s="1"/>
  <c r="FR34" i="1"/>
  <c r="GL34" i="1"/>
  <c r="BZ37" i="1" s="1"/>
  <c r="GN34" i="1"/>
  <c r="GO34" i="1"/>
  <c r="GV34" i="1"/>
  <c r="HC34" i="1" s="1"/>
  <c r="GX34" i="1" s="1"/>
  <c r="D35" i="1"/>
  <c r="AC35" i="1"/>
  <c r="AE35" i="1"/>
  <c r="AD35" i="1" s="1"/>
  <c r="AF35" i="1"/>
  <c r="CT35" i="1" s="1"/>
  <c r="S35" i="1" s="1"/>
  <c r="AG35" i="1"/>
  <c r="CU35" i="1" s="1"/>
  <c r="T35" i="1" s="1"/>
  <c r="AH35" i="1"/>
  <c r="CV35" i="1" s="1"/>
  <c r="U35" i="1" s="1"/>
  <c r="AI35" i="1"/>
  <c r="CW35" i="1" s="1"/>
  <c r="V35" i="1" s="1"/>
  <c r="AJ35" i="1"/>
  <c r="CX35" i="1" s="1"/>
  <c r="W35" i="1" s="1"/>
  <c r="CR35" i="1"/>
  <c r="Q35" i="1" s="1"/>
  <c r="CS35" i="1"/>
  <c r="R35" i="1" s="1"/>
  <c r="GK35" i="1" s="1"/>
  <c r="FR35" i="1"/>
  <c r="GL35" i="1"/>
  <c r="GN35" i="1"/>
  <c r="GO35" i="1"/>
  <c r="GV35" i="1"/>
  <c r="HC35" i="1" s="1"/>
  <c r="GX35" i="1" s="1"/>
  <c r="B37" i="1"/>
  <c r="B30" i="1" s="1"/>
  <c r="C37" i="1"/>
  <c r="C30" i="1" s="1"/>
  <c r="D37" i="1"/>
  <c r="D30" i="1" s="1"/>
  <c r="F37" i="1"/>
  <c r="F30" i="1" s="1"/>
  <c r="G37" i="1"/>
  <c r="AJ37" i="1"/>
  <c r="AJ30" i="1" s="1"/>
  <c r="BX37" i="1"/>
  <c r="CK37" i="1"/>
  <c r="CK30" i="1" s="1"/>
  <c r="CL37" i="1"/>
  <c r="CL30" i="1" s="1"/>
  <c r="CM37" i="1"/>
  <c r="CM30" i="1" s="1"/>
  <c r="D67" i="1"/>
  <c r="E69" i="1"/>
  <c r="Z69" i="1"/>
  <c r="AA69" i="1"/>
  <c r="AM69" i="1"/>
  <c r="AN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EG69" i="1"/>
  <c r="EH69" i="1"/>
  <c r="EI69" i="1"/>
  <c r="EJ69" i="1"/>
  <c r="EK69" i="1"/>
  <c r="EL69" i="1"/>
  <c r="EM69" i="1"/>
  <c r="EN69" i="1"/>
  <c r="EO69" i="1"/>
  <c r="EP69" i="1"/>
  <c r="EQ69" i="1"/>
  <c r="ER69" i="1"/>
  <c r="ES69" i="1"/>
  <c r="ET69" i="1"/>
  <c r="EU69" i="1"/>
  <c r="EV69" i="1"/>
  <c r="EW69" i="1"/>
  <c r="EX69" i="1"/>
  <c r="EY69" i="1"/>
  <c r="EZ69" i="1"/>
  <c r="FA69" i="1"/>
  <c r="FB69" i="1"/>
  <c r="FC69" i="1"/>
  <c r="FD69" i="1"/>
  <c r="FE69" i="1"/>
  <c r="FF69" i="1"/>
  <c r="FG69" i="1"/>
  <c r="FH69" i="1"/>
  <c r="FI69" i="1"/>
  <c r="FJ69" i="1"/>
  <c r="FK69" i="1"/>
  <c r="FL69" i="1"/>
  <c r="FM69" i="1"/>
  <c r="FN69" i="1"/>
  <c r="FO69" i="1"/>
  <c r="FP69" i="1"/>
  <c r="FQ69" i="1"/>
  <c r="FR69" i="1"/>
  <c r="FS69" i="1"/>
  <c r="FT69" i="1"/>
  <c r="FU69" i="1"/>
  <c r="FV69" i="1"/>
  <c r="FW69" i="1"/>
  <c r="FX69" i="1"/>
  <c r="FY69" i="1"/>
  <c r="FZ69" i="1"/>
  <c r="GA69" i="1"/>
  <c r="GB69" i="1"/>
  <c r="GC69" i="1"/>
  <c r="GD69" i="1"/>
  <c r="GE69" i="1"/>
  <c r="GF69" i="1"/>
  <c r="GG69" i="1"/>
  <c r="GH69" i="1"/>
  <c r="GI69" i="1"/>
  <c r="GJ69" i="1"/>
  <c r="GK69" i="1"/>
  <c r="GL69" i="1"/>
  <c r="GM69" i="1"/>
  <c r="GN69" i="1"/>
  <c r="GO69" i="1"/>
  <c r="GP69" i="1"/>
  <c r="GQ69" i="1"/>
  <c r="GR69" i="1"/>
  <c r="GS69" i="1"/>
  <c r="GT69" i="1"/>
  <c r="GU69" i="1"/>
  <c r="GV69" i="1"/>
  <c r="GW69" i="1"/>
  <c r="GX69" i="1"/>
  <c r="D71" i="1"/>
  <c r="I71" i="1"/>
  <c r="K71" i="1"/>
  <c r="AC71" i="1"/>
  <c r="CQ71" i="1" s="1"/>
  <c r="AE71" i="1"/>
  <c r="AF71" i="1"/>
  <c r="AG71" i="1"/>
  <c r="CU71" i="1" s="1"/>
  <c r="AH71" i="1"/>
  <c r="CV71" i="1" s="1"/>
  <c r="AI71" i="1"/>
  <c r="CW71" i="1" s="1"/>
  <c r="AJ71" i="1"/>
  <c r="CX71" i="1"/>
  <c r="FR71" i="1"/>
  <c r="GL71" i="1"/>
  <c r="BZ77" i="1" s="1"/>
  <c r="GN71" i="1"/>
  <c r="GO71" i="1"/>
  <c r="GV71" i="1"/>
  <c r="HC71" i="1"/>
  <c r="D72" i="1"/>
  <c r="I72" i="1"/>
  <c r="K72" i="1"/>
  <c r="AC72" i="1"/>
  <c r="AE72" i="1"/>
  <c r="AF72" i="1"/>
  <c r="AG72" i="1"/>
  <c r="CU72" i="1" s="1"/>
  <c r="AH72" i="1"/>
  <c r="CV72" i="1" s="1"/>
  <c r="AI72" i="1"/>
  <c r="CW72" i="1" s="1"/>
  <c r="V72" i="1" s="1"/>
  <c r="AJ72" i="1"/>
  <c r="CX72" i="1" s="1"/>
  <c r="CQ72" i="1"/>
  <c r="CT72" i="1"/>
  <c r="S72" i="1" s="1"/>
  <c r="FR72" i="1"/>
  <c r="GL72" i="1"/>
  <c r="GN72" i="1"/>
  <c r="GO72" i="1"/>
  <c r="GV72" i="1"/>
  <c r="HC72" i="1"/>
  <c r="GX72" i="1" s="1"/>
  <c r="D73" i="1"/>
  <c r="I73" i="1"/>
  <c r="K73" i="1"/>
  <c r="AC73" i="1"/>
  <c r="CQ73" i="1" s="1"/>
  <c r="P73" i="1" s="1"/>
  <c r="AE73" i="1"/>
  <c r="AF73" i="1"/>
  <c r="AG73" i="1"/>
  <c r="CU73" i="1" s="1"/>
  <c r="T73" i="1" s="1"/>
  <c r="AH73" i="1"/>
  <c r="CV73" i="1" s="1"/>
  <c r="U73" i="1" s="1"/>
  <c r="AI73" i="1"/>
  <c r="CW73" i="1" s="1"/>
  <c r="V73" i="1" s="1"/>
  <c r="AJ73" i="1"/>
  <c r="CX73" i="1"/>
  <c r="W73" i="1" s="1"/>
  <c r="FR73" i="1"/>
  <c r="GL73" i="1"/>
  <c r="GN73" i="1"/>
  <c r="GO73" i="1"/>
  <c r="GV73" i="1"/>
  <c r="HC73" i="1" s="1"/>
  <c r="GX73" i="1" s="1"/>
  <c r="D74" i="1"/>
  <c r="I74" i="1"/>
  <c r="K74" i="1"/>
  <c r="AC74" i="1"/>
  <c r="AE74" i="1"/>
  <c r="AF74" i="1"/>
  <c r="CT74" i="1" s="1"/>
  <c r="AG74" i="1"/>
  <c r="CU74" i="1" s="1"/>
  <c r="AH74" i="1"/>
  <c r="CV74" i="1" s="1"/>
  <c r="AI74" i="1"/>
  <c r="CW74" i="1" s="1"/>
  <c r="AJ74" i="1"/>
  <c r="CX74" i="1" s="1"/>
  <c r="W74" i="1" s="1"/>
  <c r="CQ74" i="1"/>
  <c r="P74" i="1" s="1"/>
  <c r="CS74" i="1"/>
  <c r="R74" i="1" s="1"/>
  <c r="GK74" i="1" s="1"/>
  <c r="FR74" i="1"/>
  <c r="GL74" i="1"/>
  <c r="GN74" i="1"/>
  <c r="GO74" i="1"/>
  <c r="GV74" i="1"/>
  <c r="HC74" i="1" s="1"/>
  <c r="GX74" i="1" s="1"/>
  <c r="D75" i="1"/>
  <c r="I75" i="1"/>
  <c r="K75" i="1"/>
  <c r="U75" i="1"/>
  <c r="AC75" i="1"/>
  <c r="CQ75" i="1" s="1"/>
  <c r="P75" i="1" s="1"/>
  <c r="AE75" i="1"/>
  <c r="AF75" i="1"/>
  <c r="AG75" i="1"/>
  <c r="CU75" i="1" s="1"/>
  <c r="T75" i="1" s="1"/>
  <c r="AH75" i="1"/>
  <c r="CV75" i="1" s="1"/>
  <c r="AI75" i="1"/>
  <c r="CW75" i="1" s="1"/>
  <c r="V75" i="1" s="1"/>
  <c r="AJ75" i="1"/>
  <c r="CX75" i="1" s="1"/>
  <c r="W75" i="1" s="1"/>
  <c r="CT75" i="1"/>
  <c r="S75" i="1" s="1"/>
  <c r="CZ75" i="1" s="1"/>
  <c r="Y75" i="1" s="1"/>
  <c r="CY75" i="1"/>
  <c r="X75" i="1" s="1"/>
  <c r="FR75" i="1"/>
  <c r="GL75" i="1"/>
  <c r="GN75" i="1"/>
  <c r="GO75" i="1"/>
  <c r="GV75" i="1"/>
  <c r="HC75" i="1"/>
  <c r="GX75" i="1" s="1"/>
  <c r="B77" i="1"/>
  <c r="B69" i="1" s="1"/>
  <c r="C77" i="1"/>
  <c r="C69" i="1" s="1"/>
  <c r="D77" i="1"/>
  <c r="D69" i="1" s="1"/>
  <c r="F77" i="1"/>
  <c r="F69" i="1" s="1"/>
  <c r="G77" i="1"/>
  <c r="BC77" i="1"/>
  <c r="BC69" i="1" s="1"/>
  <c r="BX77" i="1"/>
  <c r="BX69" i="1" s="1"/>
  <c r="CC77" i="1"/>
  <c r="CK77" i="1"/>
  <c r="CL77" i="1"/>
  <c r="CM77" i="1"/>
  <c r="BD77" i="1" s="1"/>
  <c r="F102" i="1" s="1"/>
  <c r="D107" i="1"/>
  <c r="B109" i="1"/>
  <c r="D109" i="1"/>
  <c r="E109" i="1"/>
  <c r="Z109" i="1"/>
  <c r="AA109" i="1"/>
  <c r="AM109" i="1"/>
  <c r="AN109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T109" i="1"/>
  <c r="BU109" i="1"/>
  <c r="BV109" i="1"/>
  <c r="BW109" i="1"/>
  <c r="CL109" i="1"/>
  <c r="CN109" i="1"/>
  <c r="CO109" i="1"/>
  <c r="CP109" i="1"/>
  <c r="CQ109" i="1"/>
  <c r="CR109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DF109" i="1"/>
  <c r="DG109" i="1"/>
  <c r="DH109" i="1"/>
  <c r="DI109" i="1"/>
  <c r="DJ109" i="1"/>
  <c r="DK109" i="1"/>
  <c r="DL109" i="1"/>
  <c r="DM109" i="1"/>
  <c r="DN109" i="1"/>
  <c r="DO109" i="1"/>
  <c r="DP109" i="1"/>
  <c r="DQ109" i="1"/>
  <c r="DR109" i="1"/>
  <c r="DS109" i="1"/>
  <c r="DT109" i="1"/>
  <c r="DU109" i="1"/>
  <c r="DV109" i="1"/>
  <c r="DW109" i="1"/>
  <c r="DX109" i="1"/>
  <c r="DY109" i="1"/>
  <c r="DZ109" i="1"/>
  <c r="EA109" i="1"/>
  <c r="EB109" i="1"/>
  <c r="EC109" i="1"/>
  <c r="ED109" i="1"/>
  <c r="EE109" i="1"/>
  <c r="EF109" i="1"/>
  <c r="EG109" i="1"/>
  <c r="EH109" i="1"/>
  <c r="EI109" i="1"/>
  <c r="EJ109" i="1"/>
  <c r="EK109" i="1"/>
  <c r="EL109" i="1"/>
  <c r="EM109" i="1"/>
  <c r="EN109" i="1"/>
  <c r="EO109" i="1"/>
  <c r="EP109" i="1"/>
  <c r="EQ109" i="1"/>
  <c r="ER109" i="1"/>
  <c r="ES109" i="1"/>
  <c r="ET109" i="1"/>
  <c r="EU109" i="1"/>
  <c r="EV109" i="1"/>
  <c r="EW109" i="1"/>
  <c r="EX109" i="1"/>
  <c r="EY109" i="1"/>
  <c r="EZ109" i="1"/>
  <c r="FA109" i="1"/>
  <c r="FB109" i="1"/>
  <c r="FC109" i="1"/>
  <c r="FD109" i="1"/>
  <c r="FE109" i="1"/>
  <c r="FF109" i="1"/>
  <c r="FG109" i="1"/>
  <c r="FH109" i="1"/>
  <c r="FI109" i="1"/>
  <c r="FJ109" i="1"/>
  <c r="FK109" i="1"/>
  <c r="FL109" i="1"/>
  <c r="FM109" i="1"/>
  <c r="FN109" i="1"/>
  <c r="FO109" i="1"/>
  <c r="FP109" i="1"/>
  <c r="FQ109" i="1"/>
  <c r="FR109" i="1"/>
  <c r="FS109" i="1"/>
  <c r="FT109" i="1"/>
  <c r="FU109" i="1"/>
  <c r="FV109" i="1"/>
  <c r="FW109" i="1"/>
  <c r="FX109" i="1"/>
  <c r="FY109" i="1"/>
  <c r="FZ109" i="1"/>
  <c r="GA109" i="1"/>
  <c r="GB109" i="1"/>
  <c r="GC109" i="1"/>
  <c r="GD109" i="1"/>
  <c r="GE109" i="1"/>
  <c r="GF109" i="1"/>
  <c r="GG109" i="1"/>
  <c r="GH109" i="1"/>
  <c r="GI109" i="1"/>
  <c r="GJ109" i="1"/>
  <c r="GK109" i="1"/>
  <c r="GL109" i="1"/>
  <c r="GM109" i="1"/>
  <c r="GN109" i="1"/>
  <c r="GO109" i="1"/>
  <c r="GP109" i="1"/>
  <c r="GQ109" i="1"/>
  <c r="GR109" i="1"/>
  <c r="GS109" i="1"/>
  <c r="GT109" i="1"/>
  <c r="GU109" i="1"/>
  <c r="GV109" i="1"/>
  <c r="GW109" i="1"/>
  <c r="GX109" i="1"/>
  <c r="D111" i="1"/>
  <c r="I111" i="1"/>
  <c r="K111" i="1"/>
  <c r="AC111" i="1"/>
  <c r="CQ111" i="1" s="1"/>
  <c r="AE111" i="1"/>
  <c r="AF111" i="1"/>
  <c r="AG111" i="1"/>
  <c r="CU111" i="1" s="1"/>
  <c r="AH111" i="1"/>
  <c r="AI111" i="1"/>
  <c r="CW111" i="1" s="1"/>
  <c r="AJ111" i="1"/>
  <c r="CX111" i="1" s="1"/>
  <c r="CV111" i="1"/>
  <c r="FR111" i="1"/>
  <c r="BY115" i="1" s="1"/>
  <c r="GL111" i="1"/>
  <c r="GN111" i="1"/>
  <c r="GO111" i="1"/>
  <c r="CC115" i="1" s="1"/>
  <c r="GV111" i="1"/>
  <c r="HC111" i="1" s="1"/>
  <c r="D112" i="1"/>
  <c r="I112" i="1"/>
  <c r="K112" i="1"/>
  <c r="P112" i="1"/>
  <c r="R112" i="1"/>
  <c r="GK112" i="1" s="1"/>
  <c r="U112" i="1"/>
  <c r="AC112" i="1"/>
  <c r="CQ112" i="1" s="1"/>
  <c r="AE112" i="1"/>
  <c r="AD112" i="1" s="1"/>
  <c r="AF112" i="1"/>
  <c r="CT112" i="1" s="1"/>
  <c r="S112" i="1" s="1"/>
  <c r="AG112" i="1"/>
  <c r="CU112" i="1" s="1"/>
  <c r="T112" i="1" s="1"/>
  <c r="AH112" i="1"/>
  <c r="CV112" i="1" s="1"/>
  <c r="AI112" i="1"/>
  <c r="CW112" i="1" s="1"/>
  <c r="AJ112" i="1"/>
  <c r="CX112" i="1" s="1"/>
  <c r="CR112" i="1"/>
  <c r="Q112" i="1" s="1"/>
  <c r="CS112" i="1"/>
  <c r="FR112" i="1"/>
  <c r="GL112" i="1"/>
  <c r="GN112" i="1"/>
  <c r="GO112" i="1"/>
  <c r="GV112" i="1"/>
  <c r="HC112" i="1" s="1"/>
  <c r="GX112" i="1" s="1"/>
  <c r="D113" i="1"/>
  <c r="I113" i="1"/>
  <c r="K113" i="1"/>
  <c r="T113" i="1"/>
  <c r="AC113" i="1"/>
  <c r="CQ113" i="1" s="1"/>
  <c r="P113" i="1" s="1"/>
  <c r="AE113" i="1"/>
  <c r="AF113" i="1"/>
  <c r="CT113" i="1" s="1"/>
  <c r="S113" i="1" s="1"/>
  <c r="AG113" i="1"/>
  <c r="CU113" i="1" s="1"/>
  <c r="AH113" i="1"/>
  <c r="CV113" i="1" s="1"/>
  <c r="U113" i="1" s="1"/>
  <c r="AI113" i="1"/>
  <c r="CW113" i="1" s="1"/>
  <c r="V113" i="1" s="1"/>
  <c r="AJ113" i="1"/>
  <c r="CX113" i="1" s="1"/>
  <c r="W113" i="1" s="1"/>
  <c r="FR113" i="1"/>
  <c r="GL113" i="1"/>
  <c r="GN113" i="1"/>
  <c r="GO113" i="1"/>
  <c r="GV113" i="1"/>
  <c r="HC113" i="1"/>
  <c r="GX113" i="1" s="1"/>
  <c r="B115" i="1"/>
  <c r="C115" i="1"/>
  <c r="C109" i="1" s="1"/>
  <c r="D115" i="1"/>
  <c r="F115" i="1"/>
  <c r="F109" i="1" s="1"/>
  <c r="G115" i="1"/>
  <c r="BD115" i="1"/>
  <c r="BX115" i="1"/>
  <c r="BZ115" i="1"/>
  <c r="CB115" i="1"/>
  <c r="CK115" i="1"/>
  <c r="CL115" i="1"/>
  <c r="BC115" i="1" s="1"/>
  <c r="BC109" i="1" s="1"/>
  <c r="CM115" i="1"/>
  <c r="CM109" i="1" s="1"/>
  <c r="F131" i="1"/>
  <c r="D145" i="1"/>
  <c r="E147" i="1"/>
  <c r="Z147" i="1"/>
  <c r="AA147" i="1"/>
  <c r="AB147" i="1"/>
  <c r="AC147" i="1"/>
  <c r="AM147" i="1"/>
  <c r="AN147" i="1"/>
  <c r="AS147" i="1"/>
  <c r="BE147" i="1"/>
  <c r="BF147" i="1"/>
  <c r="BG147" i="1"/>
  <c r="BH147" i="1"/>
  <c r="BI147" i="1"/>
  <c r="BJ147" i="1"/>
  <c r="BK147" i="1"/>
  <c r="BL147" i="1"/>
  <c r="BM147" i="1"/>
  <c r="BN147" i="1"/>
  <c r="BO147" i="1"/>
  <c r="BP147" i="1"/>
  <c r="BQ147" i="1"/>
  <c r="BR147" i="1"/>
  <c r="BS147" i="1"/>
  <c r="BT147" i="1"/>
  <c r="BU147" i="1"/>
  <c r="BV147" i="1"/>
  <c r="BW147" i="1"/>
  <c r="BZ147" i="1"/>
  <c r="CA147" i="1"/>
  <c r="CB147" i="1"/>
  <c r="CN147" i="1"/>
  <c r="CO147" i="1"/>
  <c r="CP147" i="1"/>
  <c r="CQ147" i="1"/>
  <c r="CR147" i="1"/>
  <c r="CS147" i="1"/>
  <c r="CT147" i="1"/>
  <c r="CU147" i="1"/>
  <c r="CV147" i="1"/>
  <c r="CW147" i="1"/>
  <c r="CX147" i="1"/>
  <c r="CY147" i="1"/>
  <c r="CZ147" i="1"/>
  <c r="DA147" i="1"/>
  <c r="DB147" i="1"/>
  <c r="DC147" i="1"/>
  <c r="DD147" i="1"/>
  <c r="DE147" i="1"/>
  <c r="DF147" i="1"/>
  <c r="DG147" i="1"/>
  <c r="DH147" i="1"/>
  <c r="DI147" i="1"/>
  <c r="DJ147" i="1"/>
  <c r="DK147" i="1"/>
  <c r="DL147" i="1"/>
  <c r="DM147" i="1"/>
  <c r="DN147" i="1"/>
  <c r="DO147" i="1"/>
  <c r="DP147" i="1"/>
  <c r="DQ147" i="1"/>
  <c r="DR147" i="1"/>
  <c r="DS147" i="1"/>
  <c r="DT147" i="1"/>
  <c r="DU147" i="1"/>
  <c r="DV147" i="1"/>
  <c r="DW147" i="1"/>
  <c r="DX147" i="1"/>
  <c r="DY147" i="1"/>
  <c r="DZ147" i="1"/>
  <c r="EA147" i="1"/>
  <c r="EB147" i="1"/>
  <c r="EC147" i="1"/>
  <c r="ED147" i="1"/>
  <c r="EE147" i="1"/>
  <c r="EF147" i="1"/>
  <c r="EG147" i="1"/>
  <c r="EH147" i="1"/>
  <c r="EI147" i="1"/>
  <c r="EJ147" i="1"/>
  <c r="EK147" i="1"/>
  <c r="EL147" i="1"/>
  <c r="EM147" i="1"/>
  <c r="EN147" i="1"/>
  <c r="EO147" i="1"/>
  <c r="EP147" i="1"/>
  <c r="EQ147" i="1"/>
  <c r="ER147" i="1"/>
  <c r="ES147" i="1"/>
  <c r="ET147" i="1"/>
  <c r="EU147" i="1"/>
  <c r="EV147" i="1"/>
  <c r="EW147" i="1"/>
  <c r="EX147" i="1"/>
  <c r="EY147" i="1"/>
  <c r="EZ147" i="1"/>
  <c r="FA147" i="1"/>
  <c r="FB147" i="1"/>
  <c r="FC147" i="1"/>
  <c r="FD147" i="1"/>
  <c r="FE147" i="1"/>
  <c r="FF147" i="1"/>
  <c r="FG147" i="1"/>
  <c r="FH147" i="1"/>
  <c r="FI147" i="1"/>
  <c r="FJ147" i="1"/>
  <c r="FK147" i="1"/>
  <c r="FL147" i="1"/>
  <c r="FM147" i="1"/>
  <c r="FN147" i="1"/>
  <c r="FO147" i="1"/>
  <c r="FP147" i="1"/>
  <c r="FQ147" i="1"/>
  <c r="FR147" i="1"/>
  <c r="FS147" i="1"/>
  <c r="FT147" i="1"/>
  <c r="FU147" i="1"/>
  <c r="FV147" i="1"/>
  <c r="FW147" i="1"/>
  <c r="FX147" i="1"/>
  <c r="FY147" i="1"/>
  <c r="FZ147" i="1"/>
  <c r="GA147" i="1"/>
  <c r="GB147" i="1"/>
  <c r="GC147" i="1"/>
  <c r="GD147" i="1"/>
  <c r="GE147" i="1"/>
  <c r="GF147" i="1"/>
  <c r="GG147" i="1"/>
  <c r="GH147" i="1"/>
  <c r="GI147" i="1"/>
  <c r="GJ147" i="1"/>
  <c r="GK147" i="1"/>
  <c r="GL147" i="1"/>
  <c r="GM147" i="1"/>
  <c r="GN147" i="1"/>
  <c r="GO147" i="1"/>
  <c r="GP147" i="1"/>
  <c r="GQ147" i="1"/>
  <c r="GR147" i="1"/>
  <c r="GS147" i="1"/>
  <c r="GT147" i="1"/>
  <c r="GU147" i="1"/>
  <c r="GV147" i="1"/>
  <c r="GW147" i="1"/>
  <c r="GX147" i="1"/>
  <c r="D149" i="1"/>
  <c r="I149" i="1"/>
  <c r="K149" i="1"/>
  <c r="AC149" i="1"/>
  <c r="CQ149" i="1" s="1"/>
  <c r="AE149" i="1"/>
  <c r="AF149" i="1"/>
  <c r="CT149" i="1" s="1"/>
  <c r="S149" i="1" s="1"/>
  <c r="AG149" i="1"/>
  <c r="CU149" i="1" s="1"/>
  <c r="T149" i="1" s="1"/>
  <c r="AH149" i="1"/>
  <c r="AI149" i="1"/>
  <c r="AJ149" i="1"/>
  <c r="CV149" i="1"/>
  <c r="U149" i="1" s="1"/>
  <c r="CW149" i="1"/>
  <c r="CX149" i="1"/>
  <c r="W149" i="1" s="1"/>
  <c r="FR149" i="1"/>
  <c r="GL149" i="1"/>
  <c r="GN149" i="1"/>
  <c r="GO149" i="1"/>
  <c r="GV149" i="1"/>
  <c r="HC149" i="1" s="1"/>
  <c r="D150" i="1"/>
  <c r="I150" i="1"/>
  <c r="K150" i="1"/>
  <c r="AC150" i="1"/>
  <c r="AE150" i="1"/>
  <c r="AF150" i="1"/>
  <c r="CT150" i="1" s="1"/>
  <c r="AG150" i="1"/>
  <c r="CU150" i="1" s="1"/>
  <c r="AH150" i="1"/>
  <c r="CV150" i="1" s="1"/>
  <c r="AI150" i="1"/>
  <c r="CW150" i="1" s="1"/>
  <c r="AJ150" i="1"/>
  <c r="CQ150" i="1"/>
  <c r="CX150" i="1"/>
  <c r="FR150" i="1"/>
  <c r="GL150" i="1"/>
  <c r="GN150" i="1"/>
  <c r="GO150" i="1"/>
  <c r="GV150" i="1"/>
  <c r="HC150" i="1" s="1"/>
  <c r="D151" i="1"/>
  <c r="I151" i="1"/>
  <c r="K151" i="1"/>
  <c r="S151" i="1"/>
  <c r="AC151" i="1"/>
  <c r="AE151" i="1"/>
  <c r="AD151" i="1" s="1"/>
  <c r="AF151" i="1"/>
  <c r="CT151" i="1" s="1"/>
  <c r="AG151" i="1"/>
  <c r="AH151" i="1"/>
  <c r="CV151" i="1" s="1"/>
  <c r="U151" i="1" s="1"/>
  <c r="AI151" i="1"/>
  <c r="AJ151" i="1"/>
  <c r="CX151" i="1" s="1"/>
  <c r="W151" i="1" s="1"/>
  <c r="CR151" i="1"/>
  <c r="Q151" i="1" s="1"/>
  <c r="CS151" i="1"/>
  <c r="R151" i="1" s="1"/>
  <c r="GK151" i="1" s="1"/>
  <c r="CU151" i="1"/>
  <c r="CW151" i="1"/>
  <c r="V151" i="1" s="1"/>
  <c r="FR151" i="1"/>
  <c r="GL151" i="1"/>
  <c r="GN151" i="1"/>
  <c r="GO151" i="1"/>
  <c r="GV151" i="1"/>
  <c r="HC151" i="1" s="1"/>
  <c r="GX151" i="1" s="1"/>
  <c r="D152" i="1"/>
  <c r="I152" i="1"/>
  <c r="K152" i="1"/>
  <c r="AC152" i="1"/>
  <c r="AD152" i="1"/>
  <c r="AE152" i="1"/>
  <c r="CR152" i="1" s="1"/>
  <c r="AF152" i="1"/>
  <c r="CT152" i="1" s="1"/>
  <c r="S152" i="1" s="1"/>
  <c r="AG152" i="1"/>
  <c r="AH152" i="1"/>
  <c r="CV152" i="1" s="1"/>
  <c r="AI152" i="1"/>
  <c r="AJ152" i="1"/>
  <c r="CX152" i="1" s="1"/>
  <c r="CS152" i="1"/>
  <c r="CU152" i="1"/>
  <c r="T152" i="1" s="1"/>
  <c r="CW152" i="1"/>
  <c r="FR152" i="1"/>
  <c r="GL152" i="1"/>
  <c r="GN152" i="1"/>
  <c r="GO152" i="1"/>
  <c r="GV152" i="1"/>
  <c r="HC152" i="1"/>
  <c r="GX152" i="1" s="1"/>
  <c r="D153" i="1"/>
  <c r="I153" i="1"/>
  <c r="K153" i="1"/>
  <c r="T153" i="1"/>
  <c r="U153" i="1"/>
  <c r="AC153" i="1"/>
  <c r="AE153" i="1"/>
  <c r="AF153" i="1"/>
  <c r="CT153" i="1" s="1"/>
  <c r="AG153" i="1"/>
  <c r="CU153" i="1" s="1"/>
  <c r="AH153" i="1"/>
  <c r="CV153" i="1" s="1"/>
  <c r="AI153" i="1"/>
  <c r="CW153" i="1" s="1"/>
  <c r="V153" i="1" s="1"/>
  <c r="AJ153" i="1"/>
  <c r="CX153" i="1" s="1"/>
  <c r="CQ153" i="1"/>
  <c r="P153" i="1" s="1"/>
  <c r="FR153" i="1"/>
  <c r="GL153" i="1"/>
  <c r="GN153" i="1"/>
  <c r="GO153" i="1"/>
  <c r="GV153" i="1"/>
  <c r="HC153" i="1"/>
  <c r="D154" i="1"/>
  <c r="I154" i="1"/>
  <c r="U154" i="1" s="1"/>
  <c r="K154" i="1"/>
  <c r="AC154" i="1"/>
  <c r="AE154" i="1"/>
  <c r="AF154" i="1"/>
  <c r="AG154" i="1"/>
  <c r="AH154" i="1"/>
  <c r="AI154" i="1"/>
  <c r="AJ154" i="1"/>
  <c r="CX154" i="1" s="1"/>
  <c r="CQ154" i="1"/>
  <c r="CT154" i="1"/>
  <c r="CU154" i="1"/>
  <c r="CV154" i="1"/>
  <c r="CW154" i="1"/>
  <c r="FR154" i="1"/>
  <c r="GL154" i="1"/>
  <c r="GN154" i="1"/>
  <c r="GO154" i="1"/>
  <c r="GV154" i="1"/>
  <c r="HC154" i="1"/>
  <c r="D155" i="1"/>
  <c r="I155" i="1"/>
  <c r="K155" i="1"/>
  <c r="AC155" i="1"/>
  <c r="CQ155" i="1" s="1"/>
  <c r="P155" i="1" s="1"/>
  <c r="AE155" i="1"/>
  <c r="AD155" i="1" s="1"/>
  <c r="AF155" i="1"/>
  <c r="CT155" i="1" s="1"/>
  <c r="AG155" i="1"/>
  <c r="CU155" i="1" s="1"/>
  <c r="AH155" i="1"/>
  <c r="AI155" i="1"/>
  <c r="CW155" i="1" s="1"/>
  <c r="AJ155" i="1"/>
  <c r="CV155" i="1"/>
  <c r="CX155" i="1"/>
  <c r="FR155" i="1"/>
  <c r="GL155" i="1"/>
  <c r="GN155" i="1"/>
  <c r="GO155" i="1"/>
  <c r="GV155" i="1"/>
  <c r="HC155" i="1" s="1"/>
  <c r="B157" i="1"/>
  <c r="B147" i="1" s="1"/>
  <c r="C157" i="1"/>
  <c r="C147" i="1" s="1"/>
  <c r="D157" i="1"/>
  <c r="D147" i="1" s="1"/>
  <c r="F157" i="1"/>
  <c r="F147" i="1" s="1"/>
  <c r="G157" i="1"/>
  <c r="O157" i="1"/>
  <c r="O147" i="1" s="1"/>
  <c r="P157" i="1"/>
  <c r="P147" i="1" s="1"/>
  <c r="Q157" i="1"/>
  <c r="AB157" i="1"/>
  <c r="AC157" i="1"/>
  <c r="AD157" i="1"/>
  <c r="AD147" i="1" s="1"/>
  <c r="AE157" i="1"/>
  <c r="AF157" i="1"/>
  <c r="AG157" i="1"/>
  <c r="AH157" i="1"/>
  <c r="AI157" i="1"/>
  <c r="AJ157" i="1"/>
  <c r="AK157" i="1"/>
  <c r="AL157" i="1"/>
  <c r="BA157" i="1"/>
  <c r="BC157" i="1"/>
  <c r="BX157" i="1"/>
  <c r="BX147" i="1" s="1"/>
  <c r="BY157" i="1"/>
  <c r="BY147" i="1" s="1"/>
  <c r="BZ157" i="1"/>
  <c r="AQ157" i="1" s="1"/>
  <c r="CA157" i="1"/>
  <c r="AR157" i="1" s="1"/>
  <c r="F185" i="1" s="1"/>
  <c r="CB157" i="1"/>
  <c r="AS157" i="1" s="1"/>
  <c r="CC157" i="1"/>
  <c r="CC147" i="1" s="1"/>
  <c r="CD157" i="1"/>
  <c r="CD147" i="1" s="1"/>
  <c r="CG157" i="1"/>
  <c r="CJ157" i="1"/>
  <c r="CJ147" i="1" s="1"/>
  <c r="CK157" i="1"/>
  <c r="CL157" i="1"/>
  <c r="CL147" i="1" s="1"/>
  <c r="CM157" i="1"/>
  <c r="F159" i="1"/>
  <c r="F160" i="1"/>
  <c r="F174" i="1"/>
  <c r="D187" i="1"/>
  <c r="C189" i="1"/>
  <c r="D189" i="1"/>
  <c r="E189" i="1"/>
  <c r="Z189" i="1"/>
  <c r="AA189" i="1"/>
  <c r="AM189" i="1"/>
  <c r="AN189" i="1"/>
  <c r="BE189" i="1"/>
  <c r="BF189" i="1"/>
  <c r="BG189" i="1"/>
  <c r="BH189" i="1"/>
  <c r="BI189" i="1"/>
  <c r="BJ189" i="1"/>
  <c r="BK189" i="1"/>
  <c r="BL189" i="1"/>
  <c r="BM189" i="1"/>
  <c r="BN189" i="1"/>
  <c r="BO189" i="1"/>
  <c r="BP189" i="1"/>
  <c r="BQ189" i="1"/>
  <c r="BR189" i="1"/>
  <c r="BS189" i="1"/>
  <c r="BT189" i="1"/>
  <c r="BU189" i="1"/>
  <c r="BV189" i="1"/>
  <c r="BW189" i="1"/>
  <c r="CN189" i="1"/>
  <c r="CO189" i="1"/>
  <c r="CP189" i="1"/>
  <c r="CQ189" i="1"/>
  <c r="CR189" i="1"/>
  <c r="CS189" i="1"/>
  <c r="CT189" i="1"/>
  <c r="CU189" i="1"/>
  <c r="CV189" i="1"/>
  <c r="CW189" i="1"/>
  <c r="CX189" i="1"/>
  <c r="CY189" i="1"/>
  <c r="CZ189" i="1"/>
  <c r="DA189" i="1"/>
  <c r="DB189" i="1"/>
  <c r="DC189" i="1"/>
  <c r="DD189" i="1"/>
  <c r="DE189" i="1"/>
  <c r="DF189" i="1"/>
  <c r="DG189" i="1"/>
  <c r="DH189" i="1"/>
  <c r="DI189" i="1"/>
  <c r="DJ189" i="1"/>
  <c r="DK189" i="1"/>
  <c r="DL189" i="1"/>
  <c r="DM189" i="1"/>
  <c r="DN189" i="1"/>
  <c r="DO189" i="1"/>
  <c r="DP189" i="1"/>
  <c r="DQ189" i="1"/>
  <c r="DR189" i="1"/>
  <c r="DS189" i="1"/>
  <c r="DT189" i="1"/>
  <c r="DU189" i="1"/>
  <c r="DV189" i="1"/>
  <c r="DW189" i="1"/>
  <c r="DX189" i="1"/>
  <c r="DY189" i="1"/>
  <c r="DZ189" i="1"/>
  <c r="EA189" i="1"/>
  <c r="EB189" i="1"/>
  <c r="EC189" i="1"/>
  <c r="ED189" i="1"/>
  <c r="EE189" i="1"/>
  <c r="EF189" i="1"/>
  <c r="EG189" i="1"/>
  <c r="EH189" i="1"/>
  <c r="EI189" i="1"/>
  <c r="EJ189" i="1"/>
  <c r="EK189" i="1"/>
  <c r="EL189" i="1"/>
  <c r="EM189" i="1"/>
  <c r="EN189" i="1"/>
  <c r="EO189" i="1"/>
  <c r="EP189" i="1"/>
  <c r="EQ189" i="1"/>
  <c r="ER189" i="1"/>
  <c r="ES189" i="1"/>
  <c r="ET189" i="1"/>
  <c r="EU189" i="1"/>
  <c r="EV189" i="1"/>
  <c r="EW189" i="1"/>
  <c r="EX189" i="1"/>
  <c r="EY189" i="1"/>
  <c r="EZ189" i="1"/>
  <c r="FA189" i="1"/>
  <c r="FB189" i="1"/>
  <c r="FC189" i="1"/>
  <c r="FD189" i="1"/>
  <c r="FE189" i="1"/>
  <c r="FF189" i="1"/>
  <c r="FG189" i="1"/>
  <c r="FH189" i="1"/>
  <c r="FI189" i="1"/>
  <c r="FJ189" i="1"/>
  <c r="FK189" i="1"/>
  <c r="FL189" i="1"/>
  <c r="FM189" i="1"/>
  <c r="FN189" i="1"/>
  <c r="FO189" i="1"/>
  <c r="FP189" i="1"/>
  <c r="FQ189" i="1"/>
  <c r="FR189" i="1"/>
  <c r="FS189" i="1"/>
  <c r="FT189" i="1"/>
  <c r="FU189" i="1"/>
  <c r="FV189" i="1"/>
  <c r="FW189" i="1"/>
  <c r="FX189" i="1"/>
  <c r="FY189" i="1"/>
  <c r="FZ189" i="1"/>
  <c r="GA189" i="1"/>
  <c r="GB189" i="1"/>
  <c r="GC189" i="1"/>
  <c r="GD189" i="1"/>
  <c r="GE189" i="1"/>
  <c r="GF189" i="1"/>
  <c r="GG189" i="1"/>
  <c r="GH189" i="1"/>
  <c r="GI189" i="1"/>
  <c r="GJ189" i="1"/>
  <c r="GK189" i="1"/>
  <c r="GL189" i="1"/>
  <c r="GM189" i="1"/>
  <c r="GN189" i="1"/>
  <c r="GO189" i="1"/>
  <c r="GP189" i="1"/>
  <c r="GQ189" i="1"/>
  <c r="GR189" i="1"/>
  <c r="GS189" i="1"/>
  <c r="GT189" i="1"/>
  <c r="GU189" i="1"/>
  <c r="GV189" i="1"/>
  <c r="GW189" i="1"/>
  <c r="GX189" i="1"/>
  <c r="D191" i="1"/>
  <c r="I191" i="1"/>
  <c r="K191" i="1"/>
  <c r="AC191" i="1"/>
  <c r="AD191" i="1"/>
  <c r="AE191" i="1"/>
  <c r="AF191" i="1"/>
  <c r="CT191" i="1" s="1"/>
  <c r="S191" i="1" s="1"/>
  <c r="AG191" i="1"/>
  <c r="CU191" i="1" s="1"/>
  <c r="T191" i="1" s="1"/>
  <c r="AH191" i="1"/>
  <c r="AI191" i="1"/>
  <c r="CW191" i="1" s="1"/>
  <c r="AJ191" i="1"/>
  <c r="CV191" i="1"/>
  <c r="U191" i="1" s="1"/>
  <c r="CX191" i="1"/>
  <c r="W191" i="1" s="1"/>
  <c r="FR191" i="1"/>
  <c r="GL191" i="1"/>
  <c r="GN191" i="1"/>
  <c r="GO191" i="1"/>
  <c r="GV191" i="1"/>
  <c r="HC191" i="1" s="1"/>
  <c r="GX191" i="1" s="1"/>
  <c r="D192" i="1"/>
  <c r="I192" i="1"/>
  <c r="K192" i="1"/>
  <c r="V192" i="1"/>
  <c r="AC192" i="1"/>
  <c r="AD192" i="1"/>
  <c r="AE192" i="1"/>
  <c r="AF192" i="1"/>
  <c r="CT192" i="1" s="1"/>
  <c r="S192" i="1" s="1"/>
  <c r="AG192" i="1"/>
  <c r="CU192" i="1" s="1"/>
  <c r="T192" i="1" s="1"/>
  <c r="AH192" i="1"/>
  <c r="CV192" i="1" s="1"/>
  <c r="U192" i="1" s="1"/>
  <c r="AI192" i="1"/>
  <c r="CW192" i="1" s="1"/>
  <c r="AJ192" i="1"/>
  <c r="CX192" i="1" s="1"/>
  <c r="W192" i="1" s="1"/>
  <c r="CQ192" i="1"/>
  <c r="CR192" i="1"/>
  <c r="Q192" i="1" s="1"/>
  <c r="CS192" i="1"/>
  <c r="FR192" i="1"/>
  <c r="GL192" i="1"/>
  <c r="GN192" i="1"/>
  <c r="GO192" i="1"/>
  <c r="GV192" i="1"/>
  <c r="HC192" i="1" s="1"/>
  <c r="D193" i="1"/>
  <c r="I193" i="1"/>
  <c r="K193" i="1"/>
  <c r="W193" i="1"/>
  <c r="AC193" i="1"/>
  <c r="CQ193" i="1" s="1"/>
  <c r="P193" i="1" s="1"/>
  <c r="AE193" i="1"/>
  <c r="AF193" i="1"/>
  <c r="AG193" i="1"/>
  <c r="CU193" i="1" s="1"/>
  <c r="T193" i="1" s="1"/>
  <c r="AH193" i="1"/>
  <c r="CV193" i="1" s="1"/>
  <c r="U193" i="1" s="1"/>
  <c r="AI193" i="1"/>
  <c r="CW193" i="1" s="1"/>
  <c r="V193" i="1" s="1"/>
  <c r="AJ193" i="1"/>
  <c r="CT193" i="1"/>
  <c r="S193" i="1" s="1"/>
  <c r="CX193" i="1"/>
  <c r="FR193" i="1"/>
  <c r="GL193" i="1"/>
  <c r="GN193" i="1"/>
  <c r="GO193" i="1"/>
  <c r="GV193" i="1"/>
  <c r="HC193" i="1"/>
  <c r="GX193" i="1" s="1"/>
  <c r="D194" i="1"/>
  <c r="T194" i="1"/>
  <c r="AC194" i="1"/>
  <c r="AE194" i="1"/>
  <c r="AF194" i="1"/>
  <c r="CT194" i="1" s="1"/>
  <c r="S194" i="1" s="1"/>
  <c r="AG194" i="1"/>
  <c r="CU194" i="1" s="1"/>
  <c r="AH194" i="1"/>
  <c r="CV194" i="1" s="1"/>
  <c r="U194" i="1" s="1"/>
  <c r="AI194" i="1"/>
  <c r="CW194" i="1" s="1"/>
  <c r="V194" i="1" s="1"/>
  <c r="AJ194" i="1"/>
  <c r="CX194" i="1" s="1"/>
  <c r="W194" i="1" s="1"/>
  <c r="FR194" i="1"/>
  <c r="GL194" i="1"/>
  <c r="GN194" i="1"/>
  <c r="GO194" i="1"/>
  <c r="GV194" i="1"/>
  <c r="HC194" i="1"/>
  <c r="GX194" i="1" s="1"/>
  <c r="D195" i="1"/>
  <c r="I195" i="1"/>
  <c r="V195" i="1" s="1"/>
  <c r="K195" i="1"/>
  <c r="AC195" i="1"/>
  <c r="AE195" i="1"/>
  <c r="AD195" i="1" s="1"/>
  <c r="AF195" i="1"/>
  <c r="AG195" i="1"/>
  <c r="CU195" i="1" s="1"/>
  <c r="T195" i="1" s="1"/>
  <c r="AH195" i="1"/>
  <c r="CV195" i="1" s="1"/>
  <c r="U195" i="1" s="1"/>
  <c r="AI195" i="1"/>
  <c r="CW195" i="1" s="1"/>
  <c r="AJ195" i="1"/>
  <c r="CX195" i="1" s="1"/>
  <c r="W195" i="1" s="1"/>
  <c r="CQ195" i="1"/>
  <c r="CR195" i="1"/>
  <c r="CS195" i="1"/>
  <c r="FR195" i="1"/>
  <c r="GL195" i="1"/>
  <c r="GN195" i="1"/>
  <c r="GO195" i="1"/>
  <c r="GV195" i="1"/>
  <c r="HC195" i="1"/>
  <c r="D196" i="1"/>
  <c r="AC196" i="1"/>
  <c r="AE196" i="1"/>
  <c r="AF196" i="1"/>
  <c r="AG196" i="1"/>
  <c r="CU196" i="1" s="1"/>
  <c r="T196" i="1" s="1"/>
  <c r="AH196" i="1"/>
  <c r="CV196" i="1" s="1"/>
  <c r="U196" i="1" s="1"/>
  <c r="AI196" i="1"/>
  <c r="CW196" i="1" s="1"/>
  <c r="V196" i="1" s="1"/>
  <c r="AJ196" i="1"/>
  <c r="CX196" i="1"/>
  <c r="W196" i="1" s="1"/>
  <c r="FR196" i="1"/>
  <c r="GL196" i="1"/>
  <c r="GN196" i="1"/>
  <c r="GO196" i="1"/>
  <c r="CC200" i="1" s="1"/>
  <c r="GV196" i="1"/>
  <c r="HC196" i="1" s="1"/>
  <c r="GX196" i="1" s="1"/>
  <c r="D197" i="1"/>
  <c r="I197" i="1"/>
  <c r="K197" i="1"/>
  <c r="U197" i="1"/>
  <c r="AC197" i="1"/>
  <c r="AE197" i="1"/>
  <c r="AF197" i="1"/>
  <c r="AG197" i="1"/>
  <c r="CU197" i="1" s="1"/>
  <c r="AH197" i="1"/>
  <c r="CV197" i="1" s="1"/>
  <c r="AI197" i="1"/>
  <c r="CW197" i="1" s="1"/>
  <c r="AJ197" i="1"/>
  <c r="CX197" i="1" s="1"/>
  <c r="W197" i="1" s="1"/>
  <c r="FR197" i="1"/>
  <c r="GL197" i="1"/>
  <c r="GN197" i="1"/>
  <c r="CB200" i="1" s="1"/>
  <c r="GO197" i="1"/>
  <c r="GV197" i="1"/>
  <c r="HC197" i="1" s="1"/>
  <c r="D198" i="1"/>
  <c r="S198" i="1"/>
  <c r="U198" i="1"/>
  <c r="AC198" i="1"/>
  <c r="CQ198" i="1" s="1"/>
  <c r="P198" i="1" s="1"/>
  <c r="AE198" i="1"/>
  <c r="AF198" i="1"/>
  <c r="CT198" i="1" s="1"/>
  <c r="AG198" i="1"/>
  <c r="AH198" i="1"/>
  <c r="CV198" i="1" s="1"/>
  <c r="AI198" i="1"/>
  <c r="CW198" i="1" s="1"/>
  <c r="V198" i="1" s="1"/>
  <c r="AJ198" i="1"/>
  <c r="CX198" i="1" s="1"/>
  <c r="W198" i="1" s="1"/>
  <c r="CU198" i="1"/>
  <c r="T198" i="1" s="1"/>
  <c r="FR198" i="1"/>
  <c r="GL198" i="1"/>
  <c r="GN198" i="1"/>
  <c r="GO198" i="1"/>
  <c r="GV198" i="1"/>
  <c r="HC198" i="1"/>
  <c r="GX198" i="1" s="1"/>
  <c r="B200" i="1"/>
  <c r="B189" i="1" s="1"/>
  <c r="C200" i="1"/>
  <c r="D200" i="1"/>
  <c r="F200" i="1"/>
  <c r="F189" i="1" s="1"/>
  <c r="G200" i="1"/>
  <c r="BC200" i="1"/>
  <c r="BX200" i="1"/>
  <c r="BY200" i="1"/>
  <c r="BY189" i="1" s="1"/>
  <c r="BZ200" i="1"/>
  <c r="CK200" i="1"/>
  <c r="CK189" i="1" s="1"/>
  <c r="CL200" i="1"/>
  <c r="CL189" i="1" s="1"/>
  <c r="CM200" i="1"/>
  <c r="CM189" i="1" s="1"/>
  <c r="D230" i="1"/>
  <c r="E232" i="1"/>
  <c r="Z232" i="1"/>
  <c r="AA232" i="1"/>
  <c r="AM232" i="1"/>
  <c r="AN232" i="1"/>
  <c r="BE232" i="1"/>
  <c r="BF232" i="1"/>
  <c r="BG232" i="1"/>
  <c r="BH232" i="1"/>
  <c r="BI232" i="1"/>
  <c r="BJ232" i="1"/>
  <c r="BK232" i="1"/>
  <c r="BL232" i="1"/>
  <c r="BM232" i="1"/>
  <c r="BN232" i="1"/>
  <c r="BO232" i="1"/>
  <c r="BP232" i="1"/>
  <c r="BQ232" i="1"/>
  <c r="BR232" i="1"/>
  <c r="BS232" i="1"/>
  <c r="BT232" i="1"/>
  <c r="BU232" i="1"/>
  <c r="BV232" i="1"/>
  <c r="BW232" i="1"/>
  <c r="BX232" i="1"/>
  <c r="CN232" i="1"/>
  <c r="CO232" i="1"/>
  <c r="CP232" i="1"/>
  <c r="CQ232" i="1"/>
  <c r="CR232" i="1"/>
  <c r="CS232" i="1"/>
  <c r="CT232" i="1"/>
  <c r="CU232" i="1"/>
  <c r="CV232" i="1"/>
  <c r="CW232" i="1"/>
  <c r="CX232" i="1"/>
  <c r="CY232" i="1"/>
  <c r="CZ232" i="1"/>
  <c r="DA232" i="1"/>
  <c r="DB232" i="1"/>
  <c r="DC232" i="1"/>
  <c r="DD232" i="1"/>
  <c r="DE232" i="1"/>
  <c r="DF232" i="1"/>
  <c r="DG232" i="1"/>
  <c r="DH232" i="1"/>
  <c r="DI232" i="1"/>
  <c r="DJ232" i="1"/>
  <c r="DK232" i="1"/>
  <c r="DL232" i="1"/>
  <c r="DM232" i="1"/>
  <c r="DN232" i="1"/>
  <c r="DO232" i="1"/>
  <c r="DP232" i="1"/>
  <c r="DQ232" i="1"/>
  <c r="DR232" i="1"/>
  <c r="DS232" i="1"/>
  <c r="DT232" i="1"/>
  <c r="DU232" i="1"/>
  <c r="DV232" i="1"/>
  <c r="DW232" i="1"/>
  <c r="DX232" i="1"/>
  <c r="DY232" i="1"/>
  <c r="DZ232" i="1"/>
  <c r="EA232" i="1"/>
  <c r="EB232" i="1"/>
  <c r="EC232" i="1"/>
  <c r="ED232" i="1"/>
  <c r="EE232" i="1"/>
  <c r="EF232" i="1"/>
  <c r="EG232" i="1"/>
  <c r="EH232" i="1"/>
  <c r="EI232" i="1"/>
  <c r="EJ232" i="1"/>
  <c r="EK232" i="1"/>
  <c r="EL232" i="1"/>
  <c r="EM232" i="1"/>
  <c r="EN232" i="1"/>
  <c r="EO232" i="1"/>
  <c r="EP232" i="1"/>
  <c r="EQ232" i="1"/>
  <c r="ER232" i="1"/>
  <c r="ES232" i="1"/>
  <c r="ET232" i="1"/>
  <c r="EU232" i="1"/>
  <c r="EV232" i="1"/>
  <c r="EW232" i="1"/>
  <c r="EX232" i="1"/>
  <c r="EY232" i="1"/>
  <c r="EZ232" i="1"/>
  <c r="FA232" i="1"/>
  <c r="FB232" i="1"/>
  <c r="FC232" i="1"/>
  <c r="FD232" i="1"/>
  <c r="FE232" i="1"/>
  <c r="FF232" i="1"/>
  <c r="FG232" i="1"/>
  <c r="FH232" i="1"/>
  <c r="FI232" i="1"/>
  <c r="FJ232" i="1"/>
  <c r="FK232" i="1"/>
  <c r="FL232" i="1"/>
  <c r="FM232" i="1"/>
  <c r="FN232" i="1"/>
  <c r="FO232" i="1"/>
  <c r="FP232" i="1"/>
  <c r="FQ232" i="1"/>
  <c r="FR232" i="1"/>
  <c r="FS232" i="1"/>
  <c r="FT232" i="1"/>
  <c r="FU232" i="1"/>
  <c r="FV232" i="1"/>
  <c r="FW232" i="1"/>
  <c r="FX232" i="1"/>
  <c r="FY232" i="1"/>
  <c r="FZ232" i="1"/>
  <c r="GA232" i="1"/>
  <c r="GB232" i="1"/>
  <c r="GC232" i="1"/>
  <c r="GD232" i="1"/>
  <c r="GE232" i="1"/>
  <c r="GF232" i="1"/>
  <c r="GG232" i="1"/>
  <c r="GH232" i="1"/>
  <c r="GI232" i="1"/>
  <c r="GJ232" i="1"/>
  <c r="GK232" i="1"/>
  <c r="GL232" i="1"/>
  <c r="GM232" i="1"/>
  <c r="GN232" i="1"/>
  <c r="GO232" i="1"/>
  <c r="GP232" i="1"/>
  <c r="GQ232" i="1"/>
  <c r="GR232" i="1"/>
  <c r="GS232" i="1"/>
  <c r="GT232" i="1"/>
  <c r="GU232" i="1"/>
  <c r="GV232" i="1"/>
  <c r="GW232" i="1"/>
  <c r="GX232" i="1"/>
  <c r="D234" i="1"/>
  <c r="I234" i="1"/>
  <c r="K234" i="1"/>
  <c r="AC234" i="1"/>
  <c r="CQ234" i="1" s="1"/>
  <c r="P234" i="1" s="1"/>
  <c r="AE234" i="1"/>
  <c r="AF234" i="1"/>
  <c r="CT234" i="1" s="1"/>
  <c r="S234" i="1" s="1"/>
  <c r="AG234" i="1"/>
  <c r="CU234" i="1" s="1"/>
  <c r="T234" i="1" s="1"/>
  <c r="AH234" i="1"/>
  <c r="CV234" i="1" s="1"/>
  <c r="U234" i="1" s="1"/>
  <c r="AI234" i="1"/>
  <c r="CW234" i="1" s="1"/>
  <c r="AJ234" i="1"/>
  <c r="CX234" i="1" s="1"/>
  <c r="FR234" i="1"/>
  <c r="GL234" i="1"/>
  <c r="GN234" i="1"/>
  <c r="GO234" i="1"/>
  <c r="GV234" i="1"/>
  <c r="HC234" i="1" s="1"/>
  <c r="GX234" i="1" s="1"/>
  <c r="D235" i="1"/>
  <c r="I235" i="1"/>
  <c r="U235" i="1" s="1"/>
  <c r="K235" i="1"/>
  <c r="AC235" i="1"/>
  <c r="CQ235" i="1" s="1"/>
  <c r="AE235" i="1"/>
  <c r="AF235" i="1"/>
  <c r="AG235" i="1"/>
  <c r="CU235" i="1" s="1"/>
  <c r="AH235" i="1"/>
  <c r="CV235" i="1" s="1"/>
  <c r="AI235" i="1"/>
  <c r="CW235" i="1" s="1"/>
  <c r="V235" i="1" s="1"/>
  <c r="AJ235" i="1"/>
  <c r="CX235" i="1" s="1"/>
  <c r="CT235" i="1"/>
  <c r="FR235" i="1"/>
  <c r="GL235" i="1"/>
  <c r="GN235" i="1"/>
  <c r="GO235" i="1"/>
  <c r="GV235" i="1"/>
  <c r="HC235" i="1"/>
  <c r="D236" i="1"/>
  <c r="I236" i="1"/>
  <c r="K236" i="1"/>
  <c r="P236" i="1"/>
  <c r="S236" i="1"/>
  <c r="AC236" i="1"/>
  <c r="CQ236" i="1" s="1"/>
  <c r="AE236" i="1"/>
  <c r="AF236" i="1"/>
  <c r="CT236" i="1" s="1"/>
  <c r="AG236" i="1"/>
  <c r="CU236" i="1" s="1"/>
  <c r="T236" i="1" s="1"/>
  <c r="AH236" i="1"/>
  <c r="CV236" i="1" s="1"/>
  <c r="AI236" i="1"/>
  <c r="CW236" i="1" s="1"/>
  <c r="AJ236" i="1"/>
  <c r="CX236" i="1" s="1"/>
  <c r="FR236" i="1"/>
  <c r="GL236" i="1"/>
  <c r="GN236" i="1"/>
  <c r="GO236" i="1"/>
  <c r="GV236" i="1"/>
  <c r="HC236" i="1" s="1"/>
  <c r="GX236" i="1" s="1"/>
  <c r="D237" i="1"/>
  <c r="I237" i="1"/>
  <c r="K237" i="1"/>
  <c r="AC237" i="1"/>
  <c r="AE237" i="1"/>
  <c r="AF237" i="1"/>
  <c r="AG237" i="1"/>
  <c r="CU237" i="1" s="1"/>
  <c r="AH237" i="1"/>
  <c r="CV237" i="1" s="1"/>
  <c r="AI237" i="1"/>
  <c r="AJ237" i="1"/>
  <c r="CQ237" i="1"/>
  <c r="CT237" i="1"/>
  <c r="S237" i="1" s="1"/>
  <c r="CW237" i="1"/>
  <c r="V237" i="1" s="1"/>
  <c r="CX237" i="1"/>
  <c r="W237" i="1" s="1"/>
  <c r="FR237" i="1"/>
  <c r="GL237" i="1"/>
  <c r="GN237" i="1"/>
  <c r="GO237" i="1"/>
  <c r="GV237" i="1"/>
  <c r="HC237" i="1" s="1"/>
  <c r="GX237" i="1" s="1"/>
  <c r="D238" i="1"/>
  <c r="I238" i="1"/>
  <c r="K238" i="1"/>
  <c r="AC238" i="1"/>
  <c r="CQ238" i="1" s="1"/>
  <c r="P238" i="1" s="1"/>
  <c r="AE238" i="1"/>
  <c r="AF238" i="1"/>
  <c r="AG238" i="1"/>
  <c r="CU238" i="1" s="1"/>
  <c r="AH238" i="1"/>
  <c r="CV238" i="1" s="1"/>
  <c r="AI238" i="1"/>
  <c r="CW238" i="1" s="1"/>
  <c r="V238" i="1" s="1"/>
  <c r="AJ238" i="1"/>
  <c r="CX238" i="1"/>
  <c r="W238" i="1" s="1"/>
  <c r="FR238" i="1"/>
  <c r="GL238" i="1"/>
  <c r="GN238" i="1"/>
  <c r="GO238" i="1"/>
  <c r="GV238" i="1"/>
  <c r="HC238" i="1"/>
  <c r="D239" i="1"/>
  <c r="I239" i="1"/>
  <c r="K239" i="1"/>
  <c r="U239" i="1"/>
  <c r="AC239" i="1"/>
  <c r="CQ239" i="1" s="1"/>
  <c r="P239" i="1" s="1"/>
  <c r="AE239" i="1"/>
  <c r="AF239" i="1"/>
  <c r="AG239" i="1"/>
  <c r="CU239" i="1" s="1"/>
  <c r="AH239" i="1"/>
  <c r="AI239" i="1"/>
  <c r="CW239" i="1" s="1"/>
  <c r="V239" i="1" s="1"/>
  <c r="AJ239" i="1"/>
  <c r="CX239" i="1" s="1"/>
  <c r="W239" i="1" s="1"/>
  <c r="CR239" i="1"/>
  <c r="Q239" i="1" s="1"/>
  <c r="CT239" i="1"/>
  <c r="CV239" i="1"/>
  <c r="FR239" i="1"/>
  <c r="GL239" i="1"/>
  <c r="GN239" i="1"/>
  <c r="GO239" i="1"/>
  <c r="GV239" i="1"/>
  <c r="HC239" i="1" s="1"/>
  <c r="GX239" i="1" s="1"/>
  <c r="D240" i="1"/>
  <c r="I240" i="1"/>
  <c r="K240" i="1"/>
  <c r="AC240" i="1"/>
  <c r="CQ240" i="1" s="1"/>
  <c r="P240" i="1" s="1"/>
  <c r="AD240" i="1"/>
  <c r="AE240" i="1"/>
  <c r="AF240" i="1"/>
  <c r="AG240" i="1"/>
  <c r="CU240" i="1" s="1"/>
  <c r="T240" i="1" s="1"/>
  <c r="AH240" i="1"/>
  <c r="CV240" i="1" s="1"/>
  <c r="U240" i="1" s="1"/>
  <c r="AI240" i="1"/>
  <c r="CW240" i="1" s="1"/>
  <c r="V240" i="1" s="1"/>
  <c r="AJ240" i="1"/>
  <c r="CR240" i="1"/>
  <c r="Q240" i="1" s="1"/>
  <c r="CS240" i="1"/>
  <c r="CT240" i="1"/>
  <c r="S240" i="1" s="1"/>
  <c r="CX240" i="1"/>
  <c r="W240" i="1" s="1"/>
  <c r="CY240" i="1"/>
  <c r="X240" i="1" s="1"/>
  <c r="FR240" i="1"/>
  <c r="GL240" i="1"/>
  <c r="GN240" i="1"/>
  <c r="GO240" i="1"/>
  <c r="GV240" i="1"/>
  <c r="HC240" i="1" s="1"/>
  <c r="GX240" i="1" s="1"/>
  <c r="D241" i="1"/>
  <c r="P241" i="1"/>
  <c r="Q241" i="1"/>
  <c r="T241" i="1"/>
  <c r="AC241" i="1"/>
  <c r="CQ241" i="1" s="1"/>
  <c r="AE241" i="1"/>
  <c r="AF241" i="1"/>
  <c r="AG241" i="1"/>
  <c r="CU241" i="1" s="1"/>
  <c r="AH241" i="1"/>
  <c r="CV241" i="1" s="1"/>
  <c r="U241" i="1" s="1"/>
  <c r="AI241" i="1"/>
  <c r="CW241" i="1" s="1"/>
  <c r="V241" i="1" s="1"/>
  <c r="AJ241" i="1"/>
  <c r="CX241" i="1" s="1"/>
  <c r="W241" i="1" s="1"/>
  <c r="CR241" i="1"/>
  <c r="FR241" i="1"/>
  <c r="GL241" i="1"/>
  <c r="GN241" i="1"/>
  <c r="GO241" i="1"/>
  <c r="GV241" i="1"/>
  <c r="HC241" i="1" s="1"/>
  <c r="GX241" i="1" s="1"/>
  <c r="D242" i="1"/>
  <c r="AC242" i="1"/>
  <c r="CQ242" i="1" s="1"/>
  <c r="P242" i="1" s="1"/>
  <c r="AE242" i="1"/>
  <c r="AF242" i="1"/>
  <c r="AG242" i="1"/>
  <c r="CU242" i="1" s="1"/>
  <c r="T242" i="1" s="1"/>
  <c r="AH242" i="1"/>
  <c r="CV242" i="1" s="1"/>
  <c r="U242" i="1" s="1"/>
  <c r="AI242" i="1"/>
  <c r="AJ242" i="1"/>
  <c r="CT242" i="1"/>
  <c r="S242" i="1" s="1"/>
  <c r="CW242" i="1"/>
  <c r="V242" i="1" s="1"/>
  <c r="CX242" i="1"/>
  <c r="W242" i="1" s="1"/>
  <c r="FR242" i="1"/>
  <c r="GL242" i="1"/>
  <c r="GN242" i="1"/>
  <c r="GO242" i="1"/>
  <c r="GV242" i="1"/>
  <c r="HC242" i="1"/>
  <c r="GX242" i="1" s="1"/>
  <c r="D244" i="1"/>
  <c r="AC244" i="1"/>
  <c r="CQ244" i="1" s="1"/>
  <c r="P244" i="1" s="1"/>
  <c r="AE244" i="1"/>
  <c r="AF244" i="1"/>
  <c r="AG244" i="1"/>
  <c r="CU244" i="1" s="1"/>
  <c r="T244" i="1" s="1"/>
  <c r="AH244" i="1"/>
  <c r="CV244" i="1" s="1"/>
  <c r="U244" i="1" s="1"/>
  <c r="AI244" i="1"/>
  <c r="CW244" i="1" s="1"/>
  <c r="V244" i="1" s="1"/>
  <c r="AJ244" i="1"/>
  <c r="CX244" i="1" s="1"/>
  <c r="W244" i="1" s="1"/>
  <c r="FR244" i="1"/>
  <c r="GL244" i="1"/>
  <c r="GN244" i="1"/>
  <c r="GO244" i="1"/>
  <c r="GV244" i="1"/>
  <c r="HC244" i="1" s="1"/>
  <c r="GX244" i="1" s="1"/>
  <c r="D245" i="1"/>
  <c r="AC245" i="1"/>
  <c r="CQ245" i="1" s="1"/>
  <c r="P245" i="1" s="1"/>
  <c r="AE245" i="1"/>
  <c r="AF245" i="1"/>
  <c r="AG245" i="1"/>
  <c r="AH245" i="1"/>
  <c r="AI245" i="1"/>
  <c r="AJ245" i="1"/>
  <c r="CX245" i="1" s="1"/>
  <c r="W245" i="1" s="1"/>
  <c r="CT245" i="1"/>
  <c r="S245" i="1" s="1"/>
  <c r="CU245" i="1"/>
  <c r="T245" i="1" s="1"/>
  <c r="CV245" i="1"/>
  <c r="U245" i="1" s="1"/>
  <c r="CW245" i="1"/>
  <c r="V245" i="1" s="1"/>
  <c r="FR245" i="1"/>
  <c r="GL245" i="1"/>
  <c r="GN245" i="1"/>
  <c r="GO245" i="1"/>
  <c r="GV245" i="1"/>
  <c r="HC245" i="1" s="1"/>
  <c r="GX245" i="1" s="1"/>
  <c r="D246" i="1"/>
  <c r="AC246" i="1"/>
  <c r="AE246" i="1"/>
  <c r="CS246" i="1" s="1"/>
  <c r="R246" i="1" s="1"/>
  <c r="GK246" i="1" s="1"/>
  <c r="AF246" i="1"/>
  <c r="CT246" i="1" s="1"/>
  <c r="S246" i="1" s="1"/>
  <c r="AG246" i="1"/>
  <c r="CU246" i="1" s="1"/>
  <c r="T246" i="1" s="1"/>
  <c r="AH246" i="1"/>
  <c r="CV246" i="1" s="1"/>
  <c r="U246" i="1" s="1"/>
  <c r="AI246" i="1"/>
  <c r="CW246" i="1" s="1"/>
  <c r="V246" i="1" s="1"/>
  <c r="AJ246" i="1"/>
  <c r="CX246" i="1" s="1"/>
  <c r="W246" i="1" s="1"/>
  <c r="CQ246" i="1"/>
  <c r="P246" i="1" s="1"/>
  <c r="CR246" i="1"/>
  <c r="Q246" i="1" s="1"/>
  <c r="FR246" i="1"/>
  <c r="GL246" i="1"/>
  <c r="GN246" i="1"/>
  <c r="GO246" i="1"/>
  <c r="GV246" i="1"/>
  <c r="HC246" i="1" s="1"/>
  <c r="GX246" i="1" s="1"/>
  <c r="I247" i="1"/>
  <c r="AC247" i="1"/>
  <c r="CQ247" i="1" s="1"/>
  <c r="P247" i="1" s="1"/>
  <c r="AE247" i="1"/>
  <c r="CR247" i="1" s="1"/>
  <c r="Q247" i="1" s="1"/>
  <c r="AF247" i="1"/>
  <c r="AG247" i="1"/>
  <c r="CU247" i="1" s="1"/>
  <c r="T247" i="1" s="1"/>
  <c r="AH247" i="1"/>
  <c r="AI247" i="1"/>
  <c r="AJ247" i="1"/>
  <c r="CT247" i="1"/>
  <c r="S247" i="1" s="1"/>
  <c r="CV247" i="1"/>
  <c r="U247" i="1" s="1"/>
  <c r="CW247" i="1"/>
  <c r="CX247" i="1"/>
  <c r="W247" i="1" s="1"/>
  <c r="FR247" i="1"/>
  <c r="GL247" i="1"/>
  <c r="GN247" i="1"/>
  <c r="GO247" i="1"/>
  <c r="GV247" i="1"/>
  <c r="HC247" i="1"/>
  <c r="GX247" i="1" s="1"/>
  <c r="D248" i="1"/>
  <c r="S248" i="1"/>
  <c r="AC248" i="1"/>
  <c r="CQ248" i="1" s="1"/>
  <c r="P248" i="1" s="1"/>
  <c r="AE248" i="1"/>
  <c r="AD248" i="1" s="1"/>
  <c r="AF248" i="1"/>
  <c r="CT248" i="1" s="1"/>
  <c r="AG248" i="1"/>
  <c r="CU248" i="1" s="1"/>
  <c r="T248" i="1" s="1"/>
  <c r="AH248" i="1"/>
  <c r="CV248" i="1" s="1"/>
  <c r="U248" i="1" s="1"/>
  <c r="AI248" i="1"/>
  <c r="CW248" i="1" s="1"/>
  <c r="V248" i="1" s="1"/>
  <c r="AJ248" i="1"/>
  <c r="CX248" i="1" s="1"/>
  <c r="W248" i="1" s="1"/>
  <c r="FR248" i="1"/>
  <c r="GL248" i="1"/>
  <c r="GN248" i="1"/>
  <c r="GO248" i="1"/>
  <c r="GV248" i="1"/>
  <c r="HC248" i="1" s="1"/>
  <c r="GX248" i="1" s="1"/>
  <c r="I249" i="1"/>
  <c r="AC249" i="1"/>
  <c r="AD249" i="1"/>
  <c r="AE249" i="1"/>
  <c r="CR249" i="1" s="1"/>
  <c r="Q249" i="1" s="1"/>
  <c r="AF249" i="1"/>
  <c r="CT249" i="1" s="1"/>
  <c r="S249" i="1" s="1"/>
  <c r="AG249" i="1"/>
  <c r="CU249" i="1" s="1"/>
  <c r="T249" i="1" s="1"/>
  <c r="AH249" i="1"/>
  <c r="CV249" i="1" s="1"/>
  <c r="U249" i="1" s="1"/>
  <c r="AI249" i="1"/>
  <c r="CW249" i="1" s="1"/>
  <c r="V249" i="1" s="1"/>
  <c r="AJ249" i="1"/>
  <c r="CX249" i="1" s="1"/>
  <c r="W249" i="1" s="1"/>
  <c r="CS249" i="1"/>
  <c r="R249" i="1" s="1"/>
  <c r="GK249" i="1" s="1"/>
  <c r="FR249" i="1"/>
  <c r="GL249" i="1"/>
  <c r="GN249" i="1"/>
  <c r="GO249" i="1"/>
  <c r="GV249" i="1"/>
  <c r="HC249" i="1" s="1"/>
  <c r="B251" i="1"/>
  <c r="B232" i="1" s="1"/>
  <c r="C251" i="1"/>
  <c r="C232" i="1" s="1"/>
  <c r="D251" i="1"/>
  <c r="D232" i="1" s="1"/>
  <c r="F251" i="1"/>
  <c r="F232" i="1" s="1"/>
  <c r="G251" i="1"/>
  <c r="BB251" i="1"/>
  <c r="BB232" i="1" s="1"/>
  <c r="BD251" i="1"/>
  <c r="BD232" i="1" s="1"/>
  <c r="BX251" i="1"/>
  <c r="AO251" i="1" s="1"/>
  <c r="CK251" i="1"/>
  <c r="CK232" i="1" s="1"/>
  <c r="CL251" i="1"/>
  <c r="CL232" i="1" s="1"/>
  <c r="CM251" i="1"/>
  <c r="CM232" i="1" s="1"/>
  <c r="F264" i="1"/>
  <c r="F276" i="1"/>
  <c r="B281" i="1"/>
  <c r="C281" i="1"/>
  <c r="C26" i="1" s="1"/>
  <c r="D281" i="1"/>
  <c r="D26" i="1" s="1"/>
  <c r="F281" i="1"/>
  <c r="F26" i="1" s="1"/>
  <c r="G281" i="1"/>
  <c r="D311" i="1"/>
  <c r="E313" i="1"/>
  <c r="Z313" i="1"/>
  <c r="AA313" i="1"/>
  <c r="AB313" i="1"/>
  <c r="AC313" i="1"/>
  <c r="AD313" i="1"/>
  <c r="AE313" i="1"/>
  <c r="AF313" i="1"/>
  <c r="AG313" i="1"/>
  <c r="AH313" i="1"/>
  <c r="AI313" i="1"/>
  <c r="AJ313" i="1"/>
  <c r="AK313" i="1"/>
  <c r="AL313" i="1"/>
  <c r="AM313" i="1"/>
  <c r="AN313" i="1"/>
  <c r="BE313" i="1"/>
  <c r="BF313" i="1"/>
  <c r="BG313" i="1"/>
  <c r="BH313" i="1"/>
  <c r="BI313" i="1"/>
  <c r="BJ313" i="1"/>
  <c r="BK313" i="1"/>
  <c r="BL313" i="1"/>
  <c r="BM313" i="1"/>
  <c r="BN313" i="1"/>
  <c r="BO313" i="1"/>
  <c r="BP313" i="1"/>
  <c r="BQ313" i="1"/>
  <c r="BR313" i="1"/>
  <c r="BS313" i="1"/>
  <c r="BT313" i="1"/>
  <c r="BU313" i="1"/>
  <c r="BV313" i="1"/>
  <c r="BW313" i="1"/>
  <c r="BX313" i="1"/>
  <c r="BY313" i="1"/>
  <c r="BZ313" i="1"/>
  <c r="CA313" i="1"/>
  <c r="CB313" i="1"/>
  <c r="CC313" i="1"/>
  <c r="CD313" i="1"/>
  <c r="CE313" i="1"/>
  <c r="CF313" i="1"/>
  <c r="CG313" i="1"/>
  <c r="CH313" i="1"/>
  <c r="CI313" i="1"/>
  <c r="CJ313" i="1"/>
  <c r="CK313" i="1"/>
  <c r="CL313" i="1"/>
  <c r="CM313" i="1"/>
  <c r="CN313" i="1"/>
  <c r="CO313" i="1"/>
  <c r="CP313" i="1"/>
  <c r="CQ313" i="1"/>
  <c r="CR313" i="1"/>
  <c r="CS313" i="1"/>
  <c r="CT313" i="1"/>
  <c r="CU313" i="1"/>
  <c r="CV313" i="1"/>
  <c r="CW313" i="1"/>
  <c r="CX313" i="1"/>
  <c r="CY313" i="1"/>
  <c r="CZ313" i="1"/>
  <c r="DA313" i="1"/>
  <c r="DB313" i="1"/>
  <c r="DC313" i="1"/>
  <c r="DD313" i="1"/>
  <c r="DE313" i="1"/>
  <c r="DF313" i="1"/>
  <c r="DG313" i="1"/>
  <c r="DH313" i="1"/>
  <c r="DI313" i="1"/>
  <c r="DJ313" i="1"/>
  <c r="DK313" i="1"/>
  <c r="DL313" i="1"/>
  <c r="DM313" i="1"/>
  <c r="DN313" i="1"/>
  <c r="DO313" i="1"/>
  <c r="DP313" i="1"/>
  <c r="DQ313" i="1"/>
  <c r="DR313" i="1"/>
  <c r="DS313" i="1"/>
  <c r="DT313" i="1"/>
  <c r="DU313" i="1"/>
  <c r="DV313" i="1"/>
  <c r="DW313" i="1"/>
  <c r="DX313" i="1"/>
  <c r="DY313" i="1"/>
  <c r="DZ313" i="1"/>
  <c r="EA313" i="1"/>
  <c r="EB313" i="1"/>
  <c r="EC313" i="1"/>
  <c r="ED313" i="1"/>
  <c r="EE313" i="1"/>
  <c r="EF313" i="1"/>
  <c r="EG313" i="1"/>
  <c r="EH313" i="1"/>
  <c r="EI313" i="1"/>
  <c r="EJ313" i="1"/>
  <c r="EK313" i="1"/>
  <c r="EL313" i="1"/>
  <c r="EM313" i="1"/>
  <c r="EN313" i="1"/>
  <c r="EO313" i="1"/>
  <c r="EP313" i="1"/>
  <c r="EQ313" i="1"/>
  <c r="ER313" i="1"/>
  <c r="ES313" i="1"/>
  <c r="ET313" i="1"/>
  <c r="EU313" i="1"/>
  <c r="EV313" i="1"/>
  <c r="EW313" i="1"/>
  <c r="EX313" i="1"/>
  <c r="EY313" i="1"/>
  <c r="EZ313" i="1"/>
  <c r="FA313" i="1"/>
  <c r="FB313" i="1"/>
  <c r="FC313" i="1"/>
  <c r="FD313" i="1"/>
  <c r="FE313" i="1"/>
  <c r="FF313" i="1"/>
  <c r="FG313" i="1"/>
  <c r="FH313" i="1"/>
  <c r="FI313" i="1"/>
  <c r="FJ313" i="1"/>
  <c r="FK313" i="1"/>
  <c r="FL313" i="1"/>
  <c r="FM313" i="1"/>
  <c r="FN313" i="1"/>
  <c r="FO313" i="1"/>
  <c r="FP313" i="1"/>
  <c r="FQ313" i="1"/>
  <c r="FR313" i="1"/>
  <c r="FS313" i="1"/>
  <c r="FT313" i="1"/>
  <c r="FU313" i="1"/>
  <c r="FV313" i="1"/>
  <c r="FW313" i="1"/>
  <c r="FX313" i="1"/>
  <c r="FY313" i="1"/>
  <c r="FZ313" i="1"/>
  <c r="GA313" i="1"/>
  <c r="GB313" i="1"/>
  <c r="GC313" i="1"/>
  <c r="GD313" i="1"/>
  <c r="GE313" i="1"/>
  <c r="GF313" i="1"/>
  <c r="GG313" i="1"/>
  <c r="GH313" i="1"/>
  <c r="GI313" i="1"/>
  <c r="GJ313" i="1"/>
  <c r="GK313" i="1"/>
  <c r="GL313" i="1"/>
  <c r="GM313" i="1"/>
  <c r="GN313" i="1"/>
  <c r="GO313" i="1"/>
  <c r="GP313" i="1"/>
  <c r="GQ313" i="1"/>
  <c r="GR313" i="1"/>
  <c r="GS313" i="1"/>
  <c r="GT313" i="1"/>
  <c r="GU313" i="1"/>
  <c r="GV313" i="1"/>
  <c r="GW313" i="1"/>
  <c r="GX313" i="1"/>
  <c r="D315" i="1"/>
  <c r="E317" i="1"/>
  <c r="Z317" i="1"/>
  <c r="AA317" i="1"/>
  <c r="AM317" i="1"/>
  <c r="AN317" i="1"/>
  <c r="BE317" i="1"/>
  <c r="BF317" i="1"/>
  <c r="BG317" i="1"/>
  <c r="BH317" i="1"/>
  <c r="BI317" i="1"/>
  <c r="BJ317" i="1"/>
  <c r="BK317" i="1"/>
  <c r="BL317" i="1"/>
  <c r="BM317" i="1"/>
  <c r="BN317" i="1"/>
  <c r="BO317" i="1"/>
  <c r="BP317" i="1"/>
  <c r="BQ317" i="1"/>
  <c r="BR317" i="1"/>
  <c r="BS317" i="1"/>
  <c r="BT317" i="1"/>
  <c r="BU317" i="1"/>
  <c r="BV317" i="1"/>
  <c r="BW317" i="1"/>
  <c r="CL317" i="1"/>
  <c r="CN317" i="1"/>
  <c r="CO317" i="1"/>
  <c r="CP317" i="1"/>
  <c r="CQ317" i="1"/>
  <c r="CR317" i="1"/>
  <c r="CS317" i="1"/>
  <c r="CT317" i="1"/>
  <c r="CU317" i="1"/>
  <c r="CV317" i="1"/>
  <c r="CW317" i="1"/>
  <c r="CX317" i="1"/>
  <c r="CY317" i="1"/>
  <c r="CZ317" i="1"/>
  <c r="DA317" i="1"/>
  <c r="DB317" i="1"/>
  <c r="DC317" i="1"/>
  <c r="DD317" i="1"/>
  <c r="DE317" i="1"/>
  <c r="DF317" i="1"/>
  <c r="DG317" i="1"/>
  <c r="DH317" i="1"/>
  <c r="DI317" i="1"/>
  <c r="DJ317" i="1"/>
  <c r="DK317" i="1"/>
  <c r="DL317" i="1"/>
  <c r="DM317" i="1"/>
  <c r="DN317" i="1"/>
  <c r="DO317" i="1"/>
  <c r="DP317" i="1"/>
  <c r="DQ317" i="1"/>
  <c r="DR317" i="1"/>
  <c r="DS317" i="1"/>
  <c r="DT317" i="1"/>
  <c r="DU317" i="1"/>
  <c r="DV317" i="1"/>
  <c r="DW317" i="1"/>
  <c r="DX317" i="1"/>
  <c r="DY317" i="1"/>
  <c r="DZ317" i="1"/>
  <c r="EA317" i="1"/>
  <c r="EB317" i="1"/>
  <c r="EC317" i="1"/>
  <c r="ED317" i="1"/>
  <c r="EE317" i="1"/>
  <c r="EF317" i="1"/>
  <c r="EG317" i="1"/>
  <c r="EH317" i="1"/>
  <c r="EI317" i="1"/>
  <c r="EJ317" i="1"/>
  <c r="EK317" i="1"/>
  <c r="EL317" i="1"/>
  <c r="EM317" i="1"/>
  <c r="EN317" i="1"/>
  <c r="EO317" i="1"/>
  <c r="EP317" i="1"/>
  <c r="EQ317" i="1"/>
  <c r="ER317" i="1"/>
  <c r="ES317" i="1"/>
  <c r="ET317" i="1"/>
  <c r="EU317" i="1"/>
  <c r="EV317" i="1"/>
  <c r="EW317" i="1"/>
  <c r="EX317" i="1"/>
  <c r="EY317" i="1"/>
  <c r="EZ317" i="1"/>
  <c r="FA317" i="1"/>
  <c r="FB317" i="1"/>
  <c r="FC317" i="1"/>
  <c r="FD317" i="1"/>
  <c r="FE317" i="1"/>
  <c r="FF317" i="1"/>
  <c r="FG317" i="1"/>
  <c r="FH317" i="1"/>
  <c r="FI317" i="1"/>
  <c r="FJ317" i="1"/>
  <c r="FK317" i="1"/>
  <c r="FL317" i="1"/>
  <c r="FM317" i="1"/>
  <c r="FN317" i="1"/>
  <c r="FO317" i="1"/>
  <c r="FP317" i="1"/>
  <c r="FQ317" i="1"/>
  <c r="FR317" i="1"/>
  <c r="FS317" i="1"/>
  <c r="FT317" i="1"/>
  <c r="FU317" i="1"/>
  <c r="FV317" i="1"/>
  <c r="FW317" i="1"/>
  <c r="FX317" i="1"/>
  <c r="FY317" i="1"/>
  <c r="FZ317" i="1"/>
  <c r="GA317" i="1"/>
  <c r="GB317" i="1"/>
  <c r="GC317" i="1"/>
  <c r="GD317" i="1"/>
  <c r="GE317" i="1"/>
  <c r="GF317" i="1"/>
  <c r="GG317" i="1"/>
  <c r="GH317" i="1"/>
  <c r="GI317" i="1"/>
  <c r="GJ317" i="1"/>
  <c r="GK317" i="1"/>
  <c r="GL317" i="1"/>
  <c r="GM317" i="1"/>
  <c r="GN317" i="1"/>
  <c r="GO317" i="1"/>
  <c r="GP317" i="1"/>
  <c r="GQ317" i="1"/>
  <c r="GR317" i="1"/>
  <c r="GS317" i="1"/>
  <c r="GT317" i="1"/>
  <c r="GU317" i="1"/>
  <c r="GV317" i="1"/>
  <c r="GW317" i="1"/>
  <c r="GX317" i="1"/>
  <c r="D319" i="1"/>
  <c r="I319" i="1"/>
  <c r="K319" i="1"/>
  <c r="AC319" i="1"/>
  <c r="CQ319" i="1" s="1"/>
  <c r="AE319" i="1"/>
  <c r="AF319" i="1"/>
  <c r="AG319" i="1"/>
  <c r="CU319" i="1" s="1"/>
  <c r="AH319" i="1"/>
  <c r="CV319" i="1" s="1"/>
  <c r="AI319" i="1"/>
  <c r="CW319" i="1" s="1"/>
  <c r="AJ319" i="1"/>
  <c r="CX319" i="1"/>
  <c r="FR319" i="1"/>
  <c r="GL319" i="1"/>
  <c r="GN319" i="1"/>
  <c r="GO319" i="1"/>
  <c r="GV319" i="1"/>
  <c r="HC319" i="1"/>
  <c r="D320" i="1"/>
  <c r="I320" i="1"/>
  <c r="K320" i="1"/>
  <c r="AC320" i="1"/>
  <c r="AE320" i="1"/>
  <c r="CR320" i="1" s="1"/>
  <c r="AF320" i="1"/>
  <c r="AG320" i="1"/>
  <c r="CU320" i="1" s="1"/>
  <c r="T320" i="1" s="1"/>
  <c r="AH320" i="1"/>
  <c r="CV320" i="1" s="1"/>
  <c r="AI320" i="1"/>
  <c r="CW320" i="1" s="1"/>
  <c r="AJ320" i="1"/>
  <c r="CX320" i="1" s="1"/>
  <c r="W320" i="1" s="1"/>
  <c r="CQ320" i="1"/>
  <c r="P320" i="1" s="1"/>
  <c r="FR320" i="1"/>
  <c r="GL320" i="1"/>
  <c r="GN320" i="1"/>
  <c r="GO320" i="1"/>
  <c r="GV320" i="1"/>
  <c r="HC320" i="1" s="1"/>
  <c r="D321" i="1"/>
  <c r="I321" i="1"/>
  <c r="K321" i="1"/>
  <c r="S321" i="1"/>
  <c r="T321" i="1"/>
  <c r="AC321" i="1"/>
  <c r="AE321" i="1"/>
  <c r="AF321" i="1"/>
  <c r="AG321" i="1"/>
  <c r="CU321" i="1" s="1"/>
  <c r="AH321" i="1"/>
  <c r="CV321" i="1" s="1"/>
  <c r="U321" i="1" s="1"/>
  <c r="AI321" i="1"/>
  <c r="CW321" i="1" s="1"/>
  <c r="V321" i="1" s="1"/>
  <c r="AJ321" i="1"/>
  <c r="CX321" i="1" s="1"/>
  <c r="W321" i="1" s="1"/>
  <c r="CQ321" i="1"/>
  <c r="P321" i="1" s="1"/>
  <c r="CR321" i="1"/>
  <c r="Q321" i="1" s="1"/>
  <c r="CT321" i="1"/>
  <c r="FR321" i="1"/>
  <c r="GL321" i="1"/>
  <c r="GN321" i="1"/>
  <c r="GO321" i="1"/>
  <c r="GV321" i="1"/>
  <c r="HC321" i="1"/>
  <c r="GX321" i="1" s="1"/>
  <c r="D322" i="1"/>
  <c r="W322" i="1"/>
  <c r="AC322" i="1"/>
  <c r="CQ322" i="1" s="1"/>
  <c r="P322" i="1" s="1"/>
  <c r="AE322" i="1"/>
  <c r="AF322" i="1"/>
  <c r="AG322" i="1"/>
  <c r="AH322" i="1"/>
  <c r="CV322" i="1" s="1"/>
  <c r="U322" i="1" s="1"/>
  <c r="AI322" i="1"/>
  <c r="CW322" i="1" s="1"/>
  <c r="V322" i="1" s="1"/>
  <c r="AJ322" i="1"/>
  <c r="CX322" i="1" s="1"/>
  <c r="CU322" i="1"/>
  <c r="T322" i="1" s="1"/>
  <c r="FR322" i="1"/>
  <c r="GL322" i="1"/>
  <c r="GN322" i="1"/>
  <c r="GO322" i="1"/>
  <c r="GV322" i="1"/>
  <c r="HC322" i="1"/>
  <c r="GX322" i="1" s="1"/>
  <c r="D323" i="1"/>
  <c r="AC323" i="1"/>
  <c r="AE323" i="1"/>
  <c r="AF323" i="1"/>
  <c r="AG323" i="1"/>
  <c r="CU323" i="1" s="1"/>
  <c r="T323" i="1" s="1"/>
  <c r="AH323" i="1"/>
  <c r="CV323" i="1" s="1"/>
  <c r="U323" i="1" s="1"/>
  <c r="AI323" i="1"/>
  <c r="CW323" i="1" s="1"/>
  <c r="V323" i="1" s="1"/>
  <c r="AJ323" i="1"/>
  <c r="CQ323" i="1"/>
  <c r="P323" i="1" s="1"/>
  <c r="CR323" i="1"/>
  <c r="Q323" i="1" s="1"/>
  <c r="CX323" i="1"/>
  <c r="W323" i="1" s="1"/>
  <c r="FR323" i="1"/>
  <c r="GL323" i="1"/>
  <c r="GN323" i="1"/>
  <c r="GO323" i="1"/>
  <c r="GV323" i="1"/>
  <c r="HC323" i="1" s="1"/>
  <c r="GX323" i="1" s="1"/>
  <c r="D324" i="1"/>
  <c r="W324" i="1"/>
  <c r="AC324" i="1"/>
  <c r="AE324" i="1"/>
  <c r="AF324" i="1"/>
  <c r="AG324" i="1"/>
  <c r="CU324" i="1" s="1"/>
  <c r="T324" i="1" s="1"/>
  <c r="AH324" i="1"/>
  <c r="AI324" i="1"/>
  <c r="CW324" i="1" s="1"/>
  <c r="V324" i="1" s="1"/>
  <c r="AJ324" i="1"/>
  <c r="CX324" i="1" s="1"/>
  <c r="CQ324" i="1"/>
  <c r="P324" i="1" s="1"/>
  <c r="CT324" i="1"/>
  <c r="S324" i="1" s="1"/>
  <c r="CV324" i="1"/>
  <c r="U324" i="1" s="1"/>
  <c r="FR324" i="1"/>
  <c r="GL324" i="1"/>
  <c r="GN324" i="1"/>
  <c r="GO324" i="1"/>
  <c r="GV324" i="1"/>
  <c r="HC324" i="1" s="1"/>
  <c r="GX324" i="1" s="1"/>
  <c r="D325" i="1"/>
  <c r="AC325" i="1"/>
  <c r="CQ325" i="1" s="1"/>
  <c r="P325" i="1" s="1"/>
  <c r="AE325" i="1"/>
  <c r="AF325" i="1"/>
  <c r="AG325" i="1"/>
  <c r="CU325" i="1" s="1"/>
  <c r="T325" i="1" s="1"/>
  <c r="AH325" i="1"/>
  <c r="AI325" i="1"/>
  <c r="CW325" i="1" s="1"/>
  <c r="V325" i="1" s="1"/>
  <c r="AJ325" i="1"/>
  <c r="CT325" i="1"/>
  <c r="S325" i="1" s="1"/>
  <c r="CV325" i="1"/>
  <c r="U325" i="1" s="1"/>
  <c r="CX325" i="1"/>
  <c r="W325" i="1" s="1"/>
  <c r="FR325" i="1"/>
  <c r="GL325" i="1"/>
  <c r="GN325" i="1"/>
  <c r="GO325" i="1"/>
  <c r="GV325" i="1"/>
  <c r="HC325" i="1" s="1"/>
  <c r="GX325" i="1" s="1"/>
  <c r="D326" i="1"/>
  <c r="AC326" i="1"/>
  <c r="AE326" i="1"/>
  <c r="AF326" i="1"/>
  <c r="AG326" i="1"/>
  <c r="CU326" i="1" s="1"/>
  <c r="T326" i="1" s="1"/>
  <c r="AH326" i="1"/>
  <c r="CV326" i="1" s="1"/>
  <c r="U326" i="1" s="1"/>
  <c r="AI326" i="1"/>
  <c r="CW326" i="1" s="1"/>
  <c r="V326" i="1" s="1"/>
  <c r="AJ326" i="1"/>
  <c r="CX326" i="1" s="1"/>
  <c r="W326" i="1" s="1"/>
  <c r="CQ326" i="1"/>
  <c r="P326" i="1" s="1"/>
  <c r="FR326" i="1"/>
  <c r="GL326" i="1"/>
  <c r="GN326" i="1"/>
  <c r="GO326" i="1"/>
  <c r="GV326" i="1"/>
  <c r="HC326" i="1"/>
  <c r="GX326" i="1" s="1"/>
  <c r="D327" i="1"/>
  <c r="I327" i="1"/>
  <c r="K327" i="1"/>
  <c r="AC327" i="1"/>
  <c r="CQ327" i="1" s="1"/>
  <c r="P327" i="1" s="1"/>
  <c r="AE327" i="1"/>
  <c r="AF327" i="1"/>
  <c r="AG327" i="1"/>
  <c r="CU327" i="1" s="1"/>
  <c r="T327" i="1" s="1"/>
  <c r="AH327" i="1"/>
  <c r="AI327" i="1"/>
  <c r="AJ327" i="1"/>
  <c r="CV327" i="1"/>
  <c r="U327" i="1" s="1"/>
  <c r="CW327" i="1"/>
  <c r="V327" i="1" s="1"/>
  <c r="CX327" i="1"/>
  <c r="W327" i="1" s="1"/>
  <c r="FR327" i="1"/>
  <c r="GL327" i="1"/>
  <c r="GN327" i="1"/>
  <c r="GO327" i="1"/>
  <c r="GV327" i="1"/>
  <c r="HC327" i="1"/>
  <c r="GX327" i="1" s="1"/>
  <c r="D328" i="1"/>
  <c r="P328" i="1"/>
  <c r="AC328" i="1"/>
  <c r="CQ328" i="1" s="1"/>
  <c r="AD328" i="1"/>
  <c r="AE328" i="1"/>
  <c r="CR328" i="1" s="1"/>
  <c r="Q328" i="1" s="1"/>
  <c r="AF328" i="1"/>
  <c r="AG328" i="1"/>
  <c r="AH328" i="1"/>
  <c r="AI328" i="1"/>
  <c r="CW328" i="1" s="1"/>
  <c r="V328" i="1" s="1"/>
  <c r="AJ328" i="1"/>
  <c r="CT328" i="1"/>
  <c r="S328" i="1" s="1"/>
  <c r="CU328" i="1"/>
  <c r="T328" i="1" s="1"/>
  <c r="CV328" i="1"/>
  <c r="U328" i="1" s="1"/>
  <c r="CX328" i="1"/>
  <c r="W328" i="1" s="1"/>
  <c r="FR328" i="1"/>
  <c r="GL328" i="1"/>
  <c r="GN328" i="1"/>
  <c r="GO328" i="1"/>
  <c r="GV328" i="1"/>
  <c r="HC328" i="1" s="1"/>
  <c r="GX328" i="1" s="1"/>
  <c r="D329" i="1"/>
  <c r="AC329" i="1"/>
  <c r="CQ329" i="1" s="1"/>
  <c r="P329" i="1" s="1"/>
  <c r="AE329" i="1"/>
  <c r="AF329" i="1"/>
  <c r="CT329" i="1" s="1"/>
  <c r="S329" i="1" s="1"/>
  <c r="AG329" i="1"/>
  <c r="CU329" i="1" s="1"/>
  <c r="T329" i="1" s="1"/>
  <c r="AH329" i="1"/>
  <c r="CV329" i="1" s="1"/>
  <c r="U329" i="1" s="1"/>
  <c r="AI329" i="1"/>
  <c r="CW329" i="1" s="1"/>
  <c r="V329" i="1" s="1"/>
  <c r="AJ329" i="1"/>
  <c r="CX329" i="1" s="1"/>
  <c r="W329" i="1" s="1"/>
  <c r="FR329" i="1"/>
  <c r="GL329" i="1"/>
  <c r="GN329" i="1"/>
  <c r="GO329" i="1"/>
  <c r="GV329" i="1"/>
  <c r="HC329" i="1"/>
  <c r="GX329" i="1" s="1"/>
  <c r="AC330" i="1"/>
  <c r="CQ330" i="1" s="1"/>
  <c r="P330" i="1" s="1"/>
  <c r="AD330" i="1"/>
  <c r="CR330" i="1" s="1"/>
  <c r="Q330" i="1" s="1"/>
  <c r="AE330" i="1"/>
  <c r="CS330" i="1" s="1"/>
  <c r="R330" i="1" s="1"/>
  <c r="GK330" i="1" s="1"/>
  <c r="AF330" i="1"/>
  <c r="CT330" i="1" s="1"/>
  <c r="S330" i="1" s="1"/>
  <c r="AG330" i="1"/>
  <c r="CU330" i="1" s="1"/>
  <c r="T330" i="1" s="1"/>
  <c r="AH330" i="1"/>
  <c r="CV330" i="1" s="1"/>
  <c r="U330" i="1" s="1"/>
  <c r="AI330" i="1"/>
  <c r="AJ330" i="1"/>
  <c r="CW330" i="1"/>
  <c r="V330" i="1" s="1"/>
  <c r="CX330" i="1"/>
  <c r="W330" i="1" s="1"/>
  <c r="CY330" i="1"/>
  <c r="X330" i="1" s="1"/>
  <c r="CZ330" i="1"/>
  <c r="Y330" i="1" s="1"/>
  <c r="FR330" i="1"/>
  <c r="GL330" i="1"/>
  <c r="GO330" i="1"/>
  <c r="GP330" i="1"/>
  <c r="GV330" i="1"/>
  <c r="HC330" i="1" s="1"/>
  <c r="GX330" i="1" s="1"/>
  <c r="D331" i="1"/>
  <c r="I331" i="1"/>
  <c r="K331" i="1"/>
  <c r="AC331" i="1"/>
  <c r="AE331" i="1"/>
  <c r="AF331" i="1"/>
  <c r="AG331" i="1"/>
  <c r="CU331" i="1" s="1"/>
  <c r="T331" i="1" s="1"/>
  <c r="AH331" i="1"/>
  <c r="CV331" i="1" s="1"/>
  <c r="U331" i="1" s="1"/>
  <c r="AI331" i="1"/>
  <c r="CW331" i="1" s="1"/>
  <c r="V331" i="1" s="1"/>
  <c r="AJ331" i="1"/>
  <c r="CT331" i="1"/>
  <c r="S331" i="1" s="1"/>
  <c r="CX331" i="1"/>
  <c r="W331" i="1" s="1"/>
  <c r="FR331" i="1"/>
  <c r="GL331" i="1"/>
  <c r="GN331" i="1"/>
  <c r="GO331" i="1"/>
  <c r="GV331" i="1"/>
  <c r="HC331" i="1" s="1"/>
  <c r="GX331" i="1" s="1"/>
  <c r="D332" i="1"/>
  <c r="I332" i="1"/>
  <c r="K332" i="1"/>
  <c r="AC332" i="1"/>
  <c r="CQ332" i="1" s="1"/>
  <c r="AE332" i="1"/>
  <c r="AF332" i="1"/>
  <c r="AG332" i="1"/>
  <c r="CU332" i="1" s="1"/>
  <c r="AH332" i="1"/>
  <c r="CV332" i="1" s="1"/>
  <c r="AI332" i="1"/>
  <c r="CW332" i="1" s="1"/>
  <c r="V332" i="1" s="1"/>
  <c r="AJ332" i="1"/>
  <c r="CX332" i="1" s="1"/>
  <c r="W332" i="1" s="1"/>
  <c r="FR332" i="1"/>
  <c r="GL332" i="1"/>
  <c r="GN332" i="1"/>
  <c r="GO332" i="1"/>
  <c r="GV332" i="1"/>
  <c r="HC332" i="1" s="1"/>
  <c r="D333" i="1"/>
  <c r="I333" i="1"/>
  <c r="K333" i="1"/>
  <c r="W333" i="1"/>
  <c r="AC333" i="1"/>
  <c r="AE333" i="1"/>
  <c r="AF333" i="1"/>
  <c r="CT333" i="1" s="1"/>
  <c r="S333" i="1" s="1"/>
  <c r="AG333" i="1"/>
  <c r="AH333" i="1"/>
  <c r="AI333" i="1"/>
  <c r="AJ333" i="1"/>
  <c r="CX333" i="1" s="1"/>
  <c r="CQ333" i="1"/>
  <c r="P333" i="1" s="1"/>
  <c r="CU333" i="1"/>
  <c r="T333" i="1" s="1"/>
  <c r="CV333" i="1"/>
  <c r="U333" i="1" s="1"/>
  <c r="CW333" i="1"/>
  <c r="V333" i="1" s="1"/>
  <c r="FR333" i="1"/>
  <c r="GL333" i="1"/>
  <c r="GN333" i="1"/>
  <c r="GO333" i="1"/>
  <c r="GV333" i="1"/>
  <c r="HC333" i="1" s="1"/>
  <c r="GX333" i="1" s="1"/>
  <c r="D334" i="1"/>
  <c r="I334" i="1"/>
  <c r="K334" i="1"/>
  <c r="AC334" i="1"/>
  <c r="AE334" i="1"/>
  <c r="AF334" i="1"/>
  <c r="AG334" i="1"/>
  <c r="AH334" i="1"/>
  <c r="CV334" i="1" s="1"/>
  <c r="AI334" i="1"/>
  <c r="AJ334" i="1"/>
  <c r="CR334" i="1"/>
  <c r="Q334" i="1" s="1"/>
  <c r="CS334" i="1"/>
  <c r="CT334" i="1"/>
  <c r="CU334" i="1"/>
  <c r="CW334" i="1"/>
  <c r="CX334" i="1"/>
  <c r="W334" i="1" s="1"/>
  <c r="FR334" i="1"/>
  <c r="GL334" i="1"/>
  <c r="GN334" i="1"/>
  <c r="GO334" i="1"/>
  <c r="GV334" i="1"/>
  <c r="HC334" i="1" s="1"/>
  <c r="D335" i="1"/>
  <c r="AC335" i="1"/>
  <c r="AE335" i="1"/>
  <c r="AF335" i="1"/>
  <c r="AG335" i="1"/>
  <c r="CU335" i="1" s="1"/>
  <c r="T335" i="1" s="1"/>
  <c r="AH335" i="1"/>
  <c r="CV335" i="1" s="1"/>
  <c r="U335" i="1" s="1"/>
  <c r="AI335" i="1"/>
  <c r="CW335" i="1" s="1"/>
  <c r="V335" i="1" s="1"/>
  <c r="AJ335" i="1"/>
  <c r="CX335" i="1" s="1"/>
  <c r="W335" i="1" s="1"/>
  <c r="FR335" i="1"/>
  <c r="GL335" i="1"/>
  <c r="GN335" i="1"/>
  <c r="GO335" i="1"/>
  <c r="GV335" i="1"/>
  <c r="HC335" i="1"/>
  <c r="GX335" i="1" s="1"/>
  <c r="D336" i="1"/>
  <c r="I336" i="1"/>
  <c r="K336" i="1"/>
  <c r="AC336" i="1"/>
  <c r="CQ336" i="1" s="1"/>
  <c r="P336" i="1" s="1"/>
  <c r="AE336" i="1"/>
  <c r="AF336" i="1"/>
  <c r="AG336" i="1"/>
  <c r="AH336" i="1"/>
  <c r="CV336" i="1" s="1"/>
  <c r="AI336" i="1"/>
  <c r="CW336" i="1" s="1"/>
  <c r="AJ336" i="1"/>
  <c r="CX336" i="1" s="1"/>
  <c r="CU336" i="1"/>
  <c r="T336" i="1" s="1"/>
  <c r="FR336" i="1"/>
  <c r="GL336" i="1"/>
  <c r="GN336" i="1"/>
  <c r="GO336" i="1"/>
  <c r="GV336" i="1"/>
  <c r="HC336" i="1" s="1"/>
  <c r="D337" i="1"/>
  <c r="I337" i="1"/>
  <c r="K337" i="1"/>
  <c r="AC337" i="1"/>
  <c r="AE337" i="1"/>
  <c r="AF337" i="1"/>
  <c r="AG337" i="1"/>
  <c r="CU337" i="1" s="1"/>
  <c r="T337" i="1" s="1"/>
  <c r="AH337" i="1"/>
  <c r="CV337" i="1" s="1"/>
  <c r="U337" i="1" s="1"/>
  <c r="AI337" i="1"/>
  <c r="AJ337" i="1"/>
  <c r="CX337" i="1" s="1"/>
  <c r="W337" i="1" s="1"/>
  <c r="CR337" i="1"/>
  <c r="Q337" i="1" s="1"/>
  <c r="CW337" i="1"/>
  <c r="V337" i="1" s="1"/>
  <c r="FR337" i="1"/>
  <c r="GL337" i="1"/>
  <c r="GN337" i="1"/>
  <c r="GO337" i="1"/>
  <c r="GV337" i="1"/>
  <c r="GX337" i="1"/>
  <c r="HC337" i="1"/>
  <c r="D338" i="1"/>
  <c r="I338" i="1"/>
  <c r="K338" i="1"/>
  <c r="AC338" i="1"/>
  <c r="AE338" i="1"/>
  <c r="AF338" i="1"/>
  <c r="AG338" i="1"/>
  <c r="CU338" i="1" s="1"/>
  <c r="T338" i="1" s="1"/>
  <c r="AH338" i="1"/>
  <c r="CV338" i="1" s="1"/>
  <c r="U338" i="1" s="1"/>
  <c r="AI338" i="1"/>
  <c r="CW338" i="1" s="1"/>
  <c r="V338" i="1" s="1"/>
  <c r="AJ338" i="1"/>
  <c r="CX338" i="1"/>
  <c r="FR338" i="1"/>
  <c r="GL338" i="1"/>
  <c r="GN338" i="1"/>
  <c r="GO338" i="1"/>
  <c r="GV338" i="1"/>
  <c r="HC338" i="1" s="1"/>
  <c r="D339" i="1"/>
  <c r="I339" i="1"/>
  <c r="K339" i="1"/>
  <c r="AC339" i="1"/>
  <c r="CQ339" i="1" s="1"/>
  <c r="P339" i="1" s="1"/>
  <c r="AE339" i="1"/>
  <c r="AF339" i="1"/>
  <c r="AG339" i="1"/>
  <c r="CU339" i="1" s="1"/>
  <c r="T339" i="1" s="1"/>
  <c r="AH339" i="1"/>
  <c r="CV339" i="1" s="1"/>
  <c r="U339" i="1" s="1"/>
  <c r="AI339" i="1"/>
  <c r="CW339" i="1" s="1"/>
  <c r="V339" i="1" s="1"/>
  <c r="AJ339" i="1"/>
  <c r="CS339" i="1"/>
  <c r="CT339" i="1"/>
  <c r="S339" i="1" s="1"/>
  <c r="CX339" i="1"/>
  <c r="W339" i="1" s="1"/>
  <c r="FR339" i="1"/>
  <c r="GL339" i="1"/>
  <c r="GN339" i="1"/>
  <c r="GO339" i="1"/>
  <c r="GV339" i="1"/>
  <c r="HC339" i="1" s="1"/>
  <c r="GX339" i="1" s="1"/>
  <c r="D340" i="1"/>
  <c r="I340" i="1"/>
  <c r="K340" i="1"/>
  <c r="V340" i="1"/>
  <c r="W340" i="1"/>
  <c r="AC340" i="1"/>
  <c r="CQ340" i="1" s="1"/>
  <c r="P340" i="1" s="1"/>
  <c r="AE340" i="1"/>
  <c r="AF340" i="1"/>
  <c r="AG340" i="1"/>
  <c r="CU340" i="1" s="1"/>
  <c r="AH340" i="1"/>
  <c r="CV340" i="1" s="1"/>
  <c r="U340" i="1" s="1"/>
  <c r="AI340" i="1"/>
  <c r="CW340" i="1" s="1"/>
  <c r="AJ340" i="1"/>
  <c r="CX340" i="1" s="1"/>
  <c r="FR340" i="1"/>
  <c r="GL340" i="1"/>
  <c r="GN340" i="1"/>
  <c r="GO340" i="1"/>
  <c r="GV340" i="1"/>
  <c r="HC340" i="1" s="1"/>
  <c r="GX340" i="1" s="1"/>
  <c r="D341" i="1"/>
  <c r="I341" i="1"/>
  <c r="K341" i="1"/>
  <c r="AC341" i="1"/>
  <c r="AD341" i="1"/>
  <c r="AE341" i="1"/>
  <c r="CR341" i="1" s="1"/>
  <c r="Q341" i="1" s="1"/>
  <c r="AF341" i="1"/>
  <c r="CT341" i="1" s="1"/>
  <c r="S341" i="1" s="1"/>
  <c r="AG341" i="1"/>
  <c r="CU341" i="1" s="1"/>
  <c r="T341" i="1" s="1"/>
  <c r="AH341" i="1"/>
  <c r="CV341" i="1" s="1"/>
  <c r="U341" i="1" s="1"/>
  <c r="AI341" i="1"/>
  <c r="CW341" i="1" s="1"/>
  <c r="V341" i="1" s="1"/>
  <c r="AJ341" i="1"/>
  <c r="CX341" i="1" s="1"/>
  <c r="W341" i="1" s="1"/>
  <c r="FR341" i="1"/>
  <c r="GL341" i="1"/>
  <c r="GN341" i="1"/>
  <c r="GO341" i="1"/>
  <c r="GV341" i="1"/>
  <c r="HC341" i="1" s="1"/>
  <c r="GX341" i="1" s="1"/>
  <c r="D342" i="1"/>
  <c r="I342" i="1"/>
  <c r="K342" i="1"/>
  <c r="AC342" i="1"/>
  <c r="CQ342" i="1" s="1"/>
  <c r="P342" i="1" s="1"/>
  <c r="AE342" i="1"/>
  <c r="AF342" i="1"/>
  <c r="CT342" i="1" s="1"/>
  <c r="S342" i="1" s="1"/>
  <c r="AG342" i="1"/>
  <c r="CU342" i="1" s="1"/>
  <c r="AH342" i="1"/>
  <c r="CV342" i="1" s="1"/>
  <c r="AI342" i="1"/>
  <c r="AJ342" i="1"/>
  <c r="CX342" i="1" s="1"/>
  <c r="W342" i="1" s="1"/>
  <c r="CW342" i="1"/>
  <c r="V342" i="1" s="1"/>
  <c r="FR342" i="1"/>
  <c r="GL342" i="1"/>
  <c r="GN342" i="1"/>
  <c r="GO342" i="1"/>
  <c r="GV342" i="1"/>
  <c r="HC342" i="1"/>
  <c r="GX342" i="1" s="1"/>
  <c r="D343" i="1"/>
  <c r="I343" i="1"/>
  <c r="K343" i="1"/>
  <c r="AC343" i="1"/>
  <c r="CQ343" i="1" s="1"/>
  <c r="AD343" i="1"/>
  <c r="AE343" i="1"/>
  <c r="AF343" i="1"/>
  <c r="CT343" i="1" s="1"/>
  <c r="AG343" i="1"/>
  <c r="CU343" i="1" s="1"/>
  <c r="AH343" i="1"/>
  <c r="CV343" i="1" s="1"/>
  <c r="AI343" i="1"/>
  <c r="AJ343" i="1"/>
  <c r="CX343" i="1" s="1"/>
  <c r="W343" i="1" s="1"/>
  <c r="CW343" i="1"/>
  <c r="V343" i="1" s="1"/>
  <c r="FR343" i="1"/>
  <c r="GL343" i="1"/>
  <c r="GN343" i="1"/>
  <c r="GO343" i="1"/>
  <c r="GV343" i="1"/>
  <c r="HC343" i="1" s="1"/>
  <c r="GX343" i="1" s="1"/>
  <c r="D344" i="1"/>
  <c r="I344" i="1"/>
  <c r="K344" i="1"/>
  <c r="AC344" i="1"/>
  <c r="AE344" i="1"/>
  <c r="AD344" i="1" s="1"/>
  <c r="AB344" i="1" s="1"/>
  <c r="AF344" i="1"/>
  <c r="CT344" i="1" s="1"/>
  <c r="S344" i="1" s="1"/>
  <c r="AG344" i="1"/>
  <c r="CU344" i="1" s="1"/>
  <c r="AH344" i="1"/>
  <c r="CV344" i="1" s="1"/>
  <c r="AI344" i="1"/>
  <c r="CW344" i="1" s="1"/>
  <c r="AJ344" i="1"/>
  <c r="CX344" i="1" s="1"/>
  <c r="CQ344" i="1"/>
  <c r="P344" i="1" s="1"/>
  <c r="FR344" i="1"/>
  <c r="GL344" i="1"/>
  <c r="GN344" i="1"/>
  <c r="GO344" i="1"/>
  <c r="GV344" i="1"/>
  <c r="HC344" i="1"/>
  <c r="GX344" i="1" s="1"/>
  <c r="D345" i="1"/>
  <c r="I345" i="1"/>
  <c r="K345" i="1"/>
  <c r="AC345" i="1"/>
  <c r="AE345" i="1"/>
  <c r="AF345" i="1"/>
  <c r="CT345" i="1" s="1"/>
  <c r="S345" i="1" s="1"/>
  <c r="AG345" i="1"/>
  <c r="AH345" i="1"/>
  <c r="AI345" i="1"/>
  <c r="CW345" i="1" s="1"/>
  <c r="V345" i="1" s="1"/>
  <c r="AJ345" i="1"/>
  <c r="CX345" i="1" s="1"/>
  <c r="W345" i="1" s="1"/>
  <c r="CQ345" i="1"/>
  <c r="CS345" i="1"/>
  <c r="R345" i="1" s="1"/>
  <c r="GK345" i="1" s="1"/>
  <c r="CU345" i="1"/>
  <c r="T345" i="1" s="1"/>
  <c r="CV345" i="1"/>
  <c r="U345" i="1" s="1"/>
  <c r="FR345" i="1"/>
  <c r="GL345" i="1"/>
  <c r="GN345" i="1"/>
  <c r="GO345" i="1"/>
  <c r="GV345" i="1"/>
  <c r="HC345" i="1"/>
  <c r="GX345" i="1" s="1"/>
  <c r="D346" i="1"/>
  <c r="I346" i="1"/>
  <c r="K346" i="1"/>
  <c r="Y346" i="1"/>
  <c r="AC346" i="1"/>
  <c r="CQ346" i="1" s="1"/>
  <c r="P346" i="1" s="1"/>
  <c r="AE346" i="1"/>
  <c r="AF346" i="1"/>
  <c r="CT346" i="1" s="1"/>
  <c r="S346" i="1" s="1"/>
  <c r="CZ346" i="1" s="1"/>
  <c r="AG346" i="1"/>
  <c r="AH346" i="1"/>
  <c r="CV346" i="1" s="1"/>
  <c r="U346" i="1" s="1"/>
  <c r="AI346" i="1"/>
  <c r="AJ346" i="1"/>
  <c r="CU346" i="1"/>
  <c r="T346" i="1" s="1"/>
  <c r="CW346" i="1"/>
  <c r="V346" i="1" s="1"/>
  <c r="CX346" i="1"/>
  <c r="W346" i="1" s="1"/>
  <c r="CY346" i="1"/>
  <c r="X346" i="1" s="1"/>
  <c r="FR346" i="1"/>
  <c r="GL346" i="1"/>
  <c r="GN346" i="1"/>
  <c r="GO346" i="1"/>
  <c r="GV346" i="1"/>
  <c r="HC346" i="1" s="1"/>
  <c r="GX346" i="1" s="1"/>
  <c r="D347" i="1"/>
  <c r="I347" i="1"/>
  <c r="K347" i="1"/>
  <c r="S347" i="1"/>
  <c r="T347" i="1"/>
  <c r="AC347" i="1"/>
  <c r="CQ347" i="1" s="1"/>
  <c r="P347" i="1" s="1"/>
  <c r="AE347" i="1"/>
  <c r="AF347" i="1"/>
  <c r="CT347" i="1" s="1"/>
  <c r="AG347" i="1"/>
  <c r="CU347" i="1" s="1"/>
  <c r="AH347" i="1"/>
  <c r="CV347" i="1" s="1"/>
  <c r="U347" i="1" s="1"/>
  <c r="AI347" i="1"/>
  <c r="CW347" i="1" s="1"/>
  <c r="V347" i="1" s="1"/>
  <c r="AJ347" i="1"/>
  <c r="CX347" i="1" s="1"/>
  <c r="W347" i="1" s="1"/>
  <c r="FR347" i="1"/>
  <c r="GL347" i="1"/>
  <c r="GN347" i="1"/>
  <c r="GO347" i="1"/>
  <c r="GV347" i="1"/>
  <c r="HC347" i="1"/>
  <c r="GX347" i="1" s="1"/>
  <c r="B349" i="1"/>
  <c r="B317" i="1" s="1"/>
  <c r="C349" i="1"/>
  <c r="C317" i="1" s="1"/>
  <c r="D349" i="1"/>
  <c r="D317" i="1" s="1"/>
  <c r="F349" i="1"/>
  <c r="F317" i="1" s="1"/>
  <c r="G349" i="1"/>
  <c r="BB349" i="1"/>
  <c r="BX349" i="1"/>
  <c r="BX317" i="1" s="1"/>
  <c r="CK349" i="1"/>
  <c r="CK317" i="1" s="1"/>
  <c r="CL349" i="1"/>
  <c r="BC349" i="1" s="1"/>
  <c r="BC317" i="1" s="1"/>
  <c r="CM349" i="1"/>
  <c r="D379" i="1"/>
  <c r="D381" i="1"/>
  <c r="E381" i="1"/>
  <c r="G381" i="1"/>
  <c r="Z381" i="1"/>
  <c r="AA381" i="1"/>
  <c r="AM381" i="1"/>
  <c r="AN381" i="1"/>
  <c r="BE381" i="1"/>
  <c r="BF381" i="1"/>
  <c r="BG381" i="1"/>
  <c r="BH381" i="1"/>
  <c r="BI381" i="1"/>
  <c r="BJ381" i="1"/>
  <c r="BK381" i="1"/>
  <c r="BL381" i="1"/>
  <c r="BM381" i="1"/>
  <c r="BN381" i="1"/>
  <c r="BO381" i="1"/>
  <c r="BP381" i="1"/>
  <c r="BQ381" i="1"/>
  <c r="BR381" i="1"/>
  <c r="BS381" i="1"/>
  <c r="BT381" i="1"/>
  <c r="BU381" i="1"/>
  <c r="BV381" i="1"/>
  <c r="BW381" i="1"/>
  <c r="CN381" i="1"/>
  <c r="CO381" i="1"/>
  <c r="CP381" i="1"/>
  <c r="CQ381" i="1"/>
  <c r="CR381" i="1"/>
  <c r="CS381" i="1"/>
  <c r="CT381" i="1"/>
  <c r="CU381" i="1"/>
  <c r="CV381" i="1"/>
  <c r="CW381" i="1"/>
  <c r="CX381" i="1"/>
  <c r="CY381" i="1"/>
  <c r="CZ381" i="1"/>
  <c r="DA381" i="1"/>
  <c r="DB381" i="1"/>
  <c r="DC381" i="1"/>
  <c r="DD381" i="1"/>
  <c r="DE381" i="1"/>
  <c r="DF381" i="1"/>
  <c r="DG381" i="1"/>
  <c r="DH381" i="1"/>
  <c r="DI381" i="1"/>
  <c r="DJ381" i="1"/>
  <c r="DK381" i="1"/>
  <c r="DL381" i="1"/>
  <c r="DM381" i="1"/>
  <c r="DN381" i="1"/>
  <c r="DO381" i="1"/>
  <c r="DP381" i="1"/>
  <c r="DQ381" i="1"/>
  <c r="DR381" i="1"/>
  <c r="DS381" i="1"/>
  <c r="DT381" i="1"/>
  <c r="DU381" i="1"/>
  <c r="DV381" i="1"/>
  <c r="DW381" i="1"/>
  <c r="DX381" i="1"/>
  <c r="DY381" i="1"/>
  <c r="DZ381" i="1"/>
  <c r="EA381" i="1"/>
  <c r="EB381" i="1"/>
  <c r="EC381" i="1"/>
  <c r="ED381" i="1"/>
  <c r="EE381" i="1"/>
  <c r="EF381" i="1"/>
  <c r="EG381" i="1"/>
  <c r="EH381" i="1"/>
  <c r="EI381" i="1"/>
  <c r="EJ381" i="1"/>
  <c r="EK381" i="1"/>
  <c r="EL381" i="1"/>
  <c r="EM381" i="1"/>
  <c r="EN381" i="1"/>
  <c r="EO381" i="1"/>
  <c r="EP381" i="1"/>
  <c r="EQ381" i="1"/>
  <c r="ER381" i="1"/>
  <c r="ES381" i="1"/>
  <c r="ET381" i="1"/>
  <c r="EU381" i="1"/>
  <c r="EV381" i="1"/>
  <c r="EW381" i="1"/>
  <c r="EX381" i="1"/>
  <c r="EY381" i="1"/>
  <c r="EZ381" i="1"/>
  <c r="FA381" i="1"/>
  <c r="FB381" i="1"/>
  <c r="FC381" i="1"/>
  <c r="FD381" i="1"/>
  <c r="FE381" i="1"/>
  <c r="FF381" i="1"/>
  <c r="FG381" i="1"/>
  <c r="FH381" i="1"/>
  <c r="FI381" i="1"/>
  <c r="FJ381" i="1"/>
  <c r="FK381" i="1"/>
  <c r="FL381" i="1"/>
  <c r="FM381" i="1"/>
  <c r="FN381" i="1"/>
  <c r="FO381" i="1"/>
  <c r="FP381" i="1"/>
  <c r="FQ381" i="1"/>
  <c r="FR381" i="1"/>
  <c r="FS381" i="1"/>
  <c r="FT381" i="1"/>
  <c r="FU381" i="1"/>
  <c r="FV381" i="1"/>
  <c r="FW381" i="1"/>
  <c r="FX381" i="1"/>
  <c r="FY381" i="1"/>
  <c r="FZ381" i="1"/>
  <c r="GA381" i="1"/>
  <c r="GB381" i="1"/>
  <c r="GC381" i="1"/>
  <c r="GD381" i="1"/>
  <c r="GE381" i="1"/>
  <c r="GF381" i="1"/>
  <c r="GG381" i="1"/>
  <c r="GH381" i="1"/>
  <c r="GI381" i="1"/>
  <c r="GJ381" i="1"/>
  <c r="GK381" i="1"/>
  <c r="GL381" i="1"/>
  <c r="GM381" i="1"/>
  <c r="GN381" i="1"/>
  <c r="GO381" i="1"/>
  <c r="GP381" i="1"/>
  <c r="GQ381" i="1"/>
  <c r="GR381" i="1"/>
  <c r="GS381" i="1"/>
  <c r="GT381" i="1"/>
  <c r="GU381" i="1"/>
  <c r="GV381" i="1"/>
  <c r="GW381" i="1"/>
  <c r="GX381" i="1"/>
  <c r="D384" i="1"/>
  <c r="AC384" i="1"/>
  <c r="CQ384" i="1" s="1"/>
  <c r="P384" i="1" s="1"/>
  <c r="AE384" i="1"/>
  <c r="AF384" i="1"/>
  <c r="AG384" i="1"/>
  <c r="AH384" i="1"/>
  <c r="CV384" i="1" s="1"/>
  <c r="U384" i="1" s="1"/>
  <c r="AI384" i="1"/>
  <c r="CW384" i="1" s="1"/>
  <c r="V384" i="1" s="1"/>
  <c r="AJ384" i="1"/>
  <c r="CX384" i="1" s="1"/>
  <c r="W384" i="1" s="1"/>
  <c r="CT384" i="1"/>
  <c r="S384" i="1" s="1"/>
  <c r="CU384" i="1"/>
  <c r="T384" i="1" s="1"/>
  <c r="CY384" i="1"/>
  <c r="X384" i="1" s="1"/>
  <c r="CZ384" i="1"/>
  <c r="Y384" i="1" s="1"/>
  <c r="FR384" i="1"/>
  <c r="GL384" i="1"/>
  <c r="GN384" i="1"/>
  <c r="GO384" i="1"/>
  <c r="GV384" i="1"/>
  <c r="HC384" i="1"/>
  <c r="GX384" i="1" s="1"/>
  <c r="D385" i="1"/>
  <c r="AC385" i="1"/>
  <c r="CQ385" i="1" s="1"/>
  <c r="P385" i="1" s="1"/>
  <c r="AE385" i="1"/>
  <c r="AF385" i="1"/>
  <c r="AG385" i="1"/>
  <c r="CU385" i="1" s="1"/>
  <c r="T385" i="1" s="1"/>
  <c r="AH385" i="1"/>
  <c r="AI385" i="1"/>
  <c r="CW385" i="1" s="1"/>
  <c r="V385" i="1" s="1"/>
  <c r="AJ385" i="1"/>
  <c r="CX385" i="1" s="1"/>
  <c r="W385" i="1" s="1"/>
  <c r="CV385" i="1"/>
  <c r="U385" i="1" s="1"/>
  <c r="FR385" i="1"/>
  <c r="GL385" i="1"/>
  <c r="GN385" i="1"/>
  <c r="GO385" i="1"/>
  <c r="GV385" i="1"/>
  <c r="HC385" i="1" s="1"/>
  <c r="GX385" i="1" s="1"/>
  <c r="D386" i="1"/>
  <c r="V386" i="1"/>
  <c r="AC386" i="1"/>
  <c r="CQ386" i="1" s="1"/>
  <c r="P386" i="1" s="1"/>
  <c r="AE386" i="1"/>
  <c r="CS386" i="1" s="1"/>
  <c r="AF386" i="1"/>
  <c r="AG386" i="1"/>
  <c r="CU386" i="1" s="1"/>
  <c r="T386" i="1" s="1"/>
  <c r="AH386" i="1"/>
  <c r="CV386" i="1" s="1"/>
  <c r="U386" i="1" s="1"/>
  <c r="AI386" i="1"/>
  <c r="CW386" i="1" s="1"/>
  <c r="AJ386" i="1"/>
  <c r="CX386" i="1" s="1"/>
  <c r="W386" i="1" s="1"/>
  <c r="FR386" i="1"/>
  <c r="GL386" i="1"/>
  <c r="GN386" i="1"/>
  <c r="GO386" i="1"/>
  <c r="GV386" i="1"/>
  <c r="HC386" i="1"/>
  <c r="GX386" i="1" s="1"/>
  <c r="D387" i="1"/>
  <c r="AC387" i="1"/>
  <c r="CQ387" i="1" s="1"/>
  <c r="P387" i="1" s="1"/>
  <c r="AE387" i="1"/>
  <c r="AF387" i="1"/>
  <c r="AG387" i="1"/>
  <c r="CU387" i="1" s="1"/>
  <c r="T387" i="1" s="1"/>
  <c r="AH387" i="1"/>
  <c r="CV387" i="1" s="1"/>
  <c r="U387" i="1" s="1"/>
  <c r="AI387" i="1"/>
  <c r="CW387" i="1" s="1"/>
  <c r="V387" i="1" s="1"/>
  <c r="AJ387" i="1"/>
  <c r="CX387" i="1" s="1"/>
  <c r="W387" i="1" s="1"/>
  <c r="CR387" i="1"/>
  <c r="Q387" i="1" s="1"/>
  <c r="FR387" i="1"/>
  <c r="GL387" i="1"/>
  <c r="GN387" i="1"/>
  <c r="GO387" i="1"/>
  <c r="GV387" i="1"/>
  <c r="HC387" i="1" s="1"/>
  <c r="GX387" i="1" s="1"/>
  <c r="D388" i="1"/>
  <c r="I388" i="1"/>
  <c r="K388" i="1"/>
  <c r="AC388" i="1"/>
  <c r="CQ388" i="1" s="1"/>
  <c r="P388" i="1" s="1"/>
  <c r="AE388" i="1"/>
  <c r="CS388" i="1" s="1"/>
  <c r="AF388" i="1"/>
  <c r="AG388" i="1"/>
  <c r="CU388" i="1" s="1"/>
  <c r="T388" i="1" s="1"/>
  <c r="AH388" i="1"/>
  <c r="AI388" i="1"/>
  <c r="CW388" i="1" s="1"/>
  <c r="V388" i="1" s="1"/>
  <c r="AJ388" i="1"/>
  <c r="CX388" i="1" s="1"/>
  <c r="W388" i="1" s="1"/>
  <c r="CV388" i="1"/>
  <c r="U388" i="1" s="1"/>
  <c r="FR388" i="1"/>
  <c r="GL388" i="1"/>
  <c r="GN388" i="1"/>
  <c r="GO388" i="1"/>
  <c r="GV388" i="1"/>
  <c r="HC388" i="1"/>
  <c r="GX388" i="1" s="1"/>
  <c r="D389" i="1"/>
  <c r="AC389" i="1"/>
  <c r="CQ389" i="1" s="1"/>
  <c r="P389" i="1" s="1"/>
  <c r="AE389" i="1"/>
  <c r="AF389" i="1"/>
  <c r="AG389" i="1"/>
  <c r="CU389" i="1" s="1"/>
  <c r="T389" i="1" s="1"/>
  <c r="AH389" i="1"/>
  <c r="CV389" i="1" s="1"/>
  <c r="U389" i="1" s="1"/>
  <c r="AI389" i="1"/>
  <c r="CW389" i="1" s="1"/>
  <c r="V389" i="1" s="1"/>
  <c r="AJ389" i="1"/>
  <c r="CX389" i="1" s="1"/>
  <c r="W389" i="1" s="1"/>
  <c r="CR389" i="1"/>
  <c r="Q389" i="1" s="1"/>
  <c r="CS389" i="1"/>
  <c r="FR389" i="1"/>
  <c r="GL389" i="1"/>
  <c r="GN389" i="1"/>
  <c r="GO389" i="1"/>
  <c r="GV389" i="1"/>
  <c r="HC389" i="1"/>
  <c r="GX389" i="1" s="1"/>
  <c r="D390" i="1"/>
  <c r="AC390" i="1"/>
  <c r="CQ390" i="1" s="1"/>
  <c r="P390" i="1" s="1"/>
  <c r="AE390" i="1"/>
  <c r="AF390" i="1"/>
  <c r="AG390" i="1"/>
  <c r="AH390" i="1"/>
  <c r="AI390" i="1"/>
  <c r="AJ390" i="1"/>
  <c r="CX390" i="1" s="1"/>
  <c r="W390" i="1" s="1"/>
  <c r="CU390" i="1"/>
  <c r="T390" i="1" s="1"/>
  <c r="CV390" i="1"/>
  <c r="U390" i="1" s="1"/>
  <c r="CW390" i="1"/>
  <c r="V390" i="1" s="1"/>
  <c r="FR390" i="1"/>
  <c r="GL390" i="1"/>
  <c r="GN390" i="1"/>
  <c r="GO390" i="1"/>
  <c r="GV390" i="1"/>
  <c r="HC390" i="1" s="1"/>
  <c r="GX390" i="1" s="1"/>
  <c r="D391" i="1"/>
  <c r="AC391" i="1"/>
  <c r="CQ391" i="1" s="1"/>
  <c r="P391" i="1" s="1"/>
  <c r="AE391" i="1"/>
  <c r="AF391" i="1"/>
  <c r="AG391" i="1"/>
  <c r="AH391" i="1"/>
  <c r="CV391" i="1" s="1"/>
  <c r="U391" i="1" s="1"/>
  <c r="AI391" i="1"/>
  <c r="AJ391" i="1"/>
  <c r="CX391" i="1" s="1"/>
  <c r="W391" i="1" s="1"/>
  <c r="CU391" i="1"/>
  <c r="T391" i="1" s="1"/>
  <c r="CW391" i="1"/>
  <c r="V391" i="1" s="1"/>
  <c r="FR391" i="1"/>
  <c r="GL391" i="1"/>
  <c r="GN391" i="1"/>
  <c r="GO391" i="1"/>
  <c r="GV391" i="1"/>
  <c r="HC391" i="1" s="1"/>
  <c r="GX391" i="1" s="1"/>
  <c r="D392" i="1"/>
  <c r="I392" i="1"/>
  <c r="K392" i="1"/>
  <c r="AC392" i="1"/>
  <c r="CQ392" i="1" s="1"/>
  <c r="P392" i="1" s="1"/>
  <c r="AE392" i="1"/>
  <c r="AF392" i="1"/>
  <c r="AG392" i="1"/>
  <c r="CU392" i="1" s="1"/>
  <c r="AH392" i="1"/>
  <c r="CV392" i="1" s="1"/>
  <c r="U392" i="1" s="1"/>
  <c r="AI392" i="1"/>
  <c r="CW392" i="1" s="1"/>
  <c r="AJ392" i="1"/>
  <c r="CX392" i="1" s="1"/>
  <c r="FR392" i="1"/>
  <c r="GL392" i="1"/>
  <c r="GN392" i="1"/>
  <c r="GO392" i="1"/>
  <c r="GV392" i="1"/>
  <c r="HC392" i="1" s="1"/>
  <c r="GX392" i="1" s="1"/>
  <c r="D393" i="1"/>
  <c r="AC393" i="1"/>
  <c r="AE393" i="1"/>
  <c r="AF393" i="1"/>
  <c r="AG393" i="1"/>
  <c r="CU393" i="1" s="1"/>
  <c r="T393" i="1" s="1"/>
  <c r="AH393" i="1"/>
  <c r="CV393" i="1" s="1"/>
  <c r="U393" i="1" s="1"/>
  <c r="AI393" i="1"/>
  <c r="AJ393" i="1"/>
  <c r="CQ393" i="1"/>
  <c r="P393" i="1" s="1"/>
  <c r="CS393" i="1"/>
  <c r="CT393" i="1"/>
  <c r="S393" i="1" s="1"/>
  <c r="CW393" i="1"/>
  <c r="V393" i="1" s="1"/>
  <c r="CX393" i="1"/>
  <c r="W393" i="1" s="1"/>
  <c r="FR393" i="1"/>
  <c r="GL393" i="1"/>
  <c r="GN393" i="1"/>
  <c r="GO393" i="1"/>
  <c r="GV393" i="1"/>
  <c r="HC393" i="1"/>
  <c r="GX393" i="1" s="1"/>
  <c r="D394" i="1"/>
  <c r="I394" i="1"/>
  <c r="K394" i="1"/>
  <c r="AC394" i="1"/>
  <c r="AE394" i="1"/>
  <c r="AF394" i="1"/>
  <c r="AG394" i="1"/>
  <c r="CU394" i="1" s="1"/>
  <c r="AH394" i="1"/>
  <c r="CV394" i="1" s="1"/>
  <c r="AI394" i="1"/>
  <c r="CW394" i="1" s="1"/>
  <c r="AJ394" i="1"/>
  <c r="CX394" i="1" s="1"/>
  <c r="CS394" i="1"/>
  <c r="FR394" i="1"/>
  <c r="GL394" i="1"/>
  <c r="GN394" i="1"/>
  <c r="GO394" i="1"/>
  <c r="GV394" i="1"/>
  <c r="HC394" i="1" s="1"/>
  <c r="GX394" i="1" s="1"/>
  <c r="AC395" i="1"/>
  <c r="CQ395" i="1" s="1"/>
  <c r="AE395" i="1"/>
  <c r="AF395" i="1"/>
  <c r="AG395" i="1"/>
  <c r="CU395" i="1" s="1"/>
  <c r="AH395" i="1"/>
  <c r="CV395" i="1" s="1"/>
  <c r="AI395" i="1"/>
  <c r="CW395" i="1" s="1"/>
  <c r="AJ395" i="1"/>
  <c r="CX395" i="1" s="1"/>
  <c r="FR395" i="1"/>
  <c r="GL395" i="1"/>
  <c r="GN395" i="1"/>
  <c r="GO395" i="1"/>
  <c r="GV395" i="1"/>
  <c r="HC395" i="1"/>
  <c r="D396" i="1"/>
  <c r="AC396" i="1"/>
  <c r="AE396" i="1"/>
  <c r="AF396" i="1"/>
  <c r="AG396" i="1"/>
  <c r="CU396" i="1" s="1"/>
  <c r="T396" i="1" s="1"/>
  <c r="AH396" i="1"/>
  <c r="AI396" i="1"/>
  <c r="CW396" i="1" s="1"/>
  <c r="V396" i="1" s="1"/>
  <c r="AJ396" i="1"/>
  <c r="CX396" i="1" s="1"/>
  <c r="W396" i="1" s="1"/>
  <c r="CQ396" i="1"/>
  <c r="P396" i="1" s="1"/>
  <c r="CV396" i="1"/>
  <c r="U396" i="1" s="1"/>
  <c r="FR396" i="1"/>
  <c r="GL396" i="1"/>
  <c r="GN396" i="1"/>
  <c r="GO396" i="1"/>
  <c r="GV396" i="1"/>
  <c r="HC396" i="1" s="1"/>
  <c r="GX396" i="1" s="1"/>
  <c r="D397" i="1"/>
  <c r="AC397" i="1"/>
  <c r="CQ397" i="1" s="1"/>
  <c r="P397" i="1" s="1"/>
  <c r="AE397" i="1"/>
  <c r="AF397" i="1"/>
  <c r="AG397" i="1"/>
  <c r="AH397" i="1"/>
  <c r="CV397" i="1" s="1"/>
  <c r="U397" i="1" s="1"/>
  <c r="AI397" i="1"/>
  <c r="AJ397" i="1"/>
  <c r="CX397" i="1" s="1"/>
  <c r="W397" i="1" s="1"/>
  <c r="CU397" i="1"/>
  <c r="T397" i="1" s="1"/>
  <c r="CW397" i="1"/>
  <c r="V397" i="1" s="1"/>
  <c r="FR397" i="1"/>
  <c r="GL397" i="1"/>
  <c r="GN397" i="1"/>
  <c r="GO397" i="1"/>
  <c r="GV397" i="1"/>
  <c r="HC397" i="1" s="1"/>
  <c r="GX397" i="1" s="1"/>
  <c r="D398" i="1"/>
  <c r="AC398" i="1"/>
  <c r="AE398" i="1"/>
  <c r="AF398" i="1"/>
  <c r="AG398" i="1"/>
  <c r="CU398" i="1" s="1"/>
  <c r="T398" i="1" s="1"/>
  <c r="AH398" i="1"/>
  <c r="CV398" i="1" s="1"/>
  <c r="U398" i="1" s="1"/>
  <c r="AI398" i="1"/>
  <c r="CW398" i="1" s="1"/>
  <c r="V398" i="1" s="1"/>
  <c r="AJ398" i="1"/>
  <c r="CX398" i="1" s="1"/>
  <c r="W398" i="1" s="1"/>
  <c r="FR398" i="1"/>
  <c r="GL398" i="1"/>
  <c r="GN398" i="1"/>
  <c r="GO398" i="1"/>
  <c r="GV398" i="1"/>
  <c r="HC398" i="1"/>
  <c r="GX398" i="1" s="1"/>
  <c r="D399" i="1"/>
  <c r="AC399" i="1"/>
  <c r="CQ399" i="1" s="1"/>
  <c r="P399" i="1" s="1"/>
  <c r="AE399" i="1"/>
  <c r="CR399" i="1" s="1"/>
  <c r="Q399" i="1" s="1"/>
  <c r="AF399" i="1"/>
  <c r="CT399" i="1" s="1"/>
  <c r="S399" i="1" s="1"/>
  <c r="AG399" i="1"/>
  <c r="AH399" i="1"/>
  <c r="CV399" i="1" s="1"/>
  <c r="U399" i="1" s="1"/>
  <c r="AI399" i="1"/>
  <c r="CW399" i="1" s="1"/>
  <c r="V399" i="1" s="1"/>
  <c r="AJ399" i="1"/>
  <c r="CX399" i="1" s="1"/>
  <c r="W399" i="1" s="1"/>
  <c r="CU399" i="1"/>
  <c r="T399" i="1" s="1"/>
  <c r="FR399" i="1"/>
  <c r="GL399" i="1"/>
  <c r="GN399" i="1"/>
  <c r="GO399" i="1"/>
  <c r="GV399" i="1"/>
  <c r="HC399" i="1" s="1"/>
  <c r="GX399" i="1" s="1"/>
  <c r="T400" i="1"/>
  <c r="U400" i="1"/>
  <c r="AC400" i="1"/>
  <c r="CQ400" i="1" s="1"/>
  <c r="P400" i="1" s="1"/>
  <c r="AD400" i="1"/>
  <c r="CR400" i="1" s="1"/>
  <c r="Q400" i="1" s="1"/>
  <c r="AE400" i="1"/>
  <c r="CS400" i="1" s="1"/>
  <c r="R400" i="1" s="1"/>
  <c r="GK400" i="1" s="1"/>
  <c r="AF400" i="1"/>
  <c r="CT400" i="1" s="1"/>
  <c r="S400" i="1" s="1"/>
  <c r="AG400" i="1"/>
  <c r="CU400" i="1" s="1"/>
  <c r="AH400" i="1"/>
  <c r="CV400" i="1" s="1"/>
  <c r="AI400" i="1"/>
  <c r="CW400" i="1" s="1"/>
  <c r="V400" i="1" s="1"/>
  <c r="AJ400" i="1"/>
  <c r="CX400" i="1" s="1"/>
  <c r="W400" i="1" s="1"/>
  <c r="CY400" i="1"/>
  <c r="X400" i="1" s="1"/>
  <c r="CZ400" i="1"/>
  <c r="Y400" i="1" s="1"/>
  <c r="FR400" i="1"/>
  <c r="GL400" i="1"/>
  <c r="GO400" i="1"/>
  <c r="GP400" i="1"/>
  <c r="GV400" i="1"/>
  <c r="HC400" i="1" s="1"/>
  <c r="GX400" i="1"/>
  <c r="D401" i="1"/>
  <c r="I401" i="1"/>
  <c r="K401" i="1"/>
  <c r="R401" i="1"/>
  <c r="GK401" i="1" s="1"/>
  <c r="AC401" i="1"/>
  <c r="AE401" i="1"/>
  <c r="AD401" i="1" s="1"/>
  <c r="AF401" i="1"/>
  <c r="CT401" i="1" s="1"/>
  <c r="S401" i="1" s="1"/>
  <c r="AG401" i="1"/>
  <c r="AH401" i="1"/>
  <c r="AI401" i="1"/>
  <c r="CW401" i="1" s="1"/>
  <c r="AJ401" i="1"/>
  <c r="CX401" i="1" s="1"/>
  <c r="W401" i="1" s="1"/>
  <c r="CQ401" i="1"/>
  <c r="P401" i="1" s="1"/>
  <c r="CS401" i="1"/>
  <c r="CU401" i="1"/>
  <c r="CV401" i="1"/>
  <c r="FR401" i="1"/>
  <c r="GL401" i="1"/>
  <c r="GN401" i="1"/>
  <c r="GO401" i="1"/>
  <c r="GV401" i="1"/>
  <c r="HC401" i="1"/>
  <c r="D402" i="1"/>
  <c r="I402" i="1"/>
  <c r="K402" i="1"/>
  <c r="AC402" i="1"/>
  <c r="CQ402" i="1" s="1"/>
  <c r="AE402" i="1"/>
  <c r="AF402" i="1"/>
  <c r="CT402" i="1" s="1"/>
  <c r="S402" i="1" s="1"/>
  <c r="AG402" i="1"/>
  <c r="AH402" i="1"/>
  <c r="AI402" i="1"/>
  <c r="AJ402" i="1"/>
  <c r="CR402" i="1"/>
  <c r="CS402" i="1"/>
  <c r="CU402" i="1"/>
  <c r="CV402" i="1"/>
  <c r="CW402" i="1"/>
  <c r="CX402" i="1"/>
  <c r="W402" i="1" s="1"/>
  <c r="FR402" i="1"/>
  <c r="GL402" i="1"/>
  <c r="GN402" i="1"/>
  <c r="GO402" i="1"/>
  <c r="GV402" i="1"/>
  <c r="HC402" i="1" s="1"/>
  <c r="D403" i="1"/>
  <c r="I403" i="1"/>
  <c r="K403" i="1"/>
  <c r="AC403" i="1"/>
  <c r="CQ403" i="1" s="1"/>
  <c r="AE403" i="1"/>
  <c r="AF403" i="1"/>
  <c r="AG403" i="1"/>
  <c r="CU403" i="1" s="1"/>
  <c r="AH403" i="1"/>
  <c r="CV403" i="1" s="1"/>
  <c r="AI403" i="1"/>
  <c r="CW403" i="1" s="1"/>
  <c r="V403" i="1" s="1"/>
  <c r="AJ403" i="1"/>
  <c r="CX403" i="1" s="1"/>
  <c r="FR403" i="1"/>
  <c r="GL403" i="1"/>
  <c r="GN403" i="1"/>
  <c r="GO403" i="1"/>
  <c r="GV403" i="1"/>
  <c r="HC403" i="1"/>
  <c r="GX403" i="1" s="1"/>
  <c r="D405" i="1"/>
  <c r="I405" i="1"/>
  <c r="K405" i="1"/>
  <c r="AC405" i="1"/>
  <c r="CQ405" i="1" s="1"/>
  <c r="AE405" i="1"/>
  <c r="AF405" i="1"/>
  <c r="AG405" i="1"/>
  <c r="CU405" i="1" s="1"/>
  <c r="AH405" i="1"/>
  <c r="CV405" i="1" s="1"/>
  <c r="AI405" i="1"/>
  <c r="CW405" i="1" s="1"/>
  <c r="AJ405" i="1"/>
  <c r="CX405" i="1" s="1"/>
  <c r="FR405" i="1"/>
  <c r="GL405" i="1"/>
  <c r="GN405" i="1"/>
  <c r="GO405" i="1"/>
  <c r="GV405" i="1"/>
  <c r="HC405" i="1" s="1"/>
  <c r="GX405" i="1"/>
  <c r="D406" i="1"/>
  <c r="I406" i="1"/>
  <c r="K406" i="1"/>
  <c r="AC406" i="1"/>
  <c r="CQ406" i="1" s="1"/>
  <c r="P406" i="1" s="1"/>
  <c r="AE406" i="1"/>
  <c r="AF406" i="1"/>
  <c r="AG406" i="1"/>
  <c r="AH406" i="1"/>
  <c r="CV406" i="1" s="1"/>
  <c r="U406" i="1" s="1"/>
  <c r="AI406" i="1"/>
  <c r="CW406" i="1" s="1"/>
  <c r="V406" i="1" s="1"/>
  <c r="AJ406" i="1"/>
  <c r="CX406" i="1" s="1"/>
  <c r="W406" i="1" s="1"/>
  <c r="CU406" i="1"/>
  <c r="T406" i="1" s="1"/>
  <c r="FR406" i="1"/>
  <c r="GL406" i="1"/>
  <c r="GN406" i="1"/>
  <c r="GO406" i="1"/>
  <c r="GV406" i="1"/>
  <c r="HC406" i="1" s="1"/>
  <c r="GX406" i="1" s="1"/>
  <c r="D407" i="1"/>
  <c r="I407" i="1"/>
  <c r="K407" i="1"/>
  <c r="AC407" i="1"/>
  <c r="AD407" i="1"/>
  <c r="AE407" i="1"/>
  <c r="AF407" i="1"/>
  <c r="AG407" i="1"/>
  <c r="CU407" i="1" s="1"/>
  <c r="T407" i="1" s="1"/>
  <c r="AH407" i="1"/>
  <c r="CV407" i="1" s="1"/>
  <c r="U407" i="1" s="1"/>
  <c r="AI407" i="1"/>
  <c r="CW407" i="1" s="1"/>
  <c r="AJ407" i="1"/>
  <c r="CX407" i="1" s="1"/>
  <c r="W407" i="1" s="1"/>
  <c r="FR407" i="1"/>
  <c r="GL407" i="1"/>
  <c r="GN407" i="1"/>
  <c r="GO407" i="1"/>
  <c r="GV407" i="1"/>
  <c r="HC407" i="1"/>
  <c r="GX407" i="1" s="1"/>
  <c r="D408" i="1"/>
  <c r="T408" i="1"/>
  <c r="AC408" i="1"/>
  <c r="AE408" i="1"/>
  <c r="AF408" i="1"/>
  <c r="CT408" i="1" s="1"/>
  <c r="S408" i="1" s="1"/>
  <c r="AG408" i="1"/>
  <c r="CU408" i="1" s="1"/>
  <c r="AH408" i="1"/>
  <c r="CV408" i="1" s="1"/>
  <c r="U408" i="1" s="1"/>
  <c r="AI408" i="1"/>
  <c r="AJ408" i="1"/>
  <c r="CX408" i="1" s="1"/>
  <c r="W408" i="1" s="1"/>
  <c r="CW408" i="1"/>
  <c r="V408" i="1" s="1"/>
  <c r="FR408" i="1"/>
  <c r="GL408" i="1"/>
  <c r="GN408" i="1"/>
  <c r="GO408" i="1"/>
  <c r="GV408" i="1"/>
  <c r="HC408" i="1"/>
  <c r="GX408" i="1" s="1"/>
  <c r="X409" i="1"/>
  <c r="Y409" i="1"/>
  <c r="AC409" i="1"/>
  <c r="AD409" i="1"/>
  <c r="AE409" i="1"/>
  <c r="CS409" i="1" s="1"/>
  <c r="R409" i="1" s="1"/>
  <c r="GK409" i="1" s="1"/>
  <c r="AF409" i="1"/>
  <c r="CT409" i="1" s="1"/>
  <c r="S409" i="1" s="1"/>
  <c r="AG409" i="1"/>
  <c r="CU409" i="1" s="1"/>
  <c r="T409" i="1" s="1"/>
  <c r="AH409" i="1"/>
  <c r="AI409" i="1"/>
  <c r="AJ409" i="1"/>
  <c r="CX409" i="1" s="1"/>
  <c r="W409" i="1" s="1"/>
  <c r="CR409" i="1"/>
  <c r="Q409" i="1" s="1"/>
  <c r="CV409" i="1"/>
  <c r="U409" i="1" s="1"/>
  <c r="CW409" i="1"/>
  <c r="V409" i="1" s="1"/>
  <c r="CY409" i="1"/>
  <c r="CZ409" i="1"/>
  <c r="FR409" i="1"/>
  <c r="GL409" i="1"/>
  <c r="GO409" i="1"/>
  <c r="GP409" i="1"/>
  <c r="GV409" i="1"/>
  <c r="HC409" i="1" s="1"/>
  <c r="GX409" i="1" s="1"/>
  <c r="D410" i="1"/>
  <c r="I410" i="1"/>
  <c r="W410" i="1" s="1"/>
  <c r="K410" i="1"/>
  <c r="AC410" i="1"/>
  <c r="CQ410" i="1" s="1"/>
  <c r="AE410" i="1"/>
  <c r="AF410" i="1"/>
  <c r="CT410" i="1" s="1"/>
  <c r="AG410" i="1"/>
  <c r="CU410" i="1" s="1"/>
  <c r="T410" i="1" s="1"/>
  <c r="AH410" i="1"/>
  <c r="AI410" i="1"/>
  <c r="AJ410" i="1"/>
  <c r="CV410" i="1"/>
  <c r="U410" i="1" s="1"/>
  <c r="CW410" i="1"/>
  <c r="V410" i="1" s="1"/>
  <c r="CX410" i="1"/>
  <c r="FR410" i="1"/>
  <c r="GL410" i="1"/>
  <c r="GN410" i="1"/>
  <c r="GO410" i="1"/>
  <c r="GV410" i="1"/>
  <c r="HC410" i="1" s="1"/>
  <c r="GX410" i="1" s="1"/>
  <c r="D411" i="1"/>
  <c r="AC411" i="1"/>
  <c r="CQ411" i="1" s="1"/>
  <c r="P411" i="1" s="1"/>
  <c r="AE411" i="1"/>
  <c r="AF411" i="1"/>
  <c r="AG411" i="1"/>
  <c r="CU411" i="1" s="1"/>
  <c r="T411" i="1" s="1"/>
  <c r="AH411" i="1"/>
  <c r="CV411" i="1" s="1"/>
  <c r="U411" i="1" s="1"/>
  <c r="AI411" i="1"/>
  <c r="CW411" i="1" s="1"/>
  <c r="V411" i="1" s="1"/>
  <c r="AJ411" i="1"/>
  <c r="CR411" i="1"/>
  <c r="Q411" i="1" s="1"/>
  <c r="CX411" i="1"/>
  <c r="W411" i="1" s="1"/>
  <c r="FR411" i="1"/>
  <c r="GL411" i="1"/>
  <c r="GN411" i="1"/>
  <c r="GO411" i="1"/>
  <c r="GV411" i="1"/>
  <c r="HC411" i="1" s="1"/>
  <c r="GX411" i="1" s="1"/>
  <c r="D413" i="1"/>
  <c r="AC413" i="1"/>
  <c r="AE413" i="1"/>
  <c r="CS413" i="1" s="1"/>
  <c r="AF413" i="1"/>
  <c r="CT413" i="1" s="1"/>
  <c r="S413" i="1" s="1"/>
  <c r="AG413" i="1"/>
  <c r="CU413" i="1" s="1"/>
  <c r="T413" i="1" s="1"/>
  <c r="AH413" i="1"/>
  <c r="CV413" i="1" s="1"/>
  <c r="U413" i="1" s="1"/>
  <c r="AI413" i="1"/>
  <c r="CW413" i="1" s="1"/>
  <c r="V413" i="1" s="1"/>
  <c r="AJ413" i="1"/>
  <c r="CX413" i="1" s="1"/>
  <c r="W413" i="1" s="1"/>
  <c r="FR413" i="1"/>
  <c r="GL413" i="1"/>
  <c r="GN413" i="1"/>
  <c r="GO413" i="1"/>
  <c r="GV413" i="1"/>
  <c r="HC413" i="1" s="1"/>
  <c r="GX413" i="1" s="1"/>
  <c r="D414" i="1"/>
  <c r="AC414" i="1"/>
  <c r="CQ414" i="1" s="1"/>
  <c r="P414" i="1" s="1"/>
  <c r="AE414" i="1"/>
  <c r="AF414" i="1"/>
  <c r="AG414" i="1"/>
  <c r="CU414" i="1" s="1"/>
  <c r="T414" i="1" s="1"/>
  <c r="AH414" i="1"/>
  <c r="CV414" i="1" s="1"/>
  <c r="U414" i="1" s="1"/>
  <c r="AI414" i="1"/>
  <c r="CW414" i="1" s="1"/>
  <c r="V414" i="1" s="1"/>
  <c r="AJ414" i="1"/>
  <c r="CT414" i="1"/>
  <c r="S414" i="1" s="1"/>
  <c r="CX414" i="1"/>
  <c r="W414" i="1" s="1"/>
  <c r="FR414" i="1"/>
  <c r="GL414" i="1"/>
  <c r="GN414" i="1"/>
  <c r="GO414" i="1"/>
  <c r="GV414" i="1"/>
  <c r="HC414" i="1"/>
  <c r="GX414" i="1" s="1"/>
  <c r="D415" i="1"/>
  <c r="I415" i="1"/>
  <c r="K415" i="1"/>
  <c r="AC415" i="1"/>
  <c r="AE415" i="1"/>
  <c r="AF415" i="1"/>
  <c r="AG415" i="1"/>
  <c r="CU415" i="1" s="1"/>
  <c r="AH415" i="1"/>
  <c r="CV415" i="1" s="1"/>
  <c r="AI415" i="1"/>
  <c r="CW415" i="1" s="1"/>
  <c r="AJ415" i="1"/>
  <c r="CX415" i="1" s="1"/>
  <c r="FR415" i="1"/>
  <c r="GL415" i="1"/>
  <c r="GN415" i="1"/>
  <c r="GO415" i="1"/>
  <c r="GV415" i="1"/>
  <c r="HC415" i="1" s="1"/>
  <c r="D416" i="1"/>
  <c r="AC416" i="1"/>
  <c r="CQ416" i="1" s="1"/>
  <c r="P416" i="1" s="1"/>
  <c r="AE416" i="1"/>
  <c r="AF416" i="1"/>
  <c r="AG416" i="1"/>
  <c r="AH416" i="1"/>
  <c r="CV416" i="1" s="1"/>
  <c r="U416" i="1" s="1"/>
  <c r="AI416" i="1"/>
  <c r="CW416" i="1" s="1"/>
  <c r="V416" i="1" s="1"/>
  <c r="AJ416" i="1"/>
  <c r="CX416" i="1" s="1"/>
  <c r="W416" i="1" s="1"/>
  <c r="CT416" i="1"/>
  <c r="S416" i="1" s="1"/>
  <c r="CU416" i="1"/>
  <c r="T416" i="1" s="1"/>
  <c r="FR416" i="1"/>
  <c r="GL416" i="1"/>
  <c r="GN416" i="1"/>
  <c r="GO416" i="1"/>
  <c r="GV416" i="1"/>
  <c r="HC416" i="1" s="1"/>
  <c r="GX416" i="1" s="1"/>
  <c r="D417" i="1"/>
  <c r="I417" i="1"/>
  <c r="K417" i="1"/>
  <c r="AC417" i="1"/>
  <c r="CQ417" i="1" s="1"/>
  <c r="P417" i="1" s="1"/>
  <c r="AE417" i="1"/>
  <c r="AF417" i="1"/>
  <c r="AG417" i="1"/>
  <c r="AH417" i="1"/>
  <c r="CV417" i="1" s="1"/>
  <c r="U417" i="1" s="1"/>
  <c r="AI417" i="1"/>
  <c r="AJ417" i="1"/>
  <c r="CX417" i="1" s="1"/>
  <c r="W417" i="1" s="1"/>
  <c r="CU417" i="1"/>
  <c r="CW417" i="1"/>
  <c r="V417" i="1" s="1"/>
  <c r="FR417" i="1"/>
  <c r="GL417" i="1"/>
  <c r="GN417" i="1"/>
  <c r="GO417" i="1"/>
  <c r="GV417" i="1"/>
  <c r="HC417" i="1"/>
  <c r="GX417" i="1" s="1"/>
  <c r="D418" i="1"/>
  <c r="I418" i="1"/>
  <c r="K418" i="1"/>
  <c r="P418" i="1"/>
  <c r="AC418" i="1"/>
  <c r="CQ418" i="1" s="1"/>
  <c r="AE418" i="1"/>
  <c r="AF418" i="1"/>
  <c r="AG418" i="1"/>
  <c r="CU418" i="1" s="1"/>
  <c r="T418" i="1" s="1"/>
  <c r="AH418" i="1"/>
  <c r="CV418" i="1" s="1"/>
  <c r="AI418" i="1"/>
  <c r="CW418" i="1" s="1"/>
  <c r="V418" i="1" s="1"/>
  <c r="AJ418" i="1"/>
  <c r="CX418" i="1"/>
  <c r="W418" i="1" s="1"/>
  <c r="FR418" i="1"/>
  <c r="GL418" i="1"/>
  <c r="GN418" i="1"/>
  <c r="GO418" i="1"/>
  <c r="GV418" i="1"/>
  <c r="HC418" i="1"/>
  <c r="GX418" i="1" s="1"/>
  <c r="D419" i="1"/>
  <c r="I419" i="1"/>
  <c r="K419" i="1"/>
  <c r="AC419" i="1"/>
  <c r="AE419" i="1"/>
  <c r="AF419" i="1"/>
  <c r="AG419" i="1"/>
  <c r="CU419" i="1" s="1"/>
  <c r="AH419" i="1"/>
  <c r="CV419" i="1" s="1"/>
  <c r="AI419" i="1"/>
  <c r="CW419" i="1" s="1"/>
  <c r="AJ419" i="1"/>
  <c r="CX419" i="1" s="1"/>
  <c r="CQ419" i="1"/>
  <c r="CR419" i="1"/>
  <c r="FR419" i="1"/>
  <c r="GL419" i="1"/>
  <c r="GN419" i="1"/>
  <c r="GO419" i="1"/>
  <c r="GV419" i="1"/>
  <c r="HC419" i="1"/>
  <c r="AC420" i="1"/>
  <c r="CQ420" i="1" s="1"/>
  <c r="AE420" i="1"/>
  <c r="AF420" i="1"/>
  <c r="AG420" i="1"/>
  <c r="CU420" i="1" s="1"/>
  <c r="AH420" i="1"/>
  <c r="CV420" i="1" s="1"/>
  <c r="AI420" i="1"/>
  <c r="AJ420" i="1"/>
  <c r="CX420" i="1" s="1"/>
  <c r="CW420" i="1"/>
  <c r="FR420" i="1"/>
  <c r="GL420" i="1"/>
  <c r="GN420" i="1"/>
  <c r="GO420" i="1"/>
  <c r="GV420" i="1"/>
  <c r="HC420" i="1" s="1"/>
  <c r="D421" i="1"/>
  <c r="I421" i="1"/>
  <c r="K421" i="1"/>
  <c r="AC421" i="1"/>
  <c r="AE421" i="1"/>
  <c r="AF421" i="1"/>
  <c r="AG421" i="1"/>
  <c r="CU421" i="1" s="1"/>
  <c r="T421" i="1" s="1"/>
  <c r="AH421" i="1"/>
  <c r="CV421" i="1" s="1"/>
  <c r="U421" i="1" s="1"/>
  <c r="AI421" i="1"/>
  <c r="CW421" i="1" s="1"/>
  <c r="V421" i="1" s="1"/>
  <c r="AJ421" i="1"/>
  <c r="CT421" i="1"/>
  <c r="S421" i="1" s="1"/>
  <c r="CY421" i="1" s="1"/>
  <c r="X421" i="1" s="1"/>
  <c r="CX421" i="1"/>
  <c r="W421" i="1" s="1"/>
  <c r="CZ421" i="1"/>
  <c r="Y421" i="1" s="1"/>
  <c r="FR421" i="1"/>
  <c r="GL421" i="1"/>
  <c r="GN421" i="1"/>
  <c r="GO421" i="1"/>
  <c r="GV421" i="1"/>
  <c r="HC421" i="1"/>
  <c r="GX421" i="1" s="1"/>
  <c r="W422" i="1"/>
  <c r="AC422" i="1"/>
  <c r="CQ422" i="1" s="1"/>
  <c r="P422" i="1" s="1"/>
  <c r="AD422" i="1"/>
  <c r="CR422" i="1" s="1"/>
  <c r="Q422" i="1" s="1"/>
  <c r="AE422" i="1"/>
  <c r="CS422" i="1" s="1"/>
  <c r="R422" i="1" s="1"/>
  <c r="GK422" i="1" s="1"/>
  <c r="AF422" i="1"/>
  <c r="AG422" i="1"/>
  <c r="AH422" i="1"/>
  <c r="CV422" i="1" s="1"/>
  <c r="U422" i="1" s="1"/>
  <c r="AI422" i="1"/>
  <c r="CW422" i="1" s="1"/>
  <c r="V422" i="1" s="1"/>
  <c r="AJ422" i="1"/>
  <c r="CX422" i="1" s="1"/>
  <c r="CT422" i="1"/>
  <c r="S422" i="1" s="1"/>
  <c r="CU422" i="1"/>
  <c r="T422" i="1" s="1"/>
  <c r="CY422" i="1"/>
  <c r="X422" i="1" s="1"/>
  <c r="CZ422" i="1"/>
  <c r="Y422" i="1" s="1"/>
  <c r="FR422" i="1"/>
  <c r="GL422" i="1"/>
  <c r="GO422" i="1"/>
  <c r="GP422" i="1"/>
  <c r="GV422" i="1"/>
  <c r="HC422" i="1" s="1"/>
  <c r="GX422" i="1" s="1"/>
  <c r="D423" i="1"/>
  <c r="I423" i="1"/>
  <c r="K423" i="1"/>
  <c r="AC423" i="1"/>
  <c r="CQ423" i="1" s="1"/>
  <c r="AE423" i="1"/>
  <c r="AD423" i="1" s="1"/>
  <c r="AF423" i="1"/>
  <c r="AG423" i="1"/>
  <c r="AH423" i="1"/>
  <c r="CV423" i="1" s="1"/>
  <c r="AI423" i="1"/>
  <c r="CW423" i="1" s="1"/>
  <c r="V423" i="1" s="1"/>
  <c r="AJ423" i="1"/>
  <c r="CX423" i="1" s="1"/>
  <c r="CR423" i="1"/>
  <c r="Q423" i="1" s="1"/>
  <c r="CS423" i="1"/>
  <c r="R423" i="1" s="1"/>
  <c r="GK423" i="1" s="1"/>
  <c r="CT423" i="1"/>
  <c r="S423" i="1" s="1"/>
  <c r="CU423" i="1"/>
  <c r="T423" i="1" s="1"/>
  <c r="FR423" i="1"/>
  <c r="GL423" i="1"/>
  <c r="GN423" i="1"/>
  <c r="GO423" i="1"/>
  <c r="GV423" i="1"/>
  <c r="HC423" i="1"/>
  <c r="GX423" i="1" s="1"/>
  <c r="D424" i="1"/>
  <c r="I424" i="1"/>
  <c r="K424" i="1"/>
  <c r="AC424" i="1"/>
  <c r="CQ424" i="1" s="1"/>
  <c r="AE424" i="1"/>
  <c r="AF424" i="1"/>
  <c r="AG424" i="1"/>
  <c r="AH424" i="1"/>
  <c r="AI424" i="1"/>
  <c r="AJ424" i="1"/>
  <c r="CR424" i="1"/>
  <c r="CS424" i="1"/>
  <c r="CT424" i="1"/>
  <c r="S424" i="1" s="1"/>
  <c r="CU424" i="1"/>
  <c r="CV424" i="1"/>
  <c r="U424" i="1" s="1"/>
  <c r="CW424" i="1"/>
  <c r="V424" i="1" s="1"/>
  <c r="CX424" i="1"/>
  <c r="FR424" i="1"/>
  <c r="GL424" i="1"/>
  <c r="GN424" i="1"/>
  <c r="GO424" i="1"/>
  <c r="GV424" i="1"/>
  <c r="HC424" i="1"/>
  <c r="D425" i="1"/>
  <c r="I425" i="1"/>
  <c r="K425" i="1"/>
  <c r="AC425" i="1"/>
  <c r="AE425" i="1"/>
  <c r="AF425" i="1"/>
  <c r="AG425" i="1"/>
  <c r="CU425" i="1" s="1"/>
  <c r="T425" i="1" s="1"/>
  <c r="AH425" i="1"/>
  <c r="CV425" i="1" s="1"/>
  <c r="AI425" i="1"/>
  <c r="CW425" i="1" s="1"/>
  <c r="V425" i="1" s="1"/>
  <c r="AJ425" i="1"/>
  <c r="CX425" i="1" s="1"/>
  <c r="W425" i="1" s="1"/>
  <c r="CQ425" i="1"/>
  <c r="P425" i="1" s="1"/>
  <c r="FR425" i="1"/>
  <c r="GL425" i="1"/>
  <c r="GN425" i="1"/>
  <c r="GO425" i="1"/>
  <c r="GV425" i="1"/>
  <c r="HC425" i="1"/>
  <c r="GX425" i="1" s="1"/>
  <c r="D426" i="1"/>
  <c r="I426" i="1"/>
  <c r="K426" i="1"/>
  <c r="AC426" i="1"/>
  <c r="AE426" i="1"/>
  <c r="AF426" i="1"/>
  <c r="AG426" i="1"/>
  <c r="CU426" i="1" s="1"/>
  <c r="T426" i="1" s="1"/>
  <c r="AH426" i="1"/>
  <c r="CV426" i="1" s="1"/>
  <c r="U426" i="1" s="1"/>
  <c r="AI426" i="1"/>
  <c r="CW426" i="1" s="1"/>
  <c r="V426" i="1" s="1"/>
  <c r="AJ426" i="1"/>
  <c r="CX426" i="1" s="1"/>
  <c r="W426" i="1" s="1"/>
  <c r="CQ426" i="1"/>
  <c r="P426" i="1" s="1"/>
  <c r="FR426" i="1"/>
  <c r="GL426" i="1"/>
  <c r="GN426" i="1"/>
  <c r="GO426" i="1"/>
  <c r="GV426" i="1"/>
  <c r="HC426" i="1"/>
  <c r="GX426" i="1" s="1"/>
  <c r="D428" i="1"/>
  <c r="I428" i="1"/>
  <c r="K428" i="1"/>
  <c r="AC428" i="1"/>
  <c r="AE428" i="1"/>
  <c r="AF428" i="1"/>
  <c r="AG428" i="1"/>
  <c r="CU428" i="1" s="1"/>
  <c r="T428" i="1" s="1"/>
  <c r="AH428" i="1"/>
  <c r="CV428" i="1" s="1"/>
  <c r="AI428" i="1"/>
  <c r="CW428" i="1" s="1"/>
  <c r="V428" i="1" s="1"/>
  <c r="AJ428" i="1"/>
  <c r="CX428" i="1" s="1"/>
  <c r="CT428" i="1"/>
  <c r="FR428" i="1"/>
  <c r="GL428" i="1"/>
  <c r="GN428" i="1"/>
  <c r="GO428" i="1"/>
  <c r="GV428" i="1"/>
  <c r="HC428" i="1" s="1"/>
  <c r="GX428" i="1" s="1"/>
  <c r="D429" i="1"/>
  <c r="I429" i="1"/>
  <c r="K429" i="1"/>
  <c r="AC429" i="1"/>
  <c r="CQ429" i="1" s="1"/>
  <c r="P429" i="1" s="1"/>
  <c r="AE429" i="1"/>
  <c r="AF429" i="1"/>
  <c r="AG429" i="1"/>
  <c r="CU429" i="1" s="1"/>
  <c r="T429" i="1" s="1"/>
  <c r="AH429" i="1"/>
  <c r="CV429" i="1" s="1"/>
  <c r="U429" i="1" s="1"/>
  <c r="AI429" i="1"/>
  <c r="AJ429" i="1"/>
  <c r="CW429" i="1"/>
  <c r="V429" i="1" s="1"/>
  <c r="CX429" i="1"/>
  <c r="W429" i="1" s="1"/>
  <c r="FR429" i="1"/>
  <c r="GL429" i="1"/>
  <c r="GN429" i="1"/>
  <c r="GO429" i="1"/>
  <c r="GV429" i="1"/>
  <c r="HC429" i="1" s="1"/>
  <c r="GX429" i="1" s="1"/>
  <c r="D430" i="1"/>
  <c r="AC430" i="1"/>
  <c r="AE430" i="1"/>
  <c r="AF430" i="1"/>
  <c r="CT430" i="1" s="1"/>
  <c r="S430" i="1" s="1"/>
  <c r="AG430" i="1"/>
  <c r="CU430" i="1" s="1"/>
  <c r="T430" i="1" s="1"/>
  <c r="AH430" i="1"/>
  <c r="CV430" i="1" s="1"/>
  <c r="U430" i="1" s="1"/>
  <c r="AI430" i="1"/>
  <c r="AJ430" i="1"/>
  <c r="CQ430" i="1"/>
  <c r="P430" i="1" s="1"/>
  <c r="CR430" i="1"/>
  <c r="Q430" i="1" s="1"/>
  <c r="CW430" i="1"/>
  <c r="V430" i="1" s="1"/>
  <c r="CX430" i="1"/>
  <c r="W430" i="1" s="1"/>
  <c r="FR430" i="1"/>
  <c r="GL430" i="1"/>
  <c r="GN430" i="1"/>
  <c r="GO430" i="1"/>
  <c r="GV430" i="1"/>
  <c r="HC430" i="1" s="1"/>
  <c r="GX430" i="1"/>
  <c r="AC431" i="1"/>
  <c r="AD431" i="1"/>
  <c r="AE431" i="1"/>
  <c r="AF431" i="1"/>
  <c r="CT431" i="1" s="1"/>
  <c r="S431" i="1" s="1"/>
  <c r="AG431" i="1"/>
  <c r="AH431" i="1"/>
  <c r="AI431" i="1"/>
  <c r="CW431" i="1" s="1"/>
  <c r="V431" i="1" s="1"/>
  <c r="AJ431" i="1"/>
  <c r="CX431" i="1" s="1"/>
  <c r="W431" i="1" s="1"/>
  <c r="CQ431" i="1"/>
  <c r="P431" i="1" s="1"/>
  <c r="CR431" i="1"/>
  <c r="Q431" i="1" s="1"/>
  <c r="CS431" i="1"/>
  <c r="R431" i="1" s="1"/>
  <c r="GK431" i="1" s="1"/>
  <c r="CU431" i="1"/>
  <c r="T431" i="1" s="1"/>
  <c r="CV431" i="1"/>
  <c r="U431" i="1" s="1"/>
  <c r="CY431" i="1"/>
  <c r="X431" i="1" s="1"/>
  <c r="CZ431" i="1"/>
  <c r="Y431" i="1" s="1"/>
  <c r="FR431" i="1"/>
  <c r="GL431" i="1"/>
  <c r="GO431" i="1"/>
  <c r="GP431" i="1"/>
  <c r="GV431" i="1"/>
  <c r="HC431" i="1"/>
  <c r="GX431" i="1" s="1"/>
  <c r="D432" i="1"/>
  <c r="I432" i="1"/>
  <c r="K432" i="1"/>
  <c r="AC432" i="1"/>
  <c r="AE432" i="1"/>
  <c r="AF432" i="1"/>
  <c r="CT432" i="1" s="1"/>
  <c r="S432" i="1" s="1"/>
  <c r="CY432" i="1" s="1"/>
  <c r="X432" i="1" s="1"/>
  <c r="AG432" i="1"/>
  <c r="CU432" i="1" s="1"/>
  <c r="AH432" i="1"/>
  <c r="AI432" i="1"/>
  <c r="CW432" i="1" s="1"/>
  <c r="V432" i="1" s="1"/>
  <c r="AJ432" i="1"/>
  <c r="CX432" i="1" s="1"/>
  <c r="W432" i="1" s="1"/>
  <c r="CV432" i="1"/>
  <c r="U432" i="1" s="1"/>
  <c r="FR432" i="1"/>
  <c r="GL432" i="1"/>
  <c r="GN432" i="1"/>
  <c r="GO432" i="1"/>
  <c r="GV432" i="1"/>
  <c r="HC432" i="1" s="1"/>
  <c r="GX432" i="1" s="1"/>
  <c r="D433" i="1"/>
  <c r="V433" i="1"/>
  <c r="W433" i="1"/>
  <c r="AC433" i="1"/>
  <c r="AE433" i="1"/>
  <c r="AF433" i="1"/>
  <c r="AG433" i="1"/>
  <c r="CU433" i="1" s="1"/>
  <c r="T433" i="1" s="1"/>
  <c r="AH433" i="1"/>
  <c r="CV433" i="1" s="1"/>
  <c r="U433" i="1" s="1"/>
  <c r="AI433" i="1"/>
  <c r="CW433" i="1" s="1"/>
  <c r="AJ433" i="1"/>
  <c r="CX433" i="1" s="1"/>
  <c r="CR433" i="1"/>
  <c r="Q433" i="1" s="1"/>
  <c r="CS433" i="1"/>
  <c r="CT433" i="1"/>
  <c r="S433" i="1" s="1"/>
  <c r="FR433" i="1"/>
  <c r="GL433" i="1"/>
  <c r="GN433" i="1"/>
  <c r="GO433" i="1"/>
  <c r="GV433" i="1"/>
  <c r="HC433" i="1"/>
  <c r="GX433" i="1" s="1"/>
  <c r="D434" i="1"/>
  <c r="I434" i="1"/>
  <c r="K434" i="1"/>
  <c r="AC434" i="1"/>
  <c r="AE434" i="1"/>
  <c r="AF434" i="1"/>
  <c r="CT434" i="1" s="1"/>
  <c r="AG434" i="1"/>
  <c r="CU434" i="1" s="1"/>
  <c r="AH434" i="1"/>
  <c r="CV434" i="1" s="1"/>
  <c r="U434" i="1" s="1"/>
  <c r="AI434" i="1"/>
  <c r="CW434" i="1" s="1"/>
  <c r="AJ434" i="1"/>
  <c r="CX434" i="1" s="1"/>
  <c r="FR434" i="1"/>
  <c r="GL434" i="1"/>
  <c r="GN434" i="1"/>
  <c r="GO434" i="1"/>
  <c r="GV434" i="1"/>
  <c r="HC434" i="1" s="1"/>
  <c r="GX434" i="1" s="1"/>
  <c r="D435" i="1"/>
  <c r="I435" i="1"/>
  <c r="K435" i="1"/>
  <c r="AC435" i="1"/>
  <c r="CQ435" i="1" s="1"/>
  <c r="P435" i="1" s="1"/>
  <c r="AE435" i="1"/>
  <c r="AF435" i="1"/>
  <c r="CT435" i="1" s="1"/>
  <c r="S435" i="1" s="1"/>
  <c r="AG435" i="1"/>
  <c r="AH435" i="1"/>
  <c r="CV435" i="1" s="1"/>
  <c r="U435" i="1" s="1"/>
  <c r="AI435" i="1"/>
  <c r="AJ435" i="1"/>
  <c r="CX435" i="1" s="1"/>
  <c r="W435" i="1" s="1"/>
  <c r="CR435" i="1"/>
  <c r="Q435" i="1" s="1"/>
  <c r="CU435" i="1"/>
  <c r="T435" i="1" s="1"/>
  <c r="CW435" i="1"/>
  <c r="V435" i="1" s="1"/>
  <c r="FR435" i="1"/>
  <c r="GL435" i="1"/>
  <c r="GN435" i="1"/>
  <c r="GO435" i="1"/>
  <c r="GV435" i="1"/>
  <c r="HC435" i="1"/>
  <c r="GX435" i="1" s="1"/>
  <c r="D436" i="1"/>
  <c r="I436" i="1"/>
  <c r="K436" i="1"/>
  <c r="AC436" i="1"/>
  <c r="AD436" i="1"/>
  <c r="AE436" i="1"/>
  <c r="AF436" i="1"/>
  <c r="CT436" i="1" s="1"/>
  <c r="AG436" i="1"/>
  <c r="CU436" i="1" s="1"/>
  <c r="AH436" i="1"/>
  <c r="CV436" i="1" s="1"/>
  <c r="AI436" i="1"/>
  <c r="AJ436" i="1"/>
  <c r="CX436" i="1" s="1"/>
  <c r="W436" i="1" s="1"/>
  <c r="CW436" i="1"/>
  <c r="FR436" i="1"/>
  <c r="GL436" i="1"/>
  <c r="GN436" i="1"/>
  <c r="GO436" i="1"/>
  <c r="GV436" i="1"/>
  <c r="HC436" i="1" s="1"/>
  <c r="GX436" i="1" s="1"/>
  <c r="D437" i="1"/>
  <c r="I437" i="1"/>
  <c r="K437" i="1"/>
  <c r="V437" i="1"/>
  <c r="AC437" i="1"/>
  <c r="CQ437" i="1" s="1"/>
  <c r="P437" i="1" s="1"/>
  <c r="CP437" i="1" s="1"/>
  <c r="O437" i="1" s="1"/>
  <c r="AE437" i="1"/>
  <c r="AD437" i="1" s="1"/>
  <c r="AF437" i="1"/>
  <c r="AG437" i="1"/>
  <c r="CU437" i="1" s="1"/>
  <c r="T437" i="1" s="1"/>
  <c r="AH437" i="1"/>
  <c r="AI437" i="1"/>
  <c r="CW437" i="1" s="1"/>
  <c r="AJ437" i="1"/>
  <c r="CX437" i="1" s="1"/>
  <c r="W437" i="1" s="1"/>
  <c r="CR437" i="1"/>
  <c r="Q437" i="1" s="1"/>
  <c r="CS437" i="1"/>
  <c r="R437" i="1" s="1"/>
  <c r="GK437" i="1" s="1"/>
  <c r="CT437" i="1"/>
  <c r="S437" i="1" s="1"/>
  <c r="CV437" i="1"/>
  <c r="U437" i="1" s="1"/>
  <c r="FR437" i="1"/>
  <c r="GL437" i="1"/>
  <c r="GN437" i="1"/>
  <c r="GO437" i="1"/>
  <c r="GV437" i="1"/>
  <c r="HC437" i="1"/>
  <c r="GX437" i="1" s="1"/>
  <c r="D438" i="1"/>
  <c r="I438" i="1"/>
  <c r="K438" i="1"/>
  <c r="AC438" i="1"/>
  <c r="AE438" i="1"/>
  <c r="AF438" i="1"/>
  <c r="AG438" i="1"/>
  <c r="AH438" i="1"/>
  <c r="CV438" i="1" s="1"/>
  <c r="AI438" i="1"/>
  <c r="CW438" i="1" s="1"/>
  <c r="V438" i="1" s="1"/>
  <c r="AJ438" i="1"/>
  <c r="CX438" i="1" s="1"/>
  <c r="W438" i="1" s="1"/>
  <c r="CT438" i="1"/>
  <c r="S438" i="1" s="1"/>
  <c r="CU438" i="1"/>
  <c r="FR438" i="1"/>
  <c r="GL438" i="1"/>
  <c r="GN438" i="1"/>
  <c r="GO438" i="1"/>
  <c r="GV438" i="1"/>
  <c r="HC438" i="1"/>
  <c r="D439" i="1"/>
  <c r="I439" i="1"/>
  <c r="K439" i="1"/>
  <c r="U439" i="1"/>
  <c r="AC439" i="1"/>
  <c r="CQ439" i="1" s="1"/>
  <c r="AE439" i="1"/>
  <c r="AF439" i="1"/>
  <c r="CT439" i="1" s="1"/>
  <c r="S439" i="1" s="1"/>
  <c r="AG439" i="1"/>
  <c r="CU439" i="1" s="1"/>
  <c r="T439" i="1" s="1"/>
  <c r="AH439" i="1"/>
  <c r="CV439" i="1" s="1"/>
  <c r="AI439" i="1"/>
  <c r="CW439" i="1" s="1"/>
  <c r="AJ439" i="1"/>
  <c r="CX439" i="1" s="1"/>
  <c r="CR439" i="1"/>
  <c r="Q439" i="1" s="1"/>
  <c r="FR439" i="1"/>
  <c r="GL439" i="1"/>
  <c r="GN439" i="1"/>
  <c r="GO439" i="1"/>
  <c r="GV439" i="1"/>
  <c r="HC439" i="1" s="1"/>
  <c r="D440" i="1"/>
  <c r="I440" i="1"/>
  <c r="K440" i="1"/>
  <c r="W440" i="1"/>
  <c r="AC440" i="1"/>
  <c r="AE440" i="1"/>
  <c r="AF440" i="1"/>
  <c r="AG440" i="1"/>
  <c r="AH440" i="1"/>
  <c r="CV440" i="1" s="1"/>
  <c r="U440" i="1" s="1"/>
  <c r="AI440" i="1"/>
  <c r="CW440" i="1" s="1"/>
  <c r="V440" i="1" s="1"/>
  <c r="AJ440" i="1"/>
  <c r="CX440" i="1" s="1"/>
  <c r="CQ440" i="1"/>
  <c r="CR440" i="1"/>
  <c r="Q440" i="1" s="1"/>
  <c r="CT440" i="1"/>
  <c r="S440" i="1" s="1"/>
  <c r="CU440" i="1"/>
  <c r="T440" i="1" s="1"/>
  <c r="FR440" i="1"/>
  <c r="GL440" i="1"/>
  <c r="GN440" i="1"/>
  <c r="GO440" i="1"/>
  <c r="GV440" i="1"/>
  <c r="HC440" i="1" s="1"/>
  <c r="GX440" i="1" s="1"/>
  <c r="D441" i="1"/>
  <c r="I441" i="1"/>
  <c r="K441" i="1"/>
  <c r="AC441" i="1"/>
  <c r="AE441" i="1"/>
  <c r="AF441" i="1"/>
  <c r="CT441" i="1" s="1"/>
  <c r="S441" i="1" s="1"/>
  <c r="AG441" i="1"/>
  <c r="CU441" i="1" s="1"/>
  <c r="T441" i="1" s="1"/>
  <c r="AH441" i="1"/>
  <c r="CV441" i="1" s="1"/>
  <c r="U441" i="1" s="1"/>
  <c r="AI441" i="1"/>
  <c r="CW441" i="1" s="1"/>
  <c r="V441" i="1" s="1"/>
  <c r="AJ441" i="1"/>
  <c r="CX441" i="1" s="1"/>
  <c r="FR441" i="1"/>
  <c r="GL441" i="1"/>
  <c r="GN441" i="1"/>
  <c r="GO441" i="1"/>
  <c r="GV441" i="1"/>
  <c r="HC441" i="1"/>
  <c r="GX441" i="1" s="1"/>
  <c r="D442" i="1"/>
  <c r="I442" i="1"/>
  <c r="P442" i="1" s="1"/>
  <c r="K442" i="1"/>
  <c r="AC442" i="1"/>
  <c r="CQ442" i="1" s="1"/>
  <c r="AE442" i="1"/>
  <c r="AF442" i="1"/>
  <c r="CT442" i="1" s="1"/>
  <c r="AG442" i="1"/>
  <c r="CU442" i="1" s="1"/>
  <c r="AH442" i="1"/>
  <c r="CV442" i="1" s="1"/>
  <c r="U442" i="1" s="1"/>
  <c r="AI442" i="1"/>
  <c r="CW442" i="1" s="1"/>
  <c r="AJ442" i="1"/>
  <c r="CX442" i="1"/>
  <c r="FR442" i="1"/>
  <c r="GL442" i="1"/>
  <c r="GN442" i="1"/>
  <c r="GO442" i="1"/>
  <c r="GV442" i="1"/>
  <c r="HC442" i="1"/>
  <c r="D443" i="1"/>
  <c r="I443" i="1"/>
  <c r="U443" i="1" s="1"/>
  <c r="K443" i="1"/>
  <c r="P443" i="1"/>
  <c r="AC443" i="1"/>
  <c r="AE443" i="1"/>
  <c r="AD443" i="1" s="1"/>
  <c r="AF443" i="1"/>
  <c r="CT443" i="1" s="1"/>
  <c r="AG443" i="1"/>
  <c r="CU443" i="1" s="1"/>
  <c r="AH443" i="1"/>
  <c r="CV443" i="1" s="1"/>
  <c r="AI443" i="1"/>
  <c r="CW443" i="1" s="1"/>
  <c r="AJ443" i="1"/>
  <c r="CX443" i="1" s="1"/>
  <c r="CQ443" i="1"/>
  <c r="CS443" i="1"/>
  <c r="FR443" i="1"/>
  <c r="GL443" i="1"/>
  <c r="GN443" i="1"/>
  <c r="GO443" i="1"/>
  <c r="GV443" i="1"/>
  <c r="HC443" i="1" s="1"/>
  <c r="B445" i="1"/>
  <c r="B381" i="1" s="1"/>
  <c r="C445" i="1"/>
  <c r="C381" i="1" s="1"/>
  <c r="D445" i="1"/>
  <c r="F445" i="1"/>
  <c r="F381" i="1" s="1"/>
  <c r="G445" i="1"/>
  <c r="BD445" i="1"/>
  <c r="BX445" i="1"/>
  <c r="AO445" i="1" s="1"/>
  <c r="CK445" i="1"/>
  <c r="CL445" i="1"/>
  <c r="CM445" i="1"/>
  <c r="CM381" i="1" s="1"/>
  <c r="B475" i="1"/>
  <c r="B313" i="1" s="1"/>
  <c r="C475" i="1"/>
  <c r="C313" i="1" s="1"/>
  <c r="D475" i="1"/>
  <c r="D313" i="1" s="1"/>
  <c r="F475" i="1"/>
  <c r="F313" i="1" s="1"/>
  <c r="G475" i="1"/>
  <c r="D505" i="1"/>
  <c r="E507" i="1"/>
  <c r="Z507" i="1"/>
  <c r="AA507" i="1"/>
  <c r="AB507" i="1"/>
  <c r="AC507" i="1"/>
  <c r="AD507" i="1"/>
  <c r="AE507" i="1"/>
  <c r="AF507" i="1"/>
  <c r="AG507" i="1"/>
  <c r="AH507" i="1"/>
  <c r="AI507" i="1"/>
  <c r="AJ507" i="1"/>
  <c r="AK507" i="1"/>
  <c r="AL507" i="1"/>
  <c r="AM507" i="1"/>
  <c r="AN507" i="1"/>
  <c r="BE507" i="1"/>
  <c r="BF507" i="1"/>
  <c r="BG507" i="1"/>
  <c r="BH507" i="1"/>
  <c r="BI507" i="1"/>
  <c r="BJ507" i="1"/>
  <c r="BK507" i="1"/>
  <c r="BL507" i="1"/>
  <c r="BM507" i="1"/>
  <c r="BN507" i="1"/>
  <c r="BO507" i="1"/>
  <c r="BP507" i="1"/>
  <c r="BQ507" i="1"/>
  <c r="BR507" i="1"/>
  <c r="BS507" i="1"/>
  <c r="BT507" i="1"/>
  <c r="BU507" i="1"/>
  <c r="BV507" i="1"/>
  <c r="BW507" i="1"/>
  <c r="BX507" i="1"/>
  <c r="BY507" i="1"/>
  <c r="BZ507" i="1"/>
  <c r="CA507" i="1"/>
  <c r="CB507" i="1"/>
  <c r="CC507" i="1"/>
  <c r="CD507" i="1"/>
  <c r="CE507" i="1"/>
  <c r="CF507" i="1"/>
  <c r="CG507" i="1"/>
  <c r="CH507" i="1"/>
  <c r="CI507" i="1"/>
  <c r="CJ507" i="1"/>
  <c r="CK507" i="1"/>
  <c r="CL507" i="1"/>
  <c r="CM507" i="1"/>
  <c r="CN507" i="1"/>
  <c r="CO507" i="1"/>
  <c r="CP507" i="1"/>
  <c r="CQ507" i="1"/>
  <c r="CR507" i="1"/>
  <c r="CS507" i="1"/>
  <c r="CT507" i="1"/>
  <c r="CU507" i="1"/>
  <c r="CV507" i="1"/>
  <c r="CW507" i="1"/>
  <c r="CX507" i="1"/>
  <c r="CY507" i="1"/>
  <c r="CZ507" i="1"/>
  <c r="DA507" i="1"/>
  <c r="DB507" i="1"/>
  <c r="DC507" i="1"/>
  <c r="DD507" i="1"/>
  <c r="DE507" i="1"/>
  <c r="DF507" i="1"/>
  <c r="DG507" i="1"/>
  <c r="DH507" i="1"/>
  <c r="DI507" i="1"/>
  <c r="DJ507" i="1"/>
  <c r="DK507" i="1"/>
  <c r="DL507" i="1"/>
  <c r="DM507" i="1"/>
  <c r="DN507" i="1"/>
  <c r="DO507" i="1"/>
  <c r="DP507" i="1"/>
  <c r="DQ507" i="1"/>
  <c r="DR507" i="1"/>
  <c r="DS507" i="1"/>
  <c r="DT507" i="1"/>
  <c r="DU507" i="1"/>
  <c r="DV507" i="1"/>
  <c r="DW507" i="1"/>
  <c r="DX507" i="1"/>
  <c r="DY507" i="1"/>
  <c r="DZ507" i="1"/>
  <c r="EA507" i="1"/>
  <c r="EB507" i="1"/>
  <c r="EC507" i="1"/>
  <c r="ED507" i="1"/>
  <c r="EE507" i="1"/>
  <c r="EF507" i="1"/>
  <c r="EG507" i="1"/>
  <c r="EH507" i="1"/>
  <c r="EI507" i="1"/>
  <c r="EJ507" i="1"/>
  <c r="EK507" i="1"/>
  <c r="EL507" i="1"/>
  <c r="EM507" i="1"/>
  <c r="EN507" i="1"/>
  <c r="EO507" i="1"/>
  <c r="EP507" i="1"/>
  <c r="EQ507" i="1"/>
  <c r="ER507" i="1"/>
  <c r="ES507" i="1"/>
  <c r="ET507" i="1"/>
  <c r="EU507" i="1"/>
  <c r="EV507" i="1"/>
  <c r="EW507" i="1"/>
  <c r="EX507" i="1"/>
  <c r="EY507" i="1"/>
  <c r="EZ507" i="1"/>
  <c r="FA507" i="1"/>
  <c r="FB507" i="1"/>
  <c r="FC507" i="1"/>
  <c r="FD507" i="1"/>
  <c r="FE507" i="1"/>
  <c r="FF507" i="1"/>
  <c r="FG507" i="1"/>
  <c r="FH507" i="1"/>
  <c r="FI507" i="1"/>
  <c r="FJ507" i="1"/>
  <c r="FK507" i="1"/>
  <c r="FL507" i="1"/>
  <c r="FM507" i="1"/>
  <c r="FN507" i="1"/>
  <c r="FO507" i="1"/>
  <c r="FP507" i="1"/>
  <c r="FQ507" i="1"/>
  <c r="FR507" i="1"/>
  <c r="FS507" i="1"/>
  <c r="FT507" i="1"/>
  <c r="FU507" i="1"/>
  <c r="FV507" i="1"/>
  <c r="FW507" i="1"/>
  <c r="FX507" i="1"/>
  <c r="FY507" i="1"/>
  <c r="FZ507" i="1"/>
  <c r="GA507" i="1"/>
  <c r="GB507" i="1"/>
  <c r="GC507" i="1"/>
  <c r="GD507" i="1"/>
  <c r="GE507" i="1"/>
  <c r="GF507" i="1"/>
  <c r="GG507" i="1"/>
  <c r="GH507" i="1"/>
  <c r="GI507" i="1"/>
  <c r="GJ507" i="1"/>
  <c r="GK507" i="1"/>
  <c r="GL507" i="1"/>
  <c r="GM507" i="1"/>
  <c r="GN507" i="1"/>
  <c r="GO507" i="1"/>
  <c r="GP507" i="1"/>
  <c r="GQ507" i="1"/>
  <c r="GR507" i="1"/>
  <c r="GS507" i="1"/>
  <c r="GT507" i="1"/>
  <c r="GU507" i="1"/>
  <c r="GV507" i="1"/>
  <c r="GW507" i="1"/>
  <c r="GX507" i="1"/>
  <c r="D509" i="1"/>
  <c r="E511" i="1"/>
  <c r="Z511" i="1"/>
  <c r="AA511" i="1"/>
  <c r="AM511" i="1"/>
  <c r="AN511" i="1"/>
  <c r="BE511" i="1"/>
  <c r="BF511" i="1"/>
  <c r="BG511" i="1"/>
  <c r="BH511" i="1"/>
  <c r="BI511" i="1"/>
  <c r="BJ511" i="1"/>
  <c r="BK511" i="1"/>
  <c r="BL511" i="1"/>
  <c r="BM511" i="1"/>
  <c r="BN511" i="1"/>
  <c r="BO511" i="1"/>
  <c r="BP511" i="1"/>
  <c r="BQ511" i="1"/>
  <c r="BR511" i="1"/>
  <c r="BS511" i="1"/>
  <c r="BT511" i="1"/>
  <c r="BU511" i="1"/>
  <c r="BV511" i="1"/>
  <c r="BW511" i="1"/>
  <c r="CN511" i="1"/>
  <c r="CO511" i="1"/>
  <c r="CP511" i="1"/>
  <c r="CQ511" i="1"/>
  <c r="CR511" i="1"/>
  <c r="CS511" i="1"/>
  <c r="CT511" i="1"/>
  <c r="CU511" i="1"/>
  <c r="CV511" i="1"/>
  <c r="CW511" i="1"/>
  <c r="CX511" i="1"/>
  <c r="CY511" i="1"/>
  <c r="CZ511" i="1"/>
  <c r="DA511" i="1"/>
  <c r="DB511" i="1"/>
  <c r="DC511" i="1"/>
  <c r="DD511" i="1"/>
  <c r="DE511" i="1"/>
  <c r="DF511" i="1"/>
  <c r="DG511" i="1"/>
  <c r="DH511" i="1"/>
  <c r="DI511" i="1"/>
  <c r="DJ511" i="1"/>
  <c r="DK511" i="1"/>
  <c r="DL511" i="1"/>
  <c r="DM511" i="1"/>
  <c r="DN511" i="1"/>
  <c r="DO511" i="1"/>
  <c r="DP511" i="1"/>
  <c r="DQ511" i="1"/>
  <c r="DR511" i="1"/>
  <c r="DS511" i="1"/>
  <c r="DT511" i="1"/>
  <c r="DU511" i="1"/>
  <c r="DV511" i="1"/>
  <c r="DW511" i="1"/>
  <c r="DX511" i="1"/>
  <c r="DY511" i="1"/>
  <c r="DZ511" i="1"/>
  <c r="EA511" i="1"/>
  <c r="EB511" i="1"/>
  <c r="EC511" i="1"/>
  <c r="ED511" i="1"/>
  <c r="EE511" i="1"/>
  <c r="EF511" i="1"/>
  <c r="EG511" i="1"/>
  <c r="EH511" i="1"/>
  <c r="EI511" i="1"/>
  <c r="EJ511" i="1"/>
  <c r="EK511" i="1"/>
  <c r="EL511" i="1"/>
  <c r="EM511" i="1"/>
  <c r="EN511" i="1"/>
  <c r="EO511" i="1"/>
  <c r="EP511" i="1"/>
  <c r="EQ511" i="1"/>
  <c r="ER511" i="1"/>
  <c r="ES511" i="1"/>
  <c r="ET511" i="1"/>
  <c r="EU511" i="1"/>
  <c r="EV511" i="1"/>
  <c r="EW511" i="1"/>
  <c r="EX511" i="1"/>
  <c r="EY511" i="1"/>
  <c r="EZ511" i="1"/>
  <c r="FA511" i="1"/>
  <c r="FB511" i="1"/>
  <c r="FC511" i="1"/>
  <c r="FD511" i="1"/>
  <c r="FE511" i="1"/>
  <c r="FF511" i="1"/>
  <c r="FG511" i="1"/>
  <c r="FH511" i="1"/>
  <c r="FI511" i="1"/>
  <c r="FJ511" i="1"/>
  <c r="FK511" i="1"/>
  <c r="FL511" i="1"/>
  <c r="FM511" i="1"/>
  <c r="FN511" i="1"/>
  <c r="FO511" i="1"/>
  <c r="FP511" i="1"/>
  <c r="FQ511" i="1"/>
  <c r="FR511" i="1"/>
  <c r="FS511" i="1"/>
  <c r="FT511" i="1"/>
  <c r="FU511" i="1"/>
  <c r="FV511" i="1"/>
  <c r="FW511" i="1"/>
  <c r="FX511" i="1"/>
  <c r="FY511" i="1"/>
  <c r="FZ511" i="1"/>
  <c r="GA511" i="1"/>
  <c r="GB511" i="1"/>
  <c r="GC511" i="1"/>
  <c r="GD511" i="1"/>
  <c r="GE511" i="1"/>
  <c r="GF511" i="1"/>
  <c r="GG511" i="1"/>
  <c r="GH511" i="1"/>
  <c r="GI511" i="1"/>
  <c r="GJ511" i="1"/>
  <c r="GK511" i="1"/>
  <c r="GL511" i="1"/>
  <c r="GM511" i="1"/>
  <c r="GN511" i="1"/>
  <c r="GO511" i="1"/>
  <c r="GP511" i="1"/>
  <c r="GQ511" i="1"/>
  <c r="GR511" i="1"/>
  <c r="GS511" i="1"/>
  <c r="GT511" i="1"/>
  <c r="GU511" i="1"/>
  <c r="GV511" i="1"/>
  <c r="GW511" i="1"/>
  <c r="GX511" i="1"/>
  <c r="D513" i="1"/>
  <c r="I513" i="1"/>
  <c r="K513" i="1"/>
  <c r="AC513" i="1"/>
  <c r="AE513" i="1"/>
  <c r="CS513" i="1" s="1"/>
  <c r="AF513" i="1"/>
  <c r="CT513" i="1" s="1"/>
  <c r="AG513" i="1"/>
  <c r="AH513" i="1"/>
  <c r="CV513" i="1" s="1"/>
  <c r="AI513" i="1"/>
  <c r="AJ513" i="1"/>
  <c r="CX513" i="1" s="1"/>
  <c r="CQ513" i="1"/>
  <c r="CU513" i="1"/>
  <c r="CW513" i="1"/>
  <c r="FR513" i="1"/>
  <c r="GL513" i="1"/>
  <c r="GN513" i="1"/>
  <c r="GO513" i="1"/>
  <c r="GV513" i="1"/>
  <c r="HC513" i="1"/>
  <c r="D514" i="1"/>
  <c r="AC514" i="1"/>
  <c r="CQ514" i="1" s="1"/>
  <c r="P514" i="1" s="1"/>
  <c r="AE514" i="1"/>
  <c r="AF514" i="1"/>
  <c r="CT514" i="1" s="1"/>
  <c r="S514" i="1" s="1"/>
  <c r="AG514" i="1"/>
  <c r="AH514" i="1"/>
  <c r="CV514" i="1" s="1"/>
  <c r="U514" i="1" s="1"/>
  <c r="AI514" i="1"/>
  <c r="CW514" i="1" s="1"/>
  <c r="V514" i="1" s="1"/>
  <c r="AJ514" i="1"/>
  <c r="CX514" i="1" s="1"/>
  <c r="W514" i="1" s="1"/>
  <c r="CU514" i="1"/>
  <c r="T514" i="1" s="1"/>
  <c r="FR514" i="1"/>
  <c r="GL514" i="1"/>
  <c r="GN514" i="1"/>
  <c r="GO514" i="1"/>
  <c r="GV514" i="1"/>
  <c r="HC514" i="1"/>
  <c r="GX514" i="1" s="1"/>
  <c r="D515" i="1"/>
  <c r="T515" i="1"/>
  <c r="AC515" i="1"/>
  <c r="CQ515" i="1" s="1"/>
  <c r="P515" i="1" s="1"/>
  <c r="AD515" i="1"/>
  <c r="AE515" i="1"/>
  <c r="AF515" i="1"/>
  <c r="AG515" i="1"/>
  <c r="CU515" i="1" s="1"/>
  <c r="AH515" i="1"/>
  <c r="CV515" i="1" s="1"/>
  <c r="U515" i="1" s="1"/>
  <c r="AI515" i="1"/>
  <c r="CW515" i="1" s="1"/>
  <c r="V515" i="1" s="1"/>
  <c r="AJ515" i="1"/>
  <c r="CX515" i="1" s="1"/>
  <c r="W515" i="1" s="1"/>
  <c r="CR515" i="1"/>
  <c r="Q515" i="1" s="1"/>
  <c r="FR515" i="1"/>
  <c r="GL515" i="1"/>
  <c r="GN515" i="1"/>
  <c r="GO515" i="1"/>
  <c r="GV515" i="1"/>
  <c r="HC515" i="1" s="1"/>
  <c r="GX515" i="1" s="1"/>
  <c r="D516" i="1"/>
  <c r="W516" i="1"/>
  <c r="AC516" i="1"/>
  <c r="CQ516" i="1" s="1"/>
  <c r="P516" i="1" s="1"/>
  <c r="AE516" i="1"/>
  <c r="CS516" i="1" s="1"/>
  <c r="R516" i="1" s="1"/>
  <c r="GK516" i="1" s="1"/>
  <c r="AF516" i="1"/>
  <c r="AG516" i="1"/>
  <c r="CU516" i="1" s="1"/>
  <c r="T516" i="1" s="1"/>
  <c r="AH516" i="1"/>
  <c r="AI516" i="1"/>
  <c r="CW516" i="1" s="1"/>
  <c r="V516" i="1" s="1"/>
  <c r="AJ516" i="1"/>
  <c r="CX516" i="1" s="1"/>
  <c r="CT516" i="1"/>
  <c r="S516" i="1" s="1"/>
  <c r="CV516" i="1"/>
  <c r="U516" i="1" s="1"/>
  <c r="FR516" i="1"/>
  <c r="GL516" i="1"/>
  <c r="GN516" i="1"/>
  <c r="GO516" i="1"/>
  <c r="GV516" i="1"/>
  <c r="HC516" i="1" s="1"/>
  <c r="GX516" i="1"/>
  <c r="D517" i="1"/>
  <c r="P517" i="1"/>
  <c r="AC517" i="1"/>
  <c r="CQ517" i="1" s="1"/>
  <c r="AE517" i="1"/>
  <c r="AF517" i="1"/>
  <c r="CT517" i="1" s="1"/>
  <c r="S517" i="1" s="1"/>
  <c r="CZ517" i="1" s="1"/>
  <c r="Y517" i="1" s="1"/>
  <c r="AG517" i="1"/>
  <c r="CU517" i="1" s="1"/>
  <c r="T517" i="1" s="1"/>
  <c r="AH517" i="1"/>
  <c r="CV517" i="1" s="1"/>
  <c r="U517" i="1" s="1"/>
  <c r="AI517" i="1"/>
  <c r="CW517" i="1" s="1"/>
  <c r="V517" i="1" s="1"/>
  <c r="AJ517" i="1"/>
  <c r="CX517" i="1"/>
  <c r="W517" i="1" s="1"/>
  <c r="CY517" i="1"/>
  <c r="X517" i="1" s="1"/>
  <c r="FR517" i="1"/>
  <c r="GL517" i="1"/>
  <c r="GN517" i="1"/>
  <c r="GO517" i="1"/>
  <c r="GV517" i="1"/>
  <c r="HC517" i="1" s="1"/>
  <c r="GX517" i="1" s="1"/>
  <c r="D518" i="1"/>
  <c r="U518" i="1"/>
  <c r="V518" i="1"/>
  <c r="AC518" i="1"/>
  <c r="AE518" i="1"/>
  <c r="AD518" i="1" s="1"/>
  <c r="AF518" i="1"/>
  <c r="AG518" i="1"/>
  <c r="CU518" i="1" s="1"/>
  <c r="T518" i="1" s="1"/>
  <c r="AH518" i="1"/>
  <c r="AI518" i="1"/>
  <c r="CW518" i="1" s="1"/>
  <c r="AJ518" i="1"/>
  <c r="CX518" i="1" s="1"/>
  <c r="W518" i="1" s="1"/>
  <c r="CQ518" i="1"/>
  <c r="P518" i="1" s="1"/>
  <c r="CR518" i="1"/>
  <c r="Q518" i="1" s="1"/>
  <c r="CS518" i="1"/>
  <c r="R518" i="1" s="1"/>
  <c r="GK518" i="1" s="1"/>
  <c r="CT518" i="1"/>
  <c r="S518" i="1" s="1"/>
  <c r="CV518" i="1"/>
  <c r="FR518" i="1"/>
  <c r="GL518" i="1"/>
  <c r="GN518" i="1"/>
  <c r="GO518" i="1"/>
  <c r="GV518" i="1"/>
  <c r="HC518" i="1" s="1"/>
  <c r="GX518" i="1" s="1"/>
  <c r="D519" i="1"/>
  <c r="AC519" i="1"/>
  <c r="AE519" i="1"/>
  <c r="AF519" i="1"/>
  <c r="AG519" i="1"/>
  <c r="CU519" i="1" s="1"/>
  <c r="T519" i="1" s="1"/>
  <c r="AH519" i="1"/>
  <c r="CV519" i="1" s="1"/>
  <c r="U519" i="1" s="1"/>
  <c r="AI519" i="1"/>
  <c r="CW519" i="1" s="1"/>
  <c r="V519" i="1" s="1"/>
  <c r="AJ519" i="1"/>
  <c r="CX519" i="1" s="1"/>
  <c r="W519" i="1" s="1"/>
  <c r="FR519" i="1"/>
  <c r="GL519" i="1"/>
  <c r="GN519" i="1"/>
  <c r="GO519" i="1"/>
  <c r="GV519" i="1"/>
  <c r="HC519" i="1" s="1"/>
  <c r="GX519" i="1" s="1"/>
  <c r="D520" i="1"/>
  <c r="S520" i="1"/>
  <c r="AC520" i="1"/>
  <c r="AD520" i="1"/>
  <c r="AE520" i="1"/>
  <c r="CS520" i="1" s="1"/>
  <c r="R520" i="1" s="1"/>
  <c r="GK520" i="1" s="1"/>
  <c r="AF520" i="1"/>
  <c r="AG520" i="1"/>
  <c r="CU520" i="1" s="1"/>
  <c r="T520" i="1" s="1"/>
  <c r="AH520" i="1"/>
  <c r="CV520" i="1" s="1"/>
  <c r="U520" i="1" s="1"/>
  <c r="AI520" i="1"/>
  <c r="CW520" i="1" s="1"/>
  <c r="V520" i="1" s="1"/>
  <c r="AJ520" i="1"/>
  <c r="CX520" i="1" s="1"/>
  <c r="W520" i="1" s="1"/>
  <c r="CR520" i="1"/>
  <c r="Q520" i="1" s="1"/>
  <c r="CT520" i="1"/>
  <c r="FR520" i="1"/>
  <c r="GL520" i="1"/>
  <c r="GN520" i="1"/>
  <c r="GO520" i="1"/>
  <c r="GV520" i="1"/>
  <c r="HC520" i="1" s="1"/>
  <c r="GX520" i="1" s="1"/>
  <c r="D521" i="1"/>
  <c r="AC521" i="1"/>
  <c r="AE521" i="1"/>
  <c r="AF521" i="1"/>
  <c r="AG521" i="1"/>
  <c r="CU521" i="1" s="1"/>
  <c r="T521" i="1" s="1"/>
  <c r="AH521" i="1"/>
  <c r="CV521" i="1" s="1"/>
  <c r="U521" i="1" s="1"/>
  <c r="AI521" i="1"/>
  <c r="CW521" i="1" s="1"/>
  <c r="V521" i="1" s="1"/>
  <c r="AJ521" i="1"/>
  <c r="CX521" i="1" s="1"/>
  <c r="W521" i="1" s="1"/>
  <c r="CQ521" i="1"/>
  <c r="P521" i="1" s="1"/>
  <c r="CT521" i="1"/>
  <c r="S521" i="1" s="1"/>
  <c r="FR521" i="1"/>
  <c r="GL521" i="1"/>
  <c r="GN521" i="1"/>
  <c r="GO521" i="1"/>
  <c r="GV521" i="1"/>
  <c r="HC521" i="1" s="1"/>
  <c r="GX521" i="1" s="1"/>
  <c r="D522" i="1"/>
  <c r="AC522" i="1"/>
  <c r="AE522" i="1"/>
  <c r="AF522" i="1"/>
  <c r="CT522" i="1" s="1"/>
  <c r="S522" i="1" s="1"/>
  <c r="AG522" i="1"/>
  <c r="CU522" i="1" s="1"/>
  <c r="T522" i="1" s="1"/>
  <c r="AH522" i="1"/>
  <c r="AI522" i="1"/>
  <c r="AJ522" i="1"/>
  <c r="CV522" i="1"/>
  <c r="U522" i="1" s="1"/>
  <c r="CW522" i="1"/>
  <c r="V522" i="1" s="1"/>
  <c r="CX522" i="1"/>
  <c r="W522" i="1" s="1"/>
  <c r="FR522" i="1"/>
  <c r="GL522" i="1"/>
  <c r="GN522" i="1"/>
  <c r="GO522" i="1"/>
  <c r="GV522" i="1"/>
  <c r="HC522" i="1" s="1"/>
  <c r="GX522" i="1" s="1"/>
  <c r="D523" i="1"/>
  <c r="P523" i="1"/>
  <c r="T523" i="1"/>
  <c r="AC523" i="1"/>
  <c r="CQ523" i="1" s="1"/>
  <c r="AE523" i="1"/>
  <c r="AF523" i="1"/>
  <c r="AG523" i="1"/>
  <c r="CU523" i="1" s="1"/>
  <c r="AH523" i="1"/>
  <c r="AI523" i="1"/>
  <c r="CW523" i="1" s="1"/>
  <c r="V523" i="1" s="1"/>
  <c r="AJ523" i="1"/>
  <c r="CX523" i="1" s="1"/>
  <c r="W523" i="1" s="1"/>
  <c r="CR523" i="1"/>
  <c r="Q523" i="1" s="1"/>
  <c r="CS523" i="1"/>
  <c r="CV523" i="1"/>
  <c r="U523" i="1" s="1"/>
  <c r="FR523" i="1"/>
  <c r="GL523" i="1"/>
  <c r="GN523" i="1"/>
  <c r="GO523" i="1"/>
  <c r="GV523" i="1"/>
  <c r="HC523" i="1"/>
  <c r="GX523" i="1" s="1"/>
  <c r="D524" i="1"/>
  <c r="AC524" i="1"/>
  <c r="AE524" i="1"/>
  <c r="AF524" i="1"/>
  <c r="AG524" i="1"/>
  <c r="CU524" i="1" s="1"/>
  <c r="T524" i="1" s="1"/>
  <c r="AH524" i="1"/>
  <c r="AI524" i="1"/>
  <c r="CW524" i="1" s="1"/>
  <c r="V524" i="1" s="1"/>
  <c r="AJ524" i="1"/>
  <c r="CX524" i="1" s="1"/>
  <c r="W524" i="1" s="1"/>
  <c r="CT524" i="1"/>
  <c r="S524" i="1" s="1"/>
  <c r="CY524" i="1" s="1"/>
  <c r="X524" i="1" s="1"/>
  <c r="CV524" i="1"/>
  <c r="U524" i="1" s="1"/>
  <c r="FR524" i="1"/>
  <c r="GL524" i="1"/>
  <c r="GN524" i="1"/>
  <c r="GO524" i="1"/>
  <c r="GV524" i="1"/>
  <c r="HC524" i="1" s="1"/>
  <c r="GX524" i="1" s="1"/>
  <c r="D525" i="1"/>
  <c r="R525" i="1"/>
  <c r="GK525" i="1" s="1"/>
  <c r="S525" i="1"/>
  <c r="CY525" i="1" s="1"/>
  <c r="X525" i="1" s="1"/>
  <c r="AC525" i="1"/>
  <c r="CQ525" i="1" s="1"/>
  <c r="P525" i="1" s="1"/>
  <c r="AE525" i="1"/>
  <c r="CS525" i="1" s="1"/>
  <c r="AF525" i="1"/>
  <c r="CT525" i="1" s="1"/>
  <c r="AG525" i="1"/>
  <c r="CU525" i="1" s="1"/>
  <c r="T525" i="1" s="1"/>
  <c r="AH525" i="1"/>
  <c r="CV525" i="1" s="1"/>
  <c r="U525" i="1" s="1"/>
  <c r="AI525" i="1"/>
  <c r="CW525" i="1" s="1"/>
  <c r="V525" i="1" s="1"/>
  <c r="AJ525" i="1"/>
  <c r="CX525" i="1"/>
  <c r="W525" i="1" s="1"/>
  <c r="CZ525" i="1"/>
  <c r="Y525" i="1" s="1"/>
  <c r="FR525" i="1"/>
  <c r="GL525" i="1"/>
  <c r="GN525" i="1"/>
  <c r="GO525" i="1"/>
  <c r="GV525" i="1"/>
  <c r="HC525" i="1"/>
  <c r="GX525" i="1" s="1"/>
  <c r="D526" i="1"/>
  <c r="AC526" i="1"/>
  <c r="AE526" i="1"/>
  <c r="AF526" i="1"/>
  <c r="CT526" i="1" s="1"/>
  <c r="S526" i="1" s="1"/>
  <c r="AG526" i="1"/>
  <c r="CU526" i="1" s="1"/>
  <c r="T526" i="1" s="1"/>
  <c r="AH526" i="1"/>
  <c r="CV526" i="1" s="1"/>
  <c r="U526" i="1" s="1"/>
  <c r="AI526" i="1"/>
  <c r="CW526" i="1" s="1"/>
  <c r="V526" i="1" s="1"/>
  <c r="AJ526" i="1"/>
  <c r="CX526" i="1" s="1"/>
  <c r="W526" i="1" s="1"/>
  <c r="CQ526" i="1"/>
  <c r="P526" i="1" s="1"/>
  <c r="FR526" i="1"/>
  <c r="GL526" i="1"/>
  <c r="GN526" i="1"/>
  <c r="GO526" i="1"/>
  <c r="GV526" i="1"/>
  <c r="HC526" i="1" s="1"/>
  <c r="GX526" i="1" s="1"/>
  <c r="D527" i="1"/>
  <c r="U527" i="1"/>
  <c r="W527" i="1"/>
  <c r="AC527" i="1"/>
  <c r="AE527" i="1"/>
  <c r="CS527" i="1" s="1"/>
  <c r="R527" i="1" s="1"/>
  <c r="AF527" i="1"/>
  <c r="CT527" i="1" s="1"/>
  <c r="S527" i="1" s="1"/>
  <c r="AG527" i="1"/>
  <c r="CU527" i="1" s="1"/>
  <c r="T527" i="1" s="1"/>
  <c r="AH527" i="1"/>
  <c r="CV527" i="1" s="1"/>
  <c r="AI527" i="1"/>
  <c r="CW527" i="1" s="1"/>
  <c r="V527" i="1" s="1"/>
  <c r="AJ527" i="1"/>
  <c r="CR527" i="1"/>
  <c r="Q527" i="1" s="1"/>
  <c r="CX527" i="1"/>
  <c r="FR527" i="1"/>
  <c r="GK527" i="1"/>
  <c r="GL527" i="1"/>
  <c r="GN527" i="1"/>
  <c r="GO527" i="1"/>
  <c r="GV527" i="1"/>
  <c r="HC527" i="1" s="1"/>
  <c r="GX527" i="1" s="1"/>
  <c r="D528" i="1"/>
  <c r="AC528" i="1"/>
  <c r="CQ528" i="1" s="1"/>
  <c r="P528" i="1" s="1"/>
  <c r="AE528" i="1"/>
  <c r="AF528" i="1"/>
  <c r="AG528" i="1"/>
  <c r="CU528" i="1" s="1"/>
  <c r="T528" i="1" s="1"/>
  <c r="AH528" i="1"/>
  <c r="AI528" i="1"/>
  <c r="CW528" i="1" s="1"/>
  <c r="V528" i="1" s="1"/>
  <c r="AJ528" i="1"/>
  <c r="CX528" i="1" s="1"/>
  <c r="W528" i="1" s="1"/>
  <c r="CT528" i="1"/>
  <c r="S528" i="1" s="1"/>
  <c r="CV528" i="1"/>
  <c r="U528" i="1" s="1"/>
  <c r="FR528" i="1"/>
  <c r="GL528" i="1"/>
  <c r="GN528" i="1"/>
  <c r="GO528" i="1"/>
  <c r="GV528" i="1"/>
  <c r="HC528" i="1" s="1"/>
  <c r="GX528" i="1" s="1"/>
  <c r="D529" i="1"/>
  <c r="AC529" i="1"/>
  <c r="CQ529" i="1" s="1"/>
  <c r="P529" i="1" s="1"/>
  <c r="AE529" i="1"/>
  <c r="AF529" i="1"/>
  <c r="AG529" i="1"/>
  <c r="CU529" i="1" s="1"/>
  <c r="T529" i="1" s="1"/>
  <c r="AH529" i="1"/>
  <c r="CV529" i="1" s="1"/>
  <c r="U529" i="1" s="1"/>
  <c r="AI529" i="1"/>
  <c r="CW529" i="1" s="1"/>
  <c r="V529" i="1" s="1"/>
  <c r="AJ529" i="1"/>
  <c r="CX529" i="1"/>
  <c r="W529" i="1" s="1"/>
  <c r="FR529" i="1"/>
  <c r="GL529" i="1"/>
  <c r="GN529" i="1"/>
  <c r="CB563" i="1" s="1"/>
  <c r="GO529" i="1"/>
  <c r="GV529" i="1"/>
  <c r="HC529" i="1" s="1"/>
  <c r="GX529" i="1" s="1"/>
  <c r="D530" i="1"/>
  <c r="S530" i="1"/>
  <c r="W530" i="1"/>
  <c r="AC530" i="1"/>
  <c r="CQ530" i="1" s="1"/>
  <c r="P530" i="1" s="1"/>
  <c r="AE530" i="1"/>
  <c r="AF530" i="1"/>
  <c r="CT530" i="1" s="1"/>
  <c r="AG530" i="1"/>
  <c r="AH530" i="1"/>
  <c r="CV530" i="1" s="1"/>
  <c r="U530" i="1" s="1"/>
  <c r="AI530" i="1"/>
  <c r="CW530" i="1" s="1"/>
  <c r="V530" i="1" s="1"/>
  <c r="AJ530" i="1"/>
  <c r="CU530" i="1"/>
  <c r="T530" i="1" s="1"/>
  <c r="CX530" i="1"/>
  <c r="FR530" i="1"/>
  <c r="GL530" i="1"/>
  <c r="GN530" i="1"/>
  <c r="GO530" i="1"/>
  <c r="GV530" i="1"/>
  <c r="HC530" i="1" s="1"/>
  <c r="GX530" i="1"/>
  <c r="D531" i="1"/>
  <c r="U531" i="1"/>
  <c r="AC531" i="1"/>
  <c r="CQ531" i="1" s="1"/>
  <c r="P531" i="1" s="1"/>
  <c r="AE531" i="1"/>
  <c r="AF531" i="1"/>
  <c r="CT531" i="1" s="1"/>
  <c r="S531" i="1" s="1"/>
  <c r="CY531" i="1" s="1"/>
  <c r="X531" i="1" s="1"/>
  <c r="AG531" i="1"/>
  <c r="CU531" i="1" s="1"/>
  <c r="T531" i="1" s="1"/>
  <c r="AH531" i="1"/>
  <c r="CV531" i="1" s="1"/>
  <c r="AI531" i="1"/>
  <c r="CW531" i="1" s="1"/>
  <c r="V531" i="1" s="1"/>
  <c r="AJ531" i="1"/>
  <c r="CX531" i="1"/>
  <c r="W531" i="1" s="1"/>
  <c r="FR531" i="1"/>
  <c r="GL531" i="1"/>
  <c r="GN531" i="1"/>
  <c r="GO531" i="1"/>
  <c r="GV531" i="1"/>
  <c r="HC531" i="1"/>
  <c r="GX531" i="1" s="1"/>
  <c r="D532" i="1"/>
  <c r="V532" i="1"/>
  <c r="W532" i="1"/>
  <c r="AC532" i="1"/>
  <c r="AE532" i="1"/>
  <c r="AF532" i="1"/>
  <c r="AG532" i="1"/>
  <c r="CU532" i="1" s="1"/>
  <c r="T532" i="1" s="1"/>
  <c r="AH532" i="1"/>
  <c r="CV532" i="1" s="1"/>
  <c r="U532" i="1" s="1"/>
  <c r="AI532" i="1"/>
  <c r="CW532" i="1" s="1"/>
  <c r="AJ532" i="1"/>
  <c r="CX532" i="1" s="1"/>
  <c r="CS532" i="1"/>
  <c r="FR532" i="1"/>
  <c r="GL532" i="1"/>
  <c r="GN532" i="1"/>
  <c r="GO532" i="1"/>
  <c r="GV532" i="1"/>
  <c r="HC532" i="1"/>
  <c r="GX532" i="1" s="1"/>
  <c r="D533" i="1"/>
  <c r="V533" i="1"/>
  <c r="AC533" i="1"/>
  <c r="CQ533" i="1" s="1"/>
  <c r="P533" i="1" s="1"/>
  <c r="AE533" i="1"/>
  <c r="CS533" i="1" s="1"/>
  <c r="R533" i="1" s="1"/>
  <c r="AF533" i="1"/>
  <c r="CT533" i="1" s="1"/>
  <c r="S533" i="1" s="1"/>
  <c r="AG533" i="1"/>
  <c r="CU533" i="1" s="1"/>
  <c r="T533" i="1" s="1"/>
  <c r="AH533" i="1"/>
  <c r="CV533" i="1" s="1"/>
  <c r="U533" i="1" s="1"/>
  <c r="AI533" i="1"/>
  <c r="AJ533" i="1"/>
  <c r="CW533" i="1"/>
  <c r="CX533" i="1"/>
  <c r="W533" i="1" s="1"/>
  <c r="FR533" i="1"/>
  <c r="GK533" i="1"/>
  <c r="GL533" i="1"/>
  <c r="GN533" i="1"/>
  <c r="GO533" i="1"/>
  <c r="GV533" i="1"/>
  <c r="HC533" i="1"/>
  <c r="GX533" i="1" s="1"/>
  <c r="D534" i="1"/>
  <c r="W534" i="1"/>
  <c r="AC534" i="1"/>
  <c r="CQ534" i="1" s="1"/>
  <c r="P534" i="1" s="1"/>
  <c r="AE534" i="1"/>
  <c r="AD534" i="1" s="1"/>
  <c r="AF534" i="1"/>
  <c r="CT534" i="1" s="1"/>
  <c r="S534" i="1" s="1"/>
  <c r="AG534" i="1"/>
  <c r="CU534" i="1" s="1"/>
  <c r="T534" i="1" s="1"/>
  <c r="AH534" i="1"/>
  <c r="AI534" i="1"/>
  <c r="CW534" i="1" s="1"/>
  <c r="V534" i="1" s="1"/>
  <c r="AJ534" i="1"/>
  <c r="CX534" i="1" s="1"/>
  <c r="CR534" i="1"/>
  <c r="Q534" i="1" s="1"/>
  <c r="CS534" i="1"/>
  <c r="R534" i="1" s="1"/>
  <c r="GK534" i="1" s="1"/>
  <c r="CV534" i="1"/>
  <c r="U534" i="1" s="1"/>
  <c r="FR534" i="1"/>
  <c r="GL534" i="1"/>
  <c r="GN534" i="1"/>
  <c r="GO534" i="1"/>
  <c r="GV534" i="1"/>
  <c r="HC534" i="1"/>
  <c r="GX534" i="1" s="1"/>
  <c r="D535" i="1"/>
  <c r="U535" i="1"/>
  <c r="AC535" i="1"/>
  <c r="AE535" i="1"/>
  <c r="AF535" i="1"/>
  <c r="CT535" i="1" s="1"/>
  <c r="S535" i="1" s="1"/>
  <c r="CZ535" i="1" s="1"/>
  <c r="Y535" i="1" s="1"/>
  <c r="AG535" i="1"/>
  <c r="CU535" i="1" s="1"/>
  <c r="T535" i="1" s="1"/>
  <c r="AH535" i="1"/>
  <c r="AI535" i="1"/>
  <c r="CW535" i="1" s="1"/>
  <c r="V535" i="1" s="1"/>
  <c r="AJ535" i="1"/>
  <c r="CV535" i="1"/>
  <c r="CX535" i="1"/>
  <c r="W535" i="1" s="1"/>
  <c r="CY535" i="1"/>
  <c r="X535" i="1" s="1"/>
  <c r="FR535" i="1"/>
  <c r="GL535" i="1"/>
  <c r="GN535" i="1"/>
  <c r="GO535" i="1"/>
  <c r="GV535" i="1"/>
  <c r="HC535" i="1" s="1"/>
  <c r="GX535" i="1" s="1"/>
  <c r="D536" i="1"/>
  <c r="U536" i="1"/>
  <c r="AC536" i="1"/>
  <c r="CQ536" i="1" s="1"/>
  <c r="P536" i="1" s="1"/>
  <c r="AD536" i="1"/>
  <c r="AB536" i="1" s="1"/>
  <c r="AE536" i="1"/>
  <c r="AF536" i="1"/>
  <c r="AG536" i="1"/>
  <c r="CU536" i="1" s="1"/>
  <c r="T536" i="1" s="1"/>
  <c r="AH536" i="1"/>
  <c r="AI536" i="1"/>
  <c r="CW536" i="1" s="1"/>
  <c r="V536" i="1" s="1"/>
  <c r="AJ536" i="1"/>
  <c r="CX536" i="1" s="1"/>
  <c r="W536" i="1" s="1"/>
  <c r="CV536" i="1"/>
  <c r="FR536" i="1"/>
  <c r="GL536" i="1"/>
  <c r="GN536" i="1"/>
  <c r="GO536" i="1"/>
  <c r="GV536" i="1"/>
  <c r="HC536" i="1"/>
  <c r="GX536" i="1" s="1"/>
  <c r="D537" i="1"/>
  <c r="AC537" i="1"/>
  <c r="CQ537" i="1" s="1"/>
  <c r="P537" i="1" s="1"/>
  <c r="AE537" i="1"/>
  <c r="AF537" i="1"/>
  <c r="CT537" i="1" s="1"/>
  <c r="S537" i="1" s="1"/>
  <c r="CY537" i="1" s="1"/>
  <c r="X537" i="1" s="1"/>
  <c r="AG537" i="1"/>
  <c r="CU537" i="1" s="1"/>
  <c r="T537" i="1" s="1"/>
  <c r="AH537" i="1"/>
  <c r="CV537" i="1" s="1"/>
  <c r="U537" i="1" s="1"/>
  <c r="AI537" i="1"/>
  <c r="CW537" i="1" s="1"/>
  <c r="V537" i="1" s="1"/>
  <c r="AJ537" i="1"/>
  <c r="CX537" i="1" s="1"/>
  <c r="W537" i="1" s="1"/>
  <c r="FR537" i="1"/>
  <c r="GL537" i="1"/>
  <c r="GN537" i="1"/>
  <c r="GO537" i="1"/>
  <c r="GV537" i="1"/>
  <c r="HC537" i="1" s="1"/>
  <c r="GX537" i="1" s="1"/>
  <c r="D538" i="1"/>
  <c r="U538" i="1"/>
  <c r="AC538" i="1"/>
  <c r="AE538" i="1"/>
  <c r="AD538" i="1" s="1"/>
  <c r="AF538" i="1"/>
  <c r="CT538" i="1" s="1"/>
  <c r="S538" i="1" s="1"/>
  <c r="AG538" i="1"/>
  <c r="CU538" i="1" s="1"/>
  <c r="T538" i="1" s="1"/>
  <c r="AH538" i="1"/>
  <c r="CV538" i="1" s="1"/>
  <c r="AI538" i="1"/>
  <c r="CW538" i="1" s="1"/>
  <c r="V538" i="1" s="1"/>
  <c r="AJ538" i="1"/>
  <c r="CX538" i="1" s="1"/>
  <c r="W538" i="1" s="1"/>
  <c r="CQ538" i="1"/>
  <c r="P538" i="1" s="1"/>
  <c r="CS538" i="1"/>
  <c r="R538" i="1" s="1"/>
  <c r="GK538" i="1" s="1"/>
  <c r="FR538" i="1"/>
  <c r="GL538" i="1"/>
  <c r="GN538" i="1"/>
  <c r="GO538" i="1"/>
  <c r="GV538" i="1"/>
  <c r="HC538" i="1" s="1"/>
  <c r="GX538" i="1" s="1"/>
  <c r="D539" i="1"/>
  <c r="AC539" i="1"/>
  <c r="AD539" i="1"/>
  <c r="AE539" i="1"/>
  <c r="AF539" i="1"/>
  <c r="AG539" i="1"/>
  <c r="AH539" i="1"/>
  <c r="CV539" i="1" s="1"/>
  <c r="U539" i="1" s="1"/>
  <c r="AI539" i="1"/>
  <c r="AJ539" i="1"/>
  <c r="CX539" i="1" s="1"/>
  <c r="W539" i="1" s="1"/>
  <c r="CR539" i="1"/>
  <c r="Q539" i="1" s="1"/>
  <c r="CS539" i="1"/>
  <c r="R539" i="1" s="1"/>
  <c r="GK539" i="1" s="1"/>
  <c r="CT539" i="1"/>
  <c r="S539" i="1" s="1"/>
  <c r="CU539" i="1"/>
  <c r="T539" i="1" s="1"/>
  <c r="CW539" i="1"/>
  <c r="V539" i="1" s="1"/>
  <c r="FR539" i="1"/>
  <c r="GL539" i="1"/>
  <c r="GN539" i="1"/>
  <c r="GO539" i="1"/>
  <c r="GV539" i="1"/>
  <c r="HC539" i="1" s="1"/>
  <c r="GX539" i="1" s="1"/>
  <c r="D540" i="1"/>
  <c r="P540" i="1"/>
  <c r="AC540" i="1"/>
  <c r="CQ540" i="1" s="1"/>
  <c r="AE540" i="1"/>
  <c r="AF540" i="1"/>
  <c r="AG540" i="1"/>
  <c r="CU540" i="1" s="1"/>
  <c r="T540" i="1" s="1"/>
  <c r="AH540" i="1"/>
  <c r="CV540" i="1" s="1"/>
  <c r="U540" i="1" s="1"/>
  <c r="AI540" i="1"/>
  <c r="AJ540" i="1"/>
  <c r="CX540" i="1" s="1"/>
  <c r="W540" i="1" s="1"/>
  <c r="CW540" i="1"/>
  <c r="V540" i="1" s="1"/>
  <c r="FR540" i="1"/>
  <c r="GL540" i="1"/>
  <c r="GN540" i="1"/>
  <c r="GO540" i="1"/>
  <c r="GV540" i="1"/>
  <c r="HC540" i="1"/>
  <c r="GX540" i="1" s="1"/>
  <c r="D541" i="1"/>
  <c r="P541" i="1"/>
  <c r="AC541" i="1"/>
  <c r="AE541" i="1"/>
  <c r="AF541" i="1"/>
  <c r="CT541" i="1" s="1"/>
  <c r="S541" i="1" s="1"/>
  <c r="AG541" i="1"/>
  <c r="AH541" i="1"/>
  <c r="CV541" i="1" s="1"/>
  <c r="U541" i="1" s="1"/>
  <c r="AI541" i="1"/>
  <c r="CW541" i="1" s="1"/>
  <c r="V541" i="1" s="1"/>
  <c r="AJ541" i="1"/>
  <c r="CX541" i="1" s="1"/>
  <c r="W541" i="1" s="1"/>
  <c r="CQ541" i="1"/>
  <c r="CU541" i="1"/>
  <c r="T541" i="1" s="1"/>
  <c r="FR541" i="1"/>
  <c r="GL541" i="1"/>
  <c r="GN541" i="1"/>
  <c r="GO541" i="1"/>
  <c r="GV541" i="1"/>
  <c r="HC541" i="1" s="1"/>
  <c r="GX541" i="1" s="1"/>
  <c r="D542" i="1"/>
  <c r="AC542" i="1"/>
  <c r="CQ542" i="1" s="1"/>
  <c r="P542" i="1" s="1"/>
  <c r="AD542" i="1"/>
  <c r="AE542" i="1"/>
  <c r="AF542" i="1"/>
  <c r="CT542" i="1" s="1"/>
  <c r="S542" i="1" s="1"/>
  <c r="CY542" i="1" s="1"/>
  <c r="X542" i="1" s="1"/>
  <c r="AG542" i="1"/>
  <c r="AH542" i="1"/>
  <c r="CV542" i="1" s="1"/>
  <c r="U542" i="1" s="1"/>
  <c r="AI542" i="1"/>
  <c r="CW542" i="1" s="1"/>
  <c r="V542" i="1" s="1"/>
  <c r="AJ542" i="1"/>
  <c r="CX542" i="1" s="1"/>
  <c r="W542" i="1" s="1"/>
  <c r="CU542" i="1"/>
  <c r="T542" i="1" s="1"/>
  <c r="FR542" i="1"/>
  <c r="GL542" i="1"/>
  <c r="GN542" i="1"/>
  <c r="GO542" i="1"/>
  <c r="GV542" i="1"/>
  <c r="HC542" i="1" s="1"/>
  <c r="GX542" i="1"/>
  <c r="D543" i="1"/>
  <c r="I543" i="1"/>
  <c r="K543" i="1"/>
  <c r="AC543" i="1"/>
  <c r="CQ543" i="1" s="1"/>
  <c r="P543" i="1" s="1"/>
  <c r="AE543" i="1"/>
  <c r="AF543" i="1"/>
  <c r="CT543" i="1" s="1"/>
  <c r="S543" i="1" s="1"/>
  <c r="AG543" i="1"/>
  <c r="CU543" i="1" s="1"/>
  <c r="T543" i="1" s="1"/>
  <c r="AH543" i="1"/>
  <c r="CV543" i="1" s="1"/>
  <c r="U543" i="1" s="1"/>
  <c r="AI543" i="1"/>
  <c r="CW543" i="1" s="1"/>
  <c r="V543" i="1" s="1"/>
  <c r="AJ543" i="1"/>
  <c r="CX543" i="1" s="1"/>
  <c r="W543" i="1" s="1"/>
  <c r="FR543" i="1"/>
  <c r="GL543" i="1"/>
  <c r="GN543" i="1"/>
  <c r="GO543" i="1"/>
  <c r="GV543" i="1"/>
  <c r="HC543" i="1" s="1"/>
  <c r="GX543" i="1"/>
  <c r="D544" i="1"/>
  <c r="I544" i="1"/>
  <c r="K544" i="1"/>
  <c r="AC544" i="1"/>
  <c r="CQ544" i="1" s="1"/>
  <c r="P544" i="1" s="1"/>
  <c r="AE544" i="1"/>
  <c r="AD544" i="1" s="1"/>
  <c r="AF544" i="1"/>
  <c r="CT544" i="1" s="1"/>
  <c r="AG544" i="1"/>
  <c r="CU544" i="1" s="1"/>
  <c r="T544" i="1" s="1"/>
  <c r="AH544" i="1"/>
  <c r="CV544" i="1" s="1"/>
  <c r="AI544" i="1"/>
  <c r="CW544" i="1" s="1"/>
  <c r="V544" i="1" s="1"/>
  <c r="AJ544" i="1"/>
  <c r="CX544" i="1" s="1"/>
  <c r="CR544" i="1"/>
  <c r="CS544" i="1"/>
  <c r="FR544" i="1"/>
  <c r="GL544" i="1"/>
  <c r="GN544" i="1"/>
  <c r="GO544" i="1"/>
  <c r="GV544" i="1"/>
  <c r="HC544" i="1" s="1"/>
  <c r="D545" i="1"/>
  <c r="I545" i="1"/>
  <c r="K545" i="1"/>
  <c r="AC545" i="1"/>
  <c r="AE545" i="1"/>
  <c r="AF545" i="1"/>
  <c r="CT545" i="1" s="1"/>
  <c r="S545" i="1" s="1"/>
  <c r="AG545" i="1"/>
  <c r="CU545" i="1" s="1"/>
  <c r="T545" i="1" s="1"/>
  <c r="AH545" i="1"/>
  <c r="AI545" i="1"/>
  <c r="AJ545" i="1"/>
  <c r="CX545" i="1" s="1"/>
  <c r="W545" i="1" s="1"/>
  <c r="CQ545" i="1"/>
  <c r="P545" i="1" s="1"/>
  <c r="CV545" i="1"/>
  <c r="U545" i="1" s="1"/>
  <c r="CW545" i="1"/>
  <c r="V545" i="1" s="1"/>
  <c r="FR545" i="1"/>
  <c r="GL545" i="1"/>
  <c r="GN545" i="1"/>
  <c r="GO545" i="1"/>
  <c r="GV545" i="1"/>
  <c r="HC545" i="1" s="1"/>
  <c r="GX545" i="1" s="1"/>
  <c r="D546" i="1"/>
  <c r="I546" i="1"/>
  <c r="K546" i="1"/>
  <c r="AC546" i="1"/>
  <c r="AD546" i="1"/>
  <c r="AE546" i="1"/>
  <c r="AF546" i="1"/>
  <c r="CT546" i="1" s="1"/>
  <c r="S546" i="1" s="1"/>
  <c r="CY546" i="1" s="1"/>
  <c r="X546" i="1" s="1"/>
  <c r="AG546" i="1"/>
  <c r="CU546" i="1" s="1"/>
  <c r="T546" i="1" s="1"/>
  <c r="AH546" i="1"/>
  <c r="CV546" i="1" s="1"/>
  <c r="U546" i="1" s="1"/>
  <c r="AI546" i="1"/>
  <c r="CW546" i="1" s="1"/>
  <c r="V546" i="1" s="1"/>
  <c r="AJ546" i="1"/>
  <c r="CX546" i="1"/>
  <c r="W546" i="1" s="1"/>
  <c r="FR546" i="1"/>
  <c r="GL546" i="1"/>
  <c r="GN546" i="1"/>
  <c r="GO546" i="1"/>
  <c r="GV546" i="1"/>
  <c r="HC546" i="1" s="1"/>
  <c r="GX546" i="1"/>
  <c r="D548" i="1"/>
  <c r="P548" i="1"/>
  <c r="T548" i="1"/>
  <c r="AC548" i="1"/>
  <c r="CQ548" i="1" s="1"/>
  <c r="AD548" i="1"/>
  <c r="AE548" i="1"/>
  <c r="AF548" i="1"/>
  <c r="AG548" i="1"/>
  <c r="AH548" i="1"/>
  <c r="CV548" i="1" s="1"/>
  <c r="U548" i="1" s="1"/>
  <c r="AI548" i="1"/>
  <c r="CW548" i="1" s="1"/>
  <c r="V548" i="1" s="1"/>
  <c r="AJ548" i="1"/>
  <c r="CX548" i="1" s="1"/>
  <c r="W548" i="1" s="1"/>
  <c r="CU548" i="1"/>
  <c r="FR548" i="1"/>
  <c r="GL548" i="1"/>
  <c r="GN548" i="1"/>
  <c r="GO548" i="1"/>
  <c r="GV548" i="1"/>
  <c r="HC548" i="1"/>
  <c r="GX548" i="1" s="1"/>
  <c r="D549" i="1"/>
  <c r="I549" i="1"/>
  <c r="U549" i="1" s="1"/>
  <c r="K549" i="1"/>
  <c r="AC549" i="1"/>
  <c r="AE549" i="1"/>
  <c r="AF549" i="1"/>
  <c r="CT549" i="1" s="1"/>
  <c r="AG549" i="1"/>
  <c r="CU549" i="1" s="1"/>
  <c r="T549" i="1" s="1"/>
  <c r="AH549" i="1"/>
  <c r="CV549" i="1" s="1"/>
  <c r="AI549" i="1"/>
  <c r="CW549" i="1" s="1"/>
  <c r="AJ549" i="1"/>
  <c r="CX549" i="1" s="1"/>
  <c r="W549" i="1" s="1"/>
  <c r="CQ549" i="1"/>
  <c r="FR549" i="1"/>
  <c r="GL549" i="1"/>
  <c r="GN549" i="1"/>
  <c r="GO549" i="1"/>
  <c r="GV549" i="1"/>
  <c r="HC549" i="1" s="1"/>
  <c r="D551" i="1"/>
  <c r="I551" i="1"/>
  <c r="V551" i="1" s="1"/>
  <c r="K551" i="1"/>
  <c r="U551" i="1"/>
  <c r="AC551" i="1"/>
  <c r="AE551" i="1"/>
  <c r="AD551" i="1" s="1"/>
  <c r="AF551" i="1"/>
  <c r="CT551" i="1" s="1"/>
  <c r="AG551" i="1"/>
  <c r="CU551" i="1" s="1"/>
  <c r="T551" i="1" s="1"/>
  <c r="AH551" i="1"/>
  <c r="AI551" i="1"/>
  <c r="CW551" i="1" s="1"/>
  <c r="AJ551" i="1"/>
  <c r="CX551" i="1" s="1"/>
  <c r="W551" i="1" s="1"/>
  <c r="CR551" i="1"/>
  <c r="Q551" i="1" s="1"/>
  <c r="CS551" i="1"/>
  <c r="R551" i="1" s="1"/>
  <c r="GK551" i="1" s="1"/>
  <c r="CV551" i="1"/>
  <c r="FR551" i="1"/>
  <c r="GL551" i="1"/>
  <c r="GN551" i="1"/>
  <c r="GO551" i="1"/>
  <c r="GV551" i="1"/>
  <c r="HC551" i="1" s="1"/>
  <c r="GX551" i="1" s="1"/>
  <c r="D552" i="1"/>
  <c r="I552" i="1"/>
  <c r="K552" i="1"/>
  <c r="AC552" i="1"/>
  <c r="AE552" i="1"/>
  <c r="CR552" i="1" s="1"/>
  <c r="AF552" i="1"/>
  <c r="AG552" i="1"/>
  <c r="CU552" i="1" s="1"/>
  <c r="AH552" i="1"/>
  <c r="CV552" i="1" s="1"/>
  <c r="AI552" i="1"/>
  <c r="CW552" i="1" s="1"/>
  <c r="AJ552" i="1"/>
  <c r="CX552" i="1" s="1"/>
  <c r="CQ552" i="1"/>
  <c r="CS552" i="1"/>
  <c r="CT552" i="1"/>
  <c r="S552" i="1" s="1"/>
  <c r="FR552" i="1"/>
  <c r="GL552" i="1"/>
  <c r="GN552" i="1"/>
  <c r="GO552" i="1"/>
  <c r="GV552" i="1"/>
  <c r="HC552" i="1"/>
  <c r="D553" i="1"/>
  <c r="I553" i="1"/>
  <c r="K553" i="1"/>
  <c r="AC553" i="1"/>
  <c r="AE553" i="1"/>
  <c r="AF553" i="1"/>
  <c r="AG553" i="1"/>
  <c r="CU553" i="1" s="1"/>
  <c r="T553" i="1" s="1"/>
  <c r="AH553" i="1"/>
  <c r="CV553" i="1" s="1"/>
  <c r="U553" i="1" s="1"/>
  <c r="AI553" i="1"/>
  <c r="CW553" i="1" s="1"/>
  <c r="AJ553" i="1"/>
  <c r="CX553" i="1"/>
  <c r="FR553" i="1"/>
  <c r="GL553" i="1"/>
  <c r="GN553" i="1"/>
  <c r="GO553" i="1"/>
  <c r="GV553" i="1"/>
  <c r="HC553" i="1" s="1"/>
  <c r="D554" i="1"/>
  <c r="I554" i="1"/>
  <c r="K554" i="1"/>
  <c r="U554" i="1"/>
  <c r="AC554" i="1"/>
  <c r="AE554" i="1"/>
  <c r="AF554" i="1"/>
  <c r="AG554" i="1"/>
  <c r="CU554" i="1" s="1"/>
  <c r="AH554" i="1"/>
  <c r="CV554" i="1" s="1"/>
  <c r="AI554" i="1"/>
  <c r="CW554" i="1" s="1"/>
  <c r="V554" i="1" s="1"/>
  <c r="AJ554" i="1"/>
  <c r="CX554" i="1" s="1"/>
  <c r="FR554" i="1"/>
  <c r="GL554" i="1"/>
  <c r="GN554" i="1"/>
  <c r="GO554" i="1"/>
  <c r="GV554" i="1"/>
  <c r="HC554" i="1" s="1"/>
  <c r="GX554" i="1" s="1"/>
  <c r="D555" i="1"/>
  <c r="I555" i="1"/>
  <c r="K555" i="1"/>
  <c r="AC555" i="1"/>
  <c r="CQ555" i="1" s="1"/>
  <c r="AE555" i="1"/>
  <c r="AD555" i="1" s="1"/>
  <c r="AF555" i="1"/>
  <c r="AG555" i="1"/>
  <c r="CU555" i="1" s="1"/>
  <c r="AH555" i="1"/>
  <c r="AI555" i="1"/>
  <c r="AJ555" i="1"/>
  <c r="CT555" i="1"/>
  <c r="CV555" i="1"/>
  <c r="CW555" i="1"/>
  <c r="CX555" i="1"/>
  <c r="FR555" i="1"/>
  <c r="GL555" i="1"/>
  <c r="GN555" i="1"/>
  <c r="GO555" i="1"/>
  <c r="GV555" i="1"/>
  <c r="HC555" i="1" s="1"/>
  <c r="GX555" i="1" s="1"/>
  <c r="D556" i="1"/>
  <c r="I556" i="1"/>
  <c r="K556" i="1"/>
  <c r="W556" i="1"/>
  <c r="AC556" i="1"/>
  <c r="CQ556" i="1" s="1"/>
  <c r="P556" i="1" s="1"/>
  <c r="AE556" i="1"/>
  <c r="AF556" i="1"/>
  <c r="AG556" i="1"/>
  <c r="AH556" i="1"/>
  <c r="CV556" i="1" s="1"/>
  <c r="U556" i="1" s="1"/>
  <c r="AI556" i="1"/>
  <c r="AJ556" i="1"/>
  <c r="CS556" i="1"/>
  <c r="R556" i="1" s="1"/>
  <c r="GK556" i="1" s="1"/>
  <c r="CT556" i="1"/>
  <c r="CU556" i="1"/>
  <c r="CW556" i="1"/>
  <c r="V556" i="1" s="1"/>
  <c r="CX556" i="1"/>
  <c r="FR556" i="1"/>
  <c r="GL556" i="1"/>
  <c r="GN556" i="1"/>
  <c r="GO556" i="1"/>
  <c r="GV556" i="1"/>
  <c r="HC556" i="1"/>
  <c r="GX556" i="1" s="1"/>
  <c r="D557" i="1"/>
  <c r="I557" i="1"/>
  <c r="GX557" i="1" s="1"/>
  <c r="K557" i="1"/>
  <c r="AC557" i="1"/>
  <c r="AE557" i="1"/>
  <c r="AF557" i="1"/>
  <c r="CT557" i="1" s="1"/>
  <c r="AG557" i="1"/>
  <c r="CU557" i="1" s="1"/>
  <c r="AH557" i="1"/>
  <c r="CV557" i="1" s="1"/>
  <c r="AI557" i="1"/>
  <c r="CW557" i="1" s="1"/>
  <c r="AJ557" i="1"/>
  <c r="CX557" i="1" s="1"/>
  <c r="CQ557" i="1"/>
  <c r="FR557" i="1"/>
  <c r="GL557" i="1"/>
  <c r="GN557" i="1"/>
  <c r="GO557" i="1"/>
  <c r="GV557" i="1"/>
  <c r="HC557" i="1" s="1"/>
  <c r="D558" i="1"/>
  <c r="I558" i="1"/>
  <c r="K558" i="1"/>
  <c r="AC558" i="1"/>
  <c r="CQ558" i="1" s="1"/>
  <c r="P558" i="1" s="1"/>
  <c r="AE558" i="1"/>
  <c r="AD558" i="1" s="1"/>
  <c r="AF558" i="1"/>
  <c r="CT558" i="1" s="1"/>
  <c r="AG558" i="1"/>
  <c r="CU558" i="1" s="1"/>
  <c r="AH558" i="1"/>
  <c r="CV558" i="1" s="1"/>
  <c r="AI558" i="1"/>
  <c r="CW558" i="1" s="1"/>
  <c r="V558" i="1" s="1"/>
  <c r="AJ558" i="1"/>
  <c r="CX558" i="1" s="1"/>
  <c r="W558" i="1" s="1"/>
  <c r="FR558" i="1"/>
  <c r="GL558" i="1"/>
  <c r="GN558" i="1"/>
  <c r="GO558" i="1"/>
  <c r="GV558" i="1"/>
  <c r="HC558" i="1"/>
  <c r="GX558" i="1" s="1"/>
  <c r="D559" i="1"/>
  <c r="I559" i="1"/>
  <c r="K559" i="1"/>
  <c r="T559" i="1"/>
  <c r="AC559" i="1"/>
  <c r="AE559" i="1"/>
  <c r="AD559" i="1" s="1"/>
  <c r="AF559" i="1"/>
  <c r="AG559" i="1"/>
  <c r="CU559" i="1" s="1"/>
  <c r="AH559" i="1"/>
  <c r="CV559" i="1" s="1"/>
  <c r="AI559" i="1"/>
  <c r="AJ559" i="1"/>
  <c r="CR559" i="1"/>
  <c r="CS559" i="1"/>
  <c r="R559" i="1" s="1"/>
  <c r="GK559" i="1" s="1"/>
  <c r="CT559" i="1"/>
  <c r="S559" i="1" s="1"/>
  <c r="CW559" i="1"/>
  <c r="CX559" i="1"/>
  <c r="FR559" i="1"/>
  <c r="GL559" i="1"/>
  <c r="GN559" i="1"/>
  <c r="GO559" i="1"/>
  <c r="GV559" i="1"/>
  <c r="HC559" i="1" s="1"/>
  <c r="D560" i="1"/>
  <c r="I560" i="1"/>
  <c r="K560" i="1"/>
  <c r="AC560" i="1"/>
  <c r="CQ560" i="1" s="1"/>
  <c r="AE560" i="1"/>
  <c r="AF560" i="1"/>
  <c r="CT560" i="1" s="1"/>
  <c r="AG560" i="1"/>
  <c r="CU560" i="1" s="1"/>
  <c r="AH560" i="1"/>
  <c r="CV560" i="1" s="1"/>
  <c r="AI560" i="1"/>
  <c r="CW560" i="1" s="1"/>
  <c r="AJ560" i="1"/>
  <c r="CS560" i="1"/>
  <c r="CX560" i="1"/>
  <c r="FR560" i="1"/>
  <c r="GL560" i="1"/>
  <c r="GN560" i="1"/>
  <c r="GO560" i="1"/>
  <c r="GV560" i="1"/>
  <c r="HC560" i="1" s="1"/>
  <c r="D561" i="1"/>
  <c r="I561" i="1"/>
  <c r="K561" i="1"/>
  <c r="W561" i="1"/>
  <c r="AC561" i="1"/>
  <c r="CQ561" i="1" s="1"/>
  <c r="P561" i="1" s="1"/>
  <c r="AD561" i="1"/>
  <c r="AE561" i="1"/>
  <c r="CR561" i="1" s="1"/>
  <c r="AF561" i="1"/>
  <c r="AG561" i="1"/>
  <c r="CU561" i="1" s="1"/>
  <c r="T561" i="1" s="1"/>
  <c r="AH561" i="1"/>
  <c r="CV561" i="1" s="1"/>
  <c r="U561" i="1" s="1"/>
  <c r="AI561" i="1"/>
  <c r="CW561" i="1" s="1"/>
  <c r="V561" i="1" s="1"/>
  <c r="AJ561" i="1"/>
  <c r="CX561" i="1" s="1"/>
  <c r="CS561" i="1"/>
  <c r="R561" i="1" s="1"/>
  <c r="GK561" i="1" s="1"/>
  <c r="CT561" i="1"/>
  <c r="FR561" i="1"/>
  <c r="GL561" i="1"/>
  <c r="GN561" i="1"/>
  <c r="GO561" i="1"/>
  <c r="GV561" i="1"/>
  <c r="HC561" i="1" s="1"/>
  <c r="GX561" i="1" s="1"/>
  <c r="B563" i="1"/>
  <c r="B511" i="1" s="1"/>
  <c r="C563" i="1"/>
  <c r="C511" i="1" s="1"/>
  <c r="D563" i="1"/>
  <c r="D511" i="1" s="1"/>
  <c r="F563" i="1"/>
  <c r="F511" i="1" s="1"/>
  <c r="G563" i="1"/>
  <c r="BX563" i="1"/>
  <c r="CK563" i="1"/>
  <c r="CL563" i="1"/>
  <c r="CM563" i="1"/>
  <c r="CM511" i="1" s="1"/>
  <c r="D593" i="1"/>
  <c r="E595" i="1"/>
  <c r="Z595" i="1"/>
  <c r="AA595" i="1"/>
  <c r="AM595" i="1"/>
  <c r="AN595" i="1"/>
  <c r="BE595" i="1"/>
  <c r="BF595" i="1"/>
  <c r="BG595" i="1"/>
  <c r="BH595" i="1"/>
  <c r="BI595" i="1"/>
  <c r="BJ595" i="1"/>
  <c r="BK595" i="1"/>
  <c r="BL595" i="1"/>
  <c r="BM595" i="1"/>
  <c r="BN595" i="1"/>
  <c r="BO595" i="1"/>
  <c r="BP595" i="1"/>
  <c r="BQ595" i="1"/>
  <c r="BR595" i="1"/>
  <c r="BS595" i="1"/>
  <c r="BT595" i="1"/>
  <c r="BU595" i="1"/>
  <c r="BV595" i="1"/>
  <c r="BW595" i="1"/>
  <c r="CL595" i="1"/>
  <c r="CN595" i="1"/>
  <c r="CO595" i="1"/>
  <c r="CP595" i="1"/>
  <c r="CQ595" i="1"/>
  <c r="CR595" i="1"/>
  <c r="CS595" i="1"/>
  <c r="CT595" i="1"/>
  <c r="CU595" i="1"/>
  <c r="CV595" i="1"/>
  <c r="CW595" i="1"/>
  <c r="CX595" i="1"/>
  <c r="CY595" i="1"/>
  <c r="CZ595" i="1"/>
  <c r="DA595" i="1"/>
  <c r="DB595" i="1"/>
  <c r="DC595" i="1"/>
  <c r="DD595" i="1"/>
  <c r="DE595" i="1"/>
  <c r="DF595" i="1"/>
  <c r="DG595" i="1"/>
  <c r="DH595" i="1"/>
  <c r="DI595" i="1"/>
  <c r="DJ595" i="1"/>
  <c r="DK595" i="1"/>
  <c r="DL595" i="1"/>
  <c r="DM595" i="1"/>
  <c r="DN595" i="1"/>
  <c r="DO595" i="1"/>
  <c r="DP595" i="1"/>
  <c r="DQ595" i="1"/>
  <c r="DR595" i="1"/>
  <c r="DS595" i="1"/>
  <c r="DT595" i="1"/>
  <c r="DU595" i="1"/>
  <c r="DV595" i="1"/>
  <c r="DW595" i="1"/>
  <c r="DX595" i="1"/>
  <c r="DY595" i="1"/>
  <c r="DZ595" i="1"/>
  <c r="EA595" i="1"/>
  <c r="EB595" i="1"/>
  <c r="EC595" i="1"/>
  <c r="ED595" i="1"/>
  <c r="EE595" i="1"/>
  <c r="EF595" i="1"/>
  <c r="EG595" i="1"/>
  <c r="EH595" i="1"/>
  <c r="EI595" i="1"/>
  <c r="EJ595" i="1"/>
  <c r="EK595" i="1"/>
  <c r="EL595" i="1"/>
  <c r="EM595" i="1"/>
  <c r="EN595" i="1"/>
  <c r="EO595" i="1"/>
  <c r="EP595" i="1"/>
  <c r="EQ595" i="1"/>
  <c r="ER595" i="1"/>
  <c r="ES595" i="1"/>
  <c r="ET595" i="1"/>
  <c r="EU595" i="1"/>
  <c r="EV595" i="1"/>
  <c r="EW595" i="1"/>
  <c r="EX595" i="1"/>
  <c r="EY595" i="1"/>
  <c r="EZ595" i="1"/>
  <c r="FA595" i="1"/>
  <c r="FB595" i="1"/>
  <c r="FC595" i="1"/>
  <c r="FD595" i="1"/>
  <c r="FE595" i="1"/>
  <c r="FF595" i="1"/>
  <c r="FG595" i="1"/>
  <c r="FH595" i="1"/>
  <c r="FI595" i="1"/>
  <c r="FJ595" i="1"/>
  <c r="FK595" i="1"/>
  <c r="FL595" i="1"/>
  <c r="FM595" i="1"/>
  <c r="FN595" i="1"/>
  <c r="FO595" i="1"/>
  <c r="FP595" i="1"/>
  <c r="FQ595" i="1"/>
  <c r="FR595" i="1"/>
  <c r="FS595" i="1"/>
  <c r="FT595" i="1"/>
  <c r="FU595" i="1"/>
  <c r="FV595" i="1"/>
  <c r="FW595" i="1"/>
  <c r="FX595" i="1"/>
  <c r="FY595" i="1"/>
  <c r="FZ595" i="1"/>
  <c r="GA595" i="1"/>
  <c r="GB595" i="1"/>
  <c r="GC595" i="1"/>
  <c r="GD595" i="1"/>
  <c r="GE595" i="1"/>
  <c r="GF595" i="1"/>
  <c r="GG595" i="1"/>
  <c r="GH595" i="1"/>
  <c r="GI595" i="1"/>
  <c r="GJ595" i="1"/>
  <c r="GK595" i="1"/>
  <c r="GL595" i="1"/>
  <c r="GM595" i="1"/>
  <c r="GN595" i="1"/>
  <c r="GO595" i="1"/>
  <c r="GP595" i="1"/>
  <c r="GQ595" i="1"/>
  <c r="GR595" i="1"/>
  <c r="GS595" i="1"/>
  <c r="GT595" i="1"/>
  <c r="GU595" i="1"/>
  <c r="GV595" i="1"/>
  <c r="GW595" i="1"/>
  <c r="GX595" i="1"/>
  <c r="D597" i="1"/>
  <c r="AC597" i="1"/>
  <c r="AE597" i="1"/>
  <c r="AF597" i="1"/>
  <c r="CT597" i="1" s="1"/>
  <c r="S597" i="1" s="1"/>
  <c r="AG597" i="1"/>
  <c r="CU597" i="1" s="1"/>
  <c r="T597" i="1" s="1"/>
  <c r="AH597" i="1"/>
  <c r="AI597" i="1"/>
  <c r="CW597" i="1" s="1"/>
  <c r="V597" i="1" s="1"/>
  <c r="AJ597" i="1"/>
  <c r="CX597" i="1" s="1"/>
  <c r="W597" i="1" s="1"/>
  <c r="CQ597" i="1"/>
  <c r="P597" i="1" s="1"/>
  <c r="CV597" i="1"/>
  <c r="U597" i="1" s="1"/>
  <c r="FR597" i="1"/>
  <c r="GL597" i="1"/>
  <c r="GN597" i="1"/>
  <c r="GO597" i="1"/>
  <c r="GV597" i="1"/>
  <c r="HC597" i="1"/>
  <c r="GX597" i="1" s="1"/>
  <c r="D598" i="1"/>
  <c r="AC598" i="1"/>
  <c r="CQ598" i="1" s="1"/>
  <c r="P598" i="1" s="1"/>
  <c r="AE598" i="1"/>
  <c r="AF598" i="1"/>
  <c r="AG598" i="1"/>
  <c r="CU598" i="1" s="1"/>
  <c r="T598" i="1" s="1"/>
  <c r="AH598" i="1"/>
  <c r="CV598" i="1" s="1"/>
  <c r="U598" i="1" s="1"/>
  <c r="AI598" i="1"/>
  <c r="CW598" i="1" s="1"/>
  <c r="V598" i="1" s="1"/>
  <c r="AJ598" i="1"/>
  <c r="CT598" i="1"/>
  <c r="S598" i="1" s="1"/>
  <c r="CX598" i="1"/>
  <c r="W598" i="1" s="1"/>
  <c r="FR598" i="1"/>
  <c r="GL598" i="1"/>
  <c r="GN598" i="1"/>
  <c r="GO598" i="1"/>
  <c r="GV598" i="1"/>
  <c r="HC598" i="1" s="1"/>
  <c r="GX598" i="1" s="1"/>
  <c r="D599" i="1"/>
  <c r="S599" i="1"/>
  <c r="CY599" i="1" s="1"/>
  <c r="X599" i="1" s="1"/>
  <c r="AC599" i="1"/>
  <c r="CQ599" i="1" s="1"/>
  <c r="P599" i="1" s="1"/>
  <c r="AE599" i="1"/>
  <c r="AF599" i="1"/>
  <c r="AG599" i="1"/>
  <c r="AH599" i="1"/>
  <c r="CV599" i="1" s="1"/>
  <c r="U599" i="1" s="1"/>
  <c r="AI599" i="1"/>
  <c r="CW599" i="1" s="1"/>
  <c r="V599" i="1" s="1"/>
  <c r="AJ599" i="1"/>
  <c r="CX599" i="1" s="1"/>
  <c r="W599" i="1" s="1"/>
  <c r="CT599" i="1"/>
  <c r="CU599" i="1"/>
  <c r="T599" i="1" s="1"/>
  <c r="FR599" i="1"/>
  <c r="GL599" i="1"/>
  <c r="GN599" i="1"/>
  <c r="GO599" i="1"/>
  <c r="GV599" i="1"/>
  <c r="HC599" i="1" s="1"/>
  <c r="GX599" i="1" s="1"/>
  <c r="D600" i="1"/>
  <c r="I600" i="1"/>
  <c r="K600" i="1"/>
  <c r="AC600" i="1"/>
  <c r="CQ600" i="1" s="1"/>
  <c r="AE600" i="1"/>
  <c r="AF600" i="1"/>
  <c r="AG600" i="1"/>
  <c r="CU600" i="1" s="1"/>
  <c r="AH600" i="1"/>
  <c r="CV600" i="1" s="1"/>
  <c r="AI600" i="1"/>
  <c r="CW600" i="1" s="1"/>
  <c r="AJ600" i="1"/>
  <c r="CX600" i="1" s="1"/>
  <c r="CT600" i="1"/>
  <c r="FR600" i="1"/>
  <c r="GL600" i="1"/>
  <c r="GN600" i="1"/>
  <c r="GO600" i="1"/>
  <c r="GV600" i="1"/>
  <c r="HC600" i="1"/>
  <c r="D601" i="1"/>
  <c r="I601" i="1"/>
  <c r="K601" i="1"/>
  <c r="T601" i="1"/>
  <c r="AC601" i="1"/>
  <c r="CQ601" i="1" s="1"/>
  <c r="AE601" i="1"/>
  <c r="AF601" i="1"/>
  <c r="CT601" i="1" s="1"/>
  <c r="AG601" i="1"/>
  <c r="CU601" i="1" s="1"/>
  <c r="AH601" i="1"/>
  <c r="AI601" i="1"/>
  <c r="CW601" i="1" s="1"/>
  <c r="AJ601" i="1"/>
  <c r="CX601" i="1" s="1"/>
  <c r="CV601" i="1"/>
  <c r="FR601" i="1"/>
  <c r="GL601" i="1"/>
  <c r="GN601" i="1"/>
  <c r="GO601" i="1"/>
  <c r="GV601" i="1"/>
  <c r="HC601" i="1" s="1"/>
  <c r="GX601" i="1" s="1"/>
  <c r="D602" i="1"/>
  <c r="I602" i="1"/>
  <c r="K602" i="1"/>
  <c r="AC602" i="1"/>
  <c r="AE602" i="1"/>
  <c r="AF602" i="1"/>
  <c r="AG602" i="1"/>
  <c r="AH602" i="1"/>
  <c r="AI602" i="1"/>
  <c r="AJ602" i="1"/>
  <c r="CX602" i="1" s="1"/>
  <c r="W602" i="1" s="1"/>
  <c r="CU602" i="1"/>
  <c r="T602" i="1" s="1"/>
  <c r="CV602" i="1"/>
  <c r="CW602" i="1"/>
  <c r="V602" i="1" s="1"/>
  <c r="FR602" i="1"/>
  <c r="GL602" i="1"/>
  <c r="GN602" i="1"/>
  <c r="GO602" i="1"/>
  <c r="GV602" i="1"/>
  <c r="HC602" i="1"/>
  <c r="GX602" i="1" s="1"/>
  <c r="D603" i="1"/>
  <c r="AC603" i="1"/>
  <c r="AE603" i="1"/>
  <c r="AD603" i="1" s="1"/>
  <c r="AF603" i="1"/>
  <c r="AG603" i="1"/>
  <c r="CU603" i="1" s="1"/>
  <c r="T603" i="1" s="1"/>
  <c r="AH603" i="1"/>
  <c r="CV603" i="1" s="1"/>
  <c r="U603" i="1" s="1"/>
  <c r="AI603" i="1"/>
  <c r="AJ603" i="1"/>
  <c r="CX603" i="1" s="1"/>
  <c r="W603" i="1" s="1"/>
  <c r="CT603" i="1"/>
  <c r="S603" i="1" s="1"/>
  <c r="CW603" i="1"/>
  <c r="V603" i="1" s="1"/>
  <c r="FR603" i="1"/>
  <c r="GL603" i="1"/>
  <c r="GN603" i="1"/>
  <c r="GO603" i="1"/>
  <c r="GV603" i="1"/>
  <c r="HC603" i="1" s="1"/>
  <c r="GX603" i="1" s="1"/>
  <c r="D604" i="1"/>
  <c r="Q604" i="1"/>
  <c r="S604" i="1"/>
  <c r="W604" i="1"/>
  <c r="AC604" i="1"/>
  <c r="AE604" i="1"/>
  <c r="AF604" i="1"/>
  <c r="AG604" i="1"/>
  <c r="CU604" i="1" s="1"/>
  <c r="T604" i="1" s="1"/>
  <c r="AH604" i="1"/>
  <c r="CV604" i="1" s="1"/>
  <c r="U604" i="1" s="1"/>
  <c r="AI604" i="1"/>
  <c r="CW604" i="1" s="1"/>
  <c r="V604" i="1" s="1"/>
  <c r="AJ604" i="1"/>
  <c r="CX604" i="1" s="1"/>
  <c r="CR604" i="1"/>
  <c r="CS604" i="1"/>
  <c r="CT604" i="1"/>
  <c r="FR604" i="1"/>
  <c r="BY630" i="1" s="1"/>
  <c r="GL604" i="1"/>
  <c r="GN604" i="1"/>
  <c r="GO604" i="1"/>
  <c r="GV604" i="1"/>
  <c r="HC604" i="1" s="1"/>
  <c r="GX604" i="1"/>
  <c r="D605" i="1"/>
  <c r="AC605" i="1"/>
  <c r="CQ605" i="1" s="1"/>
  <c r="P605" i="1" s="1"/>
  <c r="AE605" i="1"/>
  <c r="CS605" i="1" s="1"/>
  <c r="R605" i="1" s="1"/>
  <c r="GK605" i="1" s="1"/>
  <c r="AF605" i="1"/>
  <c r="CT605" i="1" s="1"/>
  <c r="S605" i="1" s="1"/>
  <c r="CZ605" i="1" s="1"/>
  <c r="Y605" i="1" s="1"/>
  <c r="AG605" i="1"/>
  <c r="CU605" i="1" s="1"/>
  <c r="T605" i="1" s="1"/>
  <c r="AH605" i="1"/>
  <c r="CV605" i="1" s="1"/>
  <c r="U605" i="1" s="1"/>
  <c r="AI605" i="1"/>
  <c r="CW605" i="1" s="1"/>
  <c r="V605" i="1" s="1"/>
  <c r="AJ605" i="1"/>
  <c r="CX605" i="1"/>
  <c r="W605" i="1" s="1"/>
  <c r="FR605" i="1"/>
  <c r="GL605" i="1"/>
  <c r="GN605" i="1"/>
  <c r="GO605" i="1"/>
  <c r="GV605" i="1"/>
  <c r="HC605" i="1"/>
  <c r="GX605" i="1" s="1"/>
  <c r="D606" i="1"/>
  <c r="T606" i="1"/>
  <c r="X606" i="1"/>
  <c r="AC606" i="1"/>
  <c r="AE606" i="1"/>
  <c r="AF606" i="1"/>
  <c r="AG606" i="1"/>
  <c r="AH606" i="1"/>
  <c r="CV606" i="1" s="1"/>
  <c r="U606" i="1" s="1"/>
  <c r="AI606" i="1"/>
  <c r="CW606" i="1" s="1"/>
  <c r="V606" i="1" s="1"/>
  <c r="AJ606" i="1"/>
  <c r="CX606" i="1" s="1"/>
  <c r="W606" i="1" s="1"/>
  <c r="CQ606" i="1"/>
  <c r="P606" i="1" s="1"/>
  <c r="CT606" i="1"/>
  <c r="S606" i="1" s="1"/>
  <c r="CY606" i="1" s="1"/>
  <c r="CU606" i="1"/>
  <c r="FR606" i="1"/>
  <c r="GL606" i="1"/>
  <c r="GN606" i="1"/>
  <c r="GO606" i="1"/>
  <c r="GV606" i="1"/>
  <c r="HC606" i="1"/>
  <c r="GX606" i="1" s="1"/>
  <c r="D607" i="1"/>
  <c r="AC607" i="1"/>
  <c r="AE607" i="1"/>
  <c r="AF607" i="1"/>
  <c r="CT607" i="1" s="1"/>
  <c r="S607" i="1" s="1"/>
  <c r="AG607" i="1"/>
  <c r="CU607" i="1" s="1"/>
  <c r="T607" i="1" s="1"/>
  <c r="AH607" i="1"/>
  <c r="AI607" i="1"/>
  <c r="CW607" i="1" s="1"/>
  <c r="V607" i="1" s="1"/>
  <c r="AJ607" i="1"/>
  <c r="CV607" i="1"/>
  <c r="U607" i="1" s="1"/>
  <c r="CX607" i="1"/>
  <c r="W607" i="1" s="1"/>
  <c r="FR607" i="1"/>
  <c r="GL607" i="1"/>
  <c r="GN607" i="1"/>
  <c r="GO607" i="1"/>
  <c r="GV607" i="1"/>
  <c r="HC607" i="1" s="1"/>
  <c r="GX607" i="1" s="1"/>
  <c r="D608" i="1"/>
  <c r="S608" i="1"/>
  <c r="AC608" i="1"/>
  <c r="AE608" i="1"/>
  <c r="AF608" i="1"/>
  <c r="CT608" i="1" s="1"/>
  <c r="AG608" i="1"/>
  <c r="CU608" i="1" s="1"/>
  <c r="T608" i="1" s="1"/>
  <c r="AH608" i="1"/>
  <c r="CV608" i="1" s="1"/>
  <c r="U608" i="1" s="1"/>
  <c r="AI608" i="1"/>
  <c r="CW608" i="1" s="1"/>
  <c r="V608" i="1" s="1"/>
  <c r="AJ608" i="1"/>
  <c r="CX608" i="1" s="1"/>
  <c r="W608" i="1" s="1"/>
  <c r="CQ608" i="1"/>
  <c r="P608" i="1" s="1"/>
  <c r="CS608" i="1"/>
  <c r="R608" i="1" s="1"/>
  <c r="GK608" i="1" s="1"/>
  <c r="FR608" i="1"/>
  <c r="GL608" i="1"/>
  <c r="GN608" i="1"/>
  <c r="GO608" i="1"/>
  <c r="GV608" i="1"/>
  <c r="HC608" i="1"/>
  <c r="GX608" i="1" s="1"/>
  <c r="D609" i="1"/>
  <c r="AC609" i="1"/>
  <c r="CQ609" i="1" s="1"/>
  <c r="P609" i="1" s="1"/>
  <c r="AE609" i="1"/>
  <c r="AF609" i="1"/>
  <c r="AG609" i="1"/>
  <c r="CU609" i="1" s="1"/>
  <c r="T609" i="1" s="1"/>
  <c r="AH609" i="1"/>
  <c r="AI609" i="1"/>
  <c r="AJ609" i="1"/>
  <c r="CX609" i="1" s="1"/>
  <c r="W609" i="1" s="1"/>
  <c r="CV609" i="1"/>
  <c r="U609" i="1" s="1"/>
  <c r="CW609" i="1"/>
  <c r="V609" i="1" s="1"/>
  <c r="FR609" i="1"/>
  <c r="GL609" i="1"/>
  <c r="GN609" i="1"/>
  <c r="GO609" i="1"/>
  <c r="GV609" i="1"/>
  <c r="HC609" i="1" s="1"/>
  <c r="GX609" i="1" s="1"/>
  <c r="D610" i="1"/>
  <c r="I610" i="1"/>
  <c r="K610" i="1"/>
  <c r="S610" i="1"/>
  <c r="AC610" i="1"/>
  <c r="CQ610" i="1" s="1"/>
  <c r="AE610" i="1"/>
  <c r="CR610" i="1" s="1"/>
  <c r="Q610" i="1" s="1"/>
  <c r="AF610" i="1"/>
  <c r="CT610" i="1" s="1"/>
  <c r="AG610" i="1"/>
  <c r="CU610" i="1" s="1"/>
  <c r="AH610" i="1"/>
  <c r="CV610" i="1" s="1"/>
  <c r="U610" i="1" s="1"/>
  <c r="AI610" i="1"/>
  <c r="CW610" i="1" s="1"/>
  <c r="AJ610" i="1"/>
  <c r="CX610" i="1"/>
  <c r="W610" i="1" s="1"/>
  <c r="FR610" i="1"/>
  <c r="GL610" i="1"/>
  <c r="GN610" i="1"/>
  <c r="GO610" i="1"/>
  <c r="GV610" i="1"/>
  <c r="HC610" i="1" s="1"/>
  <c r="D611" i="1"/>
  <c r="AC611" i="1"/>
  <c r="AE611" i="1"/>
  <c r="AF611" i="1"/>
  <c r="AG611" i="1"/>
  <c r="AH611" i="1"/>
  <c r="CV611" i="1" s="1"/>
  <c r="U611" i="1" s="1"/>
  <c r="AI611" i="1"/>
  <c r="CW611" i="1" s="1"/>
  <c r="V611" i="1" s="1"/>
  <c r="AJ611" i="1"/>
  <c r="CU611" i="1"/>
  <c r="T611" i="1" s="1"/>
  <c r="CX611" i="1"/>
  <c r="W611" i="1" s="1"/>
  <c r="FR611" i="1"/>
  <c r="GL611" i="1"/>
  <c r="GN611" i="1"/>
  <c r="GO611" i="1"/>
  <c r="GV611" i="1"/>
  <c r="HC611" i="1"/>
  <c r="GX611" i="1" s="1"/>
  <c r="D612" i="1"/>
  <c r="AC612" i="1"/>
  <c r="AE612" i="1"/>
  <c r="AD612" i="1" s="1"/>
  <c r="AF612" i="1"/>
  <c r="AG612" i="1"/>
  <c r="CU612" i="1" s="1"/>
  <c r="T612" i="1" s="1"/>
  <c r="AH612" i="1"/>
  <c r="CV612" i="1" s="1"/>
  <c r="U612" i="1" s="1"/>
  <c r="AI612" i="1"/>
  <c r="CW612" i="1" s="1"/>
  <c r="V612" i="1" s="1"/>
  <c r="AJ612" i="1"/>
  <c r="CX612" i="1" s="1"/>
  <c r="W612" i="1" s="1"/>
  <c r="CR612" i="1"/>
  <c r="Q612" i="1" s="1"/>
  <c r="CT612" i="1"/>
  <c r="S612" i="1" s="1"/>
  <c r="FR612" i="1"/>
  <c r="GL612" i="1"/>
  <c r="GN612" i="1"/>
  <c r="GO612" i="1"/>
  <c r="GV612" i="1"/>
  <c r="HC612" i="1" s="1"/>
  <c r="GX612" i="1" s="1"/>
  <c r="D613" i="1"/>
  <c r="AC613" i="1"/>
  <c r="CQ613" i="1" s="1"/>
  <c r="P613" i="1" s="1"/>
  <c r="AD613" i="1"/>
  <c r="AB613" i="1" s="1"/>
  <c r="AE613" i="1"/>
  <c r="AF613" i="1"/>
  <c r="AG613" i="1"/>
  <c r="AH613" i="1"/>
  <c r="AI613" i="1"/>
  <c r="AJ613" i="1"/>
  <c r="CX613" i="1" s="1"/>
  <c r="W613" i="1" s="1"/>
  <c r="CR613" i="1"/>
  <c r="Q613" i="1" s="1"/>
  <c r="CU613" i="1"/>
  <c r="T613" i="1" s="1"/>
  <c r="CV613" i="1"/>
  <c r="U613" i="1" s="1"/>
  <c r="CW613" i="1"/>
  <c r="V613" i="1" s="1"/>
  <c r="FR613" i="1"/>
  <c r="GL613" i="1"/>
  <c r="GN613" i="1"/>
  <c r="GO613" i="1"/>
  <c r="GV613" i="1"/>
  <c r="HC613" i="1" s="1"/>
  <c r="GX613" i="1" s="1"/>
  <c r="D615" i="1"/>
  <c r="I615" i="1"/>
  <c r="T615" i="1" s="1"/>
  <c r="K615" i="1"/>
  <c r="AC615" i="1"/>
  <c r="AD615" i="1"/>
  <c r="AE615" i="1"/>
  <c r="CR615" i="1" s="1"/>
  <c r="AF615" i="1"/>
  <c r="CT615" i="1" s="1"/>
  <c r="AG615" i="1"/>
  <c r="CU615" i="1" s="1"/>
  <c r="AH615" i="1"/>
  <c r="AI615" i="1"/>
  <c r="CW615" i="1" s="1"/>
  <c r="AJ615" i="1"/>
  <c r="CX615" i="1" s="1"/>
  <c r="CQ615" i="1"/>
  <c r="P615" i="1" s="1"/>
  <c r="CV615" i="1"/>
  <c r="U615" i="1" s="1"/>
  <c r="FR615" i="1"/>
  <c r="GL615" i="1"/>
  <c r="GN615" i="1"/>
  <c r="GO615" i="1"/>
  <c r="GV615" i="1"/>
  <c r="HC615" i="1" s="1"/>
  <c r="GX615" i="1" s="1"/>
  <c r="D616" i="1"/>
  <c r="I616" i="1"/>
  <c r="K616" i="1"/>
  <c r="AC616" i="1"/>
  <c r="AE616" i="1"/>
  <c r="AF616" i="1"/>
  <c r="CT616" i="1" s="1"/>
  <c r="S616" i="1" s="1"/>
  <c r="AG616" i="1"/>
  <c r="AH616" i="1"/>
  <c r="AI616" i="1"/>
  <c r="AJ616" i="1"/>
  <c r="CQ616" i="1"/>
  <c r="CU616" i="1"/>
  <c r="CV616" i="1"/>
  <c r="U616" i="1" s="1"/>
  <c r="CW616" i="1"/>
  <c r="V616" i="1" s="1"/>
  <c r="CX616" i="1"/>
  <c r="W616" i="1" s="1"/>
  <c r="FR616" i="1"/>
  <c r="GL616" i="1"/>
  <c r="GN616" i="1"/>
  <c r="GO616" i="1"/>
  <c r="GV616" i="1"/>
  <c r="HC616" i="1"/>
  <c r="D617" i="1"/>
  <c r="I617" i="1"/>
  <c r="K617" i="1"/>
  <c r="AC617" i="1"/>
  <c r="CQ617" i="1" s="1"/>
  <c r="AE617" i="1"/>
  <c r="AD617" i="1" s="1"/>
  <c r="AF617" i="1"/>
  <c r="CT617" i="1" s="1"/>
  <c r="S617" i="1" s="1"/>
  <c r="AG617" i="1"/>
  <c r="CU617" i="1" s="1"/>
  <c r="T617" i="1" s="1"/>
  <c r="AH617" i="1"/>
  <c r="AI617" i="1"/>
  <c r="AJ617" i="1"/>
  <c r="CX617" i="1" s="1"/>
  <c r="CR617" i="1"/>
  <c r="Q617" i="1" s="1"/>
  <c r="CS617" i="1"/>
  <c r="R617" i="1" s="1"/>
  <c r="GK617" i="1" s="1"/>
  <c r="CV617" i="1"/>
  <c r="U617" i="1" s="1"/>
  <c r="CW617" i="1"/>
  <c r="V617" i="1" s="1"/>
  <c r="FR617" i="1"/>
  <c r="GL617" i="1"/>
  <c r="GN617" i="1"/>
  <c r="GO617" i="1"/>
  <c r="GV617" i="1"/>
  <c r="HC617" i="1" s="1"/>
  <c r="GX617" i="1" s="1"/>
  <c r="D618" i="1"/>
  <c r="I618" i="1"/>
  <c r="K618" i="1"/>
  <c r="AC618" i="1"/>
  <c r="AE618" i="1"/>
  <c r="CS618" i="1" s="1"/>
  <c r="R618" i="1" s="1"/>
  <c r="GK618" i="1" s="1"/>
  <c r="AF618" i="1"/>
  <c r="CT618" i="1" s="1"/>
  <c r="S618" i="1" s="1"/>
  <c r="AG618" i="1"/>
  <c r="CU618" i="1" s="1"/>
  <c r="T618" i="1" s="1"/>
  <c r="AH618" i="1"/>
  <c r="CV618" i="1" s="1"/>
  <c r="U618" i="1" s="1"/>
  <c r="AI618" i="1"/>
  <c r="CW618" i="1" s="1"/>
  <c r="V618" i="1" s="1"/>
  <c r="AJ618" i="1"/>
  <c r="CX618" i="1" s="1"/>
  <c r="W618" i="1" s="1"/>
  <c r="FR618" i="1"/>
  <c r="GL618" i="1"/>
  <c r="GN618" i="1"/>
  <c r="GO618" i="1"/>
  <c r="GV618" i="1"/>
  <c r="HC618" i="1" s="1"/>
  <c r="GX618" i="1"/>
  <c r="D619" i="1"/>
  <c r="I619" i="1"/>
  <c r="K619" i="1"/>
  <c r="U619" i="1"/>
  <c r="AC619" i="1"/>
  <c r="AE619" i="1"/>
  <c r="AD619" i="1" s="1"/>
  <c r="AF619" i="1"/>
  <c r="CT619" i="1" s="1"/>
  <c r="AG619" i="1"/>
  <c r="CU619" i="1" s="1"/>
  <c r="AH619" i="1"/>
  <c r="CV619" i="1" s="1"/>
  <c r="AI619" i="1"/>
  <c r="CW619" i="1" s="1"/>
  <c r="V619" i="1" s="1"/>
  <c r="AJ619" i="1"/>
  <c r="CX619" i="1" s="1"/>
  <c r="CQ619" i="1"/>
  <c r="P619" i="1" s="1"/>
  <c r="FR619" i="1"/>
  <c r="GL619" i="1"/>
  <c r="GN619" i="1"/>
  <c r="GO619" i="1"/>
  <c r="GV619" i="1"/>
  <c r="HC619" i="1" s="1"/>
  <c r="D620" i="1"/>
  <c r="I620" i="1"/>
  <c r="K620" i="1"/>
  <c r="AC620" i="1"/>
  <c r="AE620" i="1"/>
  <c r="AD620" i="1" s="1"/>
  <c r="AF620" i="1"/>
  <c r="CT620" i="1" s="1"/>
  <c r="AG620" i="1"/>
  <c r="AH620" i="1"/>
  <c r="AI620" i="1"/>
  <c r="AJ620" i="1"/>
  <c r="CX620" i="1" s="1"/>
  <c r="CR620" i="1"/>
  <c r="CS620" i="1"/>
  <c r="R620" i="1" s="1"/>
  <c r="GK620" i="1" s="1"/>
  <c r="CU620" i="1"/>
  <c r="CV620" i="1"/>
  <c r="U620" i="1" s="1"/>
  <c r="CW620" i="1"/>
  <c r="V620" i="1" s="1"/>
  <c r="FR620" i="1"/>
  <c r="GL620" i="1"/>
  <c r="GN620" i="1"/>
  <c r="GO620" i="1"/>
  <c r="GV620" i="1"/>
  <c r="HC620" i="1" s="1"/>
  <c r="D621" i="1"/>
  <c r="I621" i="1"/>
  <c r="V621" i="1" s="1"/>
  <c r="K621" i="1"/>
  <c r="AC621" i="1"/>
  <c r="CQ621" i="1" s="1"/>
  <c r="AE621" i="1"/>
  <c r="AD621" i="1" s="1"/>
  <c r="AF621" i="1"/>
  <c r="AG621" i="1"/>
  <c r="AH621" i="1"/>
  <c r="AI621" i="1"/>
  <c r="AJ621" i="1"/>
  <c r="CX621" i="1" s="1"/>
  <c r="CR621" i="1"/>
  <c r="CS621" i="1"/>
  <c r="CT621" i="1"/>
  <c r="CU621" i="1"/>
  <c r="CV621" i="1"/>
  <c r="CW621" i="1"/>
  <c r="FR621" i="1"/>
  <c r="GL621" i="1"/>
  <c r="GN621" i="1"/>
  <c r="GO621" i="1"/>
  <c r="GV621" i="1"/>
  <c r="HC621" i="1"/>
  <c r="GX621" i="1" s="1"/>
  <c r="D622" i="1"/>
  <c r="I622" i="1"/>
  <c r="K622" i="1"/>
  <c r="AC622" i="1"/>
  <c r="CQ622" i="1" s="1"/>
  <c r="AE622" i="1"/>
  <c r="AF622" i="1"/>
  <c r="CT622" i="1" s="1"/>
  <c r="AG622" i="1"/>
  <c r="CU622" i="1" s="1"/>
  <c r="AH622" i="1"/>
  <c r="CV622" i="1" s="1"/>
  <c r="AI622" i="1"/>
  <c r="CW622" i="1" s="1"/>
  <c r="AJ622" i="1"/>
  <c r="CX622" i="1" s="1"/>
  <c r="FR622" i="1"/>
  <c r="GL622" i="1"/>
  <c r="GN622" i="1"/>
  <c r="GO622" i="1"/>
  <c r="GV622" i="1"/>
  <c r="HC622" i="1" s="1"/>
  <c r="GX622" i="1"/>
  <c r="D623" i="1"/>
  <c r="I623" i="1"/>
  <c r="K623" i="1"/>
  <c r="AC623" i="1"/>
  <c r="AE623" i="1"/>
  <c r="AF623" i="1"/>
  <c r="CT623" i="1" s="1"/>
  <c r="S623" i="1" s="1"/>
  <c r="AG623" i="1"/>
  <c r="CU623" i="1" s="1"/>
  <c r="AH623" i="1"/>
  <c r="CV623" i="1" s="1"/>
  <c r="AI623" i="1"/>
  <c r="AJ623" i="1"/>
  <c r="CX623" i="1" s="1"/>
  <c r="CQ623" i="1"/>
  <c r="P623" i="1" s="1"/>
  <c r="CW623" i="1"/>
  <c r="FR623" i="1"/>
  <c r="GL623" i="1"/>
  <c r="GN623" i="1"/>
  <c r="GO623" i="1"/>
  <c r="GV623" i="1"/>
  <c r="HC623" i="1" s="1"/>
  <c r="D624" i="1"/>
  <c r="I624" i="1"/>
  <c r="K624" i="1"/>
  <c r="AC624" i="1"/>
  <c r="AE624" i="1"/>
  <c r="CR624" i="1" s="1"/>
  <c r="AF624" i="1"/>
  <c r="AG624" i="1"/>
  <c r="CU624" i="1" s="1"/>
  <c r="T624" i="1" s="1"/>
  <c r="AH624" i="1"/>
  <c r="AI624" i="1"/>
  <c r="CW624" i="1" s="1"/>
  <c r="AJ624" i="1"/>
  <c r="CQ624" i="1"/>
  <c r="CT624" i="1"/>
  <c r="CV624" i="1"/>
  <c r="U624" i="1" s="1"/>
  <c r="CX624" i="1"/>
  <c r="FR624" i="1"/>
  <c r="GL624" i="1"/>
  <c r="GN624" i="1"/>
  <c r="GO624" i="1"/>
  <c r="GV624" i="1"/>
  <c r="HC624" i="1" s="1"/>
  <c r="D626" i="1"/>
  <c r="I626" i="1"/>
  <c r="K626" i="1"/>
  <c r="AC626" i="1"/>
  <c r="CQ626" i="1" s="1"/>
  <c r="AE626" i="1"/>
  <c r="AF626" i="1"/>
  <c r="CT626" i="1" s="1"/>
  <c r="AG626" i="1"/>
  <c r="CU626" i="1" s="1"/>
  <c r="T626" i="1" s="1"/>
  <c r="AH626" i="1"/>
  <c r="AI626" i="1"/>
  <c r="AJ626" i="1"/>
  <c r="CX626" i="1" s="1"/>
  <c r="CV626" i="1"/>
  <c r="CW626" i="1"/>
  <c r="FR626" i="1"/>
  <c r="GL626" i="1"/>
  <c r="GN626" i="1"/>
  <c r="GO626" i="1"/>
  <c r="GV626" i="1"/>
  <c r="HC626" i="1"/>
  <c r="GX626" i="1" s="1"/>
  <c r="D627" i="1"/>
  <c r="I627" i="1"/>
  <c r="K627" i="1"/>
  <c r="AC627" i="1"/>
  <c r="AE627" i="1"/>
  <c r="CR627" i="1" s="1"/>
  <c r="Q627" i="1" s="1"/>
  <c r="AF627" i="1"/>
  <c r="CT627" i="1" s="1"/>
  <c r="S627" i="1" s="1"/>
  <c r="AG627" i="1"/>
  <c r="CU627" i="1" s="1"/>
  <c r="T627" i="1" s="1"/>
  <c r="AH627" i="1"/>
  <c r="CV627" i="1" s="1"/>
  <c r="AI627" i="1"/>
  <c r="CW627" i="1" s="1"/>
  <c r="AJ627" i="1"/>
  <c r="CX627" i="1" s="1"/>
  <c r="W627" i="1" s="1"/>
  <c r="FR627" i="1"/>
  <c r="GL627" i="1"/>
  <c r="GN627" i="1"/>
  <c r="GO627" i="1"/>
  <c r="GV627" i="1"/>
  <c r="HC627" i="1" s="1"/>
  <c r="GX627" i="1" s="1"/>
  <c r="D628" i="1"/>
  <c r="I628" i="1"/>
  <c r="K628" i="1"/>
  <c r="AC628" i="1"/>
  <c r="CQ628" i="1" s="1"/>
  <c r="AE628" i="1"/>
  <c r="AF628" i="1"/>
  <c r="CT628" i="1" s="1"/>
  <c r="AG628" i="1"/>
  <c r="CU628" i="1" s="1"/>
  <c r="T628" i="1" s="1"/>
  <c r="AH628" i="1"/>
  <c r="AI628" i="1"/>
  <c r="CW628" i="1" s="1"/>
  <c r="AJ628" i="1"/>
  <c r="CX628" i="1" s="1"/>
  <c r="CV628" i="1"/>
  <c r="FR628" i="1"/>
  <c r="GL628" i="1"/>
  <c r="GN628" i="1"/>
  <c r="GO628" i="1"/>
  <c r="GV628" i="1"/>
  <c r="HC628" i="1"/>
  <c r="B630" i="1"/>
  <c r="B595" i="1" s="1"/>
  <c r="C630" i="1"/>
  <c r="C595" i="1" s="1"/>
  <c r="D630" i="1"/>
  <c r="D595" i="1" s="1"/>
  <c r="F630" i="1"/>
  <c r="F595" i="1" s="1"/>
  <c r="G630" i="1"/>
  <c r="BC630" i="1"/>
  <c r="BX630" i="1"/>
  <c r="AO630" i="1" s="1"/>
  <c r="CK630" i="1"/>
  <c r="CL630" i="1"/>
  <c r="CM630" i="1"/>
  <c r="D660" i="1"/>
  <c r="E662" i="1"/>
  <c r="Z662" i="1"/>
  <c r="AA662" i="1"/>
  <c r="AM662" i="1"/>
  <c r="AN662" i="1"/>
  <c r="AP662" i="1"/>
  <c r="AS662" i="1"/>
  <c r="BE662" i="1"/>
  <c r="BF662" i="1"/>
  <c r="BG662" i="1"/>
  <c r="BH662" i="1"/>
  <c r="BI662" i="1"/>
  <c r="BJ662" i="1"/>
  <c r="BK662" i="1"/>
  <c r="BL662" i="1"/>
  <c r="BM662" i="1"/>
  <c r="BN662" i="1"/>
  <c r="BO662" i="1"/>
  <c r="BP662" i="1"/>
  <c r="BQ662" i="1"/>
  <c r="BR662" i="1"/>
  <c r="BS662" i="1"/>
  <c r="BT662" i="1"/>
  <c r="BU662" i="1"/>
  <c r="BV662" i="1"/>
  <c r="BW662" i="1"/>
  <c r="BY662" i="1"/>
  <c r="CM662" i="1"/>
  <c r="CN662" i="1"/>
  <c r="CO662" i="1"/>
  <c r="CP662" i="1"/>
  <c r="CQ662" i="1"/>
  <c r="CR662" i="1"/>
  <c r="CS662" i="1"/>
  <c r="CT662" i="1"/>
  <c r="CU662" i="1"/>
  <c r="CV662" i="1"/>
  <c r="CW662" i="1"/>
  <c r="CX662" i="1"/>
  <c r="CY662" i="1"/>
  <c r="CZ662" i="1"/>
  <c r="DA662" i="1"/>
  <c r="DB662" i="1"/>
  <c r="DC662" i="1"/>
  <c r="DD662" i="1"/>
  <c r="DE662" i="1"/>
  <c r="DF662" i="1"/>
  <c r="DG662" i="1"/>
  <c r="DH662" i="1"/>
  <c r="DI662" i="1"/>
  <c r="DJ662" i="1"/>
  <c r="DK662" i="1"/>
  <c r="DL662" i="1"/>
  <c r="DM662" i="1"/>
  <c r="DN662" i="1"/>
  <c r="DO662" i="1"/>
  <c r="DP662" i="1"/>
  <c r="DQ662" i="1"/>
  <c r="DR662" i="1"/>
  <c r="DS662" i="1"/>
  <c r="DT662" i="1"/>
  <c r="DU662" i="1"/>
  <c r="DV662" i="1"/>
  <c r="DW662" i="1"/>
  <c r="DX662" i="1"/>
  <c r="DY662" i="1"/>
  <c r="DZ662" i="1"/>
  <c r="EA662" i="1"/>
  <c r="EB662" i="1"/>
  <c r="EC662" i="1"/>
  <c r="ED662" i="1"/>
  <c r="EE662" i="1"/>
  <c r="EF662" i="1"/>
  <c r="EG662" i="1"/>
  <c r="EH662" i="1"/>
  <c r="EI662" i="1"/>
  <c r="EJ662" i="1"/>
  <c r="EK662" i="1"/>
  <c r="EL662" i="1"/>
  <c r="EM662" i="1"/>
  <c r="EN662" i="1"/>
  <c r="EO662" i="1"/>
  <c r="EP662" i="1"/>
  <c r="EQ662" i="1"/>
  <c r="ER662" i="1"/>
  <c r="ES662" i="1"/>
  <c r="ET662" i="1"/>
  <c r="EU662" i="1"/>
  <c r="EV662" i="1"/>
  <c r="EW662" i="1"/>
  <c r="EX662" i="1"/>
  <c r="EY662" i="1"/>
  <c r="EZ662" i="1"/>
  <c r="FA662" i="1"/>
  <c r="FB662" i="1"/>
  <c r="FC662" i="1"/>
  <c r="FD662" i="1"/>
  <c r="FE662" i="1"/>
  <c r="FF662" i="1"/>
  <c r="FG662" i="1"/>
  <c r="FH662" i="1"/>
  <c r="FI662" i="1"/>
  <c r="FJ662" i="1"/>
  <c r="FK662" i="1"/>
  <c r="FL662" i="1"/>
  <c r="FM662" i="1"/>
  <c r="FN662" i="1"/>
  <c r="FO662" i="1"/>
  <c r="FP662" i="1"/>
  <c r="FQ662" i="1"/>
  <c r="FR662" i="1"/>
  <c r="FS662" i="1"/>
  <c r="FT662" i="1"/>
  <c r="FU662" i="1"/>
  <c r="FV662" i="1"/>
  <c r="FW662" i="1"/>
  <c r="FX662" i="1"/>
  <c r="FY662" i="1"/>
  <c r="FZ662" i="1"/>
  <c r="GA662" i="1"/>
  <c r="GB662" i="1"/>
  <c r="GC662" i="1"/>
  <c r="GD662" i="1"/>
  <c r="GE662" i="1"/>
  <c r="GF662" i="1"/>
  <c r="GG662" i="1"/>
  <c r="GH662" i="1"/>
  <c r="GI662" i="1"/>
  <c r="GJ662" i="1"/>
  <c r="GK662" i="1"/>
  <c r="GL662" i="1"/>
  <c r="GM662" i="1"/>
  <c r="GN662" i="1"/>
  <c r="GO662" i="1"/>
  <c r="GP662" i="1"/>
  <c r="GQ662" i="1"/>
  <c r="GR662" i="1"/>
  <c r="GS662" i="1"/>
  <c r="GT662" i="1"/>
  <c r="GU662" i="1"/>
  <c r="GV662" i="1"/>
  <c r="GW662" i="1"/>
  <c r="GX662" i="1"/>
  <c r="D664" i="1"/>
  <c r="I664" i="1"/>
  <c r="K664" i="1"/>
  <c r="U664" i="1"/>
  <c r="AC664" i="1"/>
  <c r="AD664" i="1"/>
  <c r="AE664" i="1"/>
  <c r="AF664" i="1"/>
  <c r="AG664" i="1"/>
  <c r="AH664" i="1"/>
  <c r="CV664" i="1" s="1"/>
  <c r="AI664" i="1"/>
  <c r="CW664" i="1" s="1"/>
  <c r="AJ664" i="1"/>
  <c r="CQ664" i="1"/>
  <c r="CR664" i="1"/>
  <c r="CS664" i="1"/>
  <c r="CU664" i="1"/>
  <c r="CX664" i="1"/>
  <c r="FR664" i="1"/>
  <c r="BY666" i="1" s="1"/>
  <c r="AP666" i="1" s="1"/>
  <c r="F675" i="1" s="1"/>
  <c r="GL664" i="1"/>
  <c r="GN664" i="1"/>
  <c r="GO664" i="1"/>
  <c r="CC666" i="1" s="1"/>
  <c r="GV664" i="1"/>
  <c r="HC664" i="1" s="1"/>
  <c r="GX664" i="1" s="1"/>
  <c r="CJ666" i="1" s="1"/>
  <c r="B666" i="1"/>
  <c r="B662" i="1" s="1"/>
  <c r="C666" i="1"/>
  <c r="C662" i="1" s="1"/>
  <c r="D666" i="1"/>
  <c r="D662" i="1" s="1"/>
  <c r="F666" i="1"/>
  <c r="F662" i="1" s="1"/>
  <c r="G666" i="1"/>
  <c r="BX666" i="1"/>
  <c r="BZ666" i="1"/>
  <c r="CB666" i="1"/>
  <c r="AS666" i="1" s="1"/>
  <c r="F683" i="1" s="1"/>
  <c r="CK666" i="1"/>
  <c r="CL666" i="1"/>
  <c r="CM666" i="1"/>
  <c r="BD666" i="1" s="1"/>
  <c r="B696" i="1"/>
  <c r="B507" i="1" s="1"/>
  <c r="C696" i="1"/>
  <c r="C507" i="1" s="1"/>
  <c r="D696" i="1"/>
  <c r="D507" i="1" s="1"/>
  <c r="F696" i="1"/>
  <c r="F507" i="1" s="1"/>
  <c r="G696" i="1"/>
  <c r="D726" i="1"/>
  <c r="E728" i="1"/>
  <c r="Z728" i="1"/>
  <c r="AA728" i="1"/>
  <c r="AB728" i="1"/>
  <c r="AC728" i="1"/>
  <c r="AD728" i="1"/>
  <c r="AE728" i="1"/>
  <c r="AF728" i="1"/>
  <c r="AG728" i="1"/>
  <c r="AH728" i="1"/>
  <c r="AI728" i="1"/>
  <c r="AJ728" i="1"/>
  <c r="AK728" i="1"/>
  <c r="AL728" i="1"/>
  <c r="AM728" i="1"/>
  <c r="AN728" i="1"/>
  <c r="BE728" i="1"/>
  <c r="BF728" i="1"/>
  <c r="BG728" i="1"/>
  <c r="BH728" i="1"/>
  <c r="BI728" i="1"/>
  <c r="BJ728" i="1"/>
  <c r="BK728" i="1"/>
  <c r="BL728" i="1"/>
  <c r="BM728" i="1"/>
  <c r="BN728" i="1"/>
  <c r="BO728" i="1"/>
  <c r="BP728" i="1"/>
  <c r="BQ728" i="1"/>
  <c r="BR728" i="1"/>
  <c r="BS728" i="1"/>
  <c r="BT728" i="1"/>
  <c r="BU728" i="1"/>
  <c r="BV728" i="1"/>
  <c r="BW728" i="1"/>
  <c r="BX728" i="1"/>
  <c r="BY728" i="1"/>
  <c r="BZ728" i="1"/>
  <c r="CA728" i="1"/>
  <c r="CB728" i="1"/>
  <c r="CC728" i="1"/>
  <c r="CD728" i="1"/>
  <c r="CE728" i="1"/>
  <c r="CF728" i="1"/>
  <c r="CG728" i="1"/>
  <c r="CH728" i="1"/>
  <c r="CI728" i="1"/>
  <c r="CJ728" i="1"/>
  <c r="CK728" i="1"/>
  <c r="CL728" i="1"/>
  <c r="CM728" i="1"/>
  <c r="CN728" i="1"/>
  <c r="CO728" i="1"/>
  <c r="CP728" i="1"/>
  <c r="CQ728" i="1"/>
  <c r="CR728" i="1"/>
  <c r="CS728" i="1"/>
  <c r="CT728" i="1"/>
  <c r="CU728" i="1"/>
  <c r="CV728" i="1"/>
  <c r="CW728" i="1"/>
  <c r="CX728" i="1"/>
  <c r="CY728" i="1"/>
  <c r="CZ728" i="1"/>
  <c r="DA728" i="1"/>
  <c r="DB728" i="1"/>
  <c r="DC728" i="1"/>
  <c r="DD728" i="1"/>
  <c r="DE728" i="1"/>
  <c r="DF728" i="1"/>
  <c r="DG728" i="1"/>
  <c r="DH728" i="1"/>
  <c r="DI728" i="1"/>
  <c r="DJ728" i="1"/>
  <c r="DK728" i="1"/>
  <c r="DL728" i="1"/>
  <c r="DM728" i="1"/>
  <c r="DN728" i="1"/>
  <c r="DO728" i="1"/>
  <c r="DP728" i="1"/>
  <c r="DQ728" i="1"/>
  <c r="DR728" i="1"/>
  <c r="DS728" i="1"/>
  <c r="DT728" i="1"/>
  <c r="DU728" i="1"/>
  <c r="DV728" i="1"/>
  <c r="DW728" i="1"/>
  <c r="DX728" i="1"/>
  <c r="DY728" i="1"/>
  <c r="DZ728" i="1"/>
  <c r="EA728" i="1"/>
  <c r="EB728" i="1"/>
  <c r="EC728" i="1"/>
  <c r="ED728" i="1"/>
  <c r="EE728" i="1"/>
  <c r="EF728" i="1"/>
  <c r="EG728" i="1"/>
  <c r="EH728" i="1"/>
  <c r="EI728" i="1"/>
  <c r="EJ728" i="1"/>
  <c r="EK728" i="1"/>
  <c r="EL728" i="1"/>
  <c r="EM728" i="1"/>
  <c r="EN728" i="1"/>
  <c r="EO728" i="1"/>
  <c r="EP728" i="1"/>
  <c r="EQ728" i="1"/>
  <c r="ER728" i="1"/>
  <c r="ES728" i="1"/>
  <c r="ET728" i="1"/>
  <c r="EU728" i="1"/>
  <c r="EV728" i="1"/>
  <c r="EW728" i="1"/>
  <c r="EX728" i="1"/>
  <c r="EY728" i="1"/>
  <c r="EZ728" i="1"/>
  <c r="FA728" i="1"/>
  <c r="FB728" i="1"/>
  <c r="FC728" i="1"/>
  <c r="FD728" i="1"/>
  <c r="FE728" i="1"/>
  <c r="FF728" i="1"/>
  <c r="FG728" i="1"/>
  <c r="FH728" i="1"/>
  <c r="FI728" i="1"/>
  <c r="FJ728" i="1"/>
  <c r="FK728" i="1"/>
  <c r="FL728" i="1"/>
  <c r="FM728" i="1"/>
  <c r="FN728" i="1"/>
  <c r="FO728" i="1"/>
  <c r="FP728" i="1"/>
  <c r="FQ728" i="1"/>
  <c r="FR728" i="1"/>
  <c r="FS728" i="1"/>
  <c r="FT728" i="1"/>
  <c r="FU728" i="1"/>
  <c r="FV728" i="1"/>
  <c r="FW728" i="1"/>
  <c r="FX728" i="1"/>
  <c r="FY728" i="1"/>
  <c r="FZ728" i="1"/>
  <c r="GA728" i="1"/>
  <c r="GB728" i="1"/>
  <c r="GC728" i="1"/>
  <c r="GD728" i="1"/>
  <c r="GE728" i="1"/>
  <c r="GF728" i="1"/>
  <c r="GG728" i="1"/>
  <c r="GH728" i="1"/>
  <c r="GI728" i="1"/>
  <c r="GJ728" i="1"/>
  <c r="GK728" i="1"/>
  <c r="GL728" i="1"/>
  <c r="GM728" i="1"/>
  <c r="GN728" i="1"/>
  <c r="GO728" i="1"/>
  <c r="GP728" i="1"/>
  <c r="GQ728" i="1"/>
  <c r="GR728" i="1"/>
  <c r="GS728" i="1"/>
  <c r="GT728" i="1"/>
  <c r="GU728" i="1"/>
  <c r="GV728" i="1"/>
  <c r="GW728" i="1"/>
  <c r="GX728" i="1"/>
  <c r="D730" i="1"/>
  <c r="E732" i="1"/>
  <c r="Z732" i="1"/>
  <c r="AA732" i="1"/>
  <c r="AM732" i="1"/>
  <c r="AN732" i="1"/>
  <c r="BE732" i="1"/>
  <c r="BF732" i="1"/>
  <c r="BG732" i="1"/>
  <c r="BH732" i="1"/>
  <c r="BI732" i="1"/>
  <c r="BJ732" i="1"/>
  <c r="BK732" i="1"/>
  <c r="BL732" i="1"/>
  <c r="BM732" i="1"/>
  <c r="BN732" i="1"/>
  <c r="BO732" i="1"/>
  <c r="BP732" i="1"/>
  <c r="BQ732" i="1"/>
  <c r="BR732" i="1"/>
  <c r="BS732" i="1"/>
  <c r="BT732" i="1"/>
  <c r="BU732" i="1"/>
  <c r="BV732" i="1"/>
  <c r="BW732" i="1"/>
  <c r="CN732" i="1"/>
  <c r="CO732" i="1"/>
  <c r="CP732" i="1"/>
  <c r="CQ732" i="1"/>
  <c r="CR732" i="1"/>
  <c r="CS732" i="1"/>
  <c r="CT732" i="1"/>
  <c r="CU732" i="1"/>
  <c r="CV732" i="1"/>
  <c r="CW732" i="1"/>
  <c r="CX732" i="1"/>
  <c r="CY732" i="1"/>
  <c r="CZ732" i="1"/>
  <c r="DA732" i="1"/>
  <c r="DB732" i="1"/>
  <c r="DC732" i="1"/>
  <c r="DD732" i="1"/>
  <c r="DE732" i="1"/>
  <c r="DF732" i="1"/>
  <c r="DG732" i="1"/>
  <c r="DH732" i="1"/>
  <c r="DI732" i="1"/>
  <c r="DJ732" i="1"/>
  <c r="DK732" i="1"/>
  <c r="DL732" i="1"/>
  <c r="DM732" i="1"/>
  <c r="DN732" i="1"/>
  <c r="DO732" i="1"/>
  <c r="DP732" i="1"/>
  <c r="DQ732" i="1"/>
  <c r="DR732" i="1"/>
  <c r="DS732" i="1"/>
  <c r="DT732" i="1"/>
  <c r="DU732" i="1"/>
  <c r="DV732" i="1"/>
  <c r="DW732" i="1"/>
  <c r="DX732" i="1"/>
  <c r="DY732" i="1"/>
  <c r="DZ732" i="1"/>
  <c r="EA732" i="1"/>
  <c r="EB732" i="1"/>
  <c r="EC732" i="1"/>
  <c r="ED732" i="1"/>
  <c r="EE732" i="1"/>
  <c r="EF732" i="1"/>
  <c r="EG732" i="1"/>
  <c r="EH732" i="1"/>
  <c r="EI732" i="1"/>
  <c r="EJ732" i="1"/>
  <c r="EK732" i="1"/>
  <c r="EL732" i="1"/>
  <c r="EM732" i="1"/>
  <c r="EN732" i="1"/>
  <c r="EO732" i="1"/>
  <c r="EP732" i="1"/>
  <c r="EQ732" i="1"/>
  <c r="ER732" i="1"/>
  <c r="ES732" i="1"/>
  <c r="ET732" i="1"/>
  <c r="EU732" i="1"/>
  <c r="EV732" i="1"/>
  <c r="EW732" i="1"/>
  <c r="EX732" i="1"/>
  <c r="EY732" i="1"/>
  <c r="EZ732" i="1"/>
  <c r="FA732" i="1"/>
  <c r="FB732" i="1"/>
  <c r="FC732" i="1"/>
  <c r="FD732" i="1"/>
  <c r="FE732" i="1"/>
  <c r="FF732" i="1"/>
  <c r="FG732" i="1"/>
  <c r="FH732" i="1"/>
  <c r="FI732" i="1"/>
  <c r="FJ732" i="1"/>
  <c r="FK732" i="1"/>
  <c r="FL732" i="1"/>
  <c r="FM732" i="1"/>
  <c r="FN732" i="1"/>
  <c r="FO732" i="1"/>
  <c r="FP732" i="1"/>
  <c r="FQ732" i="1"/>
  <c r="FR732" i="1"/>
  <c r="FS732" i="1"/>
  <c r="FT732" i="1"/>
  <c r="FU732" i="1"/>
  <c r="FV732" i="1"/>
  <c r="FW732" i="1"/>
  <c r="FX732" i="1"/>
  <c r="FY732" i="1"/>
  <c r="FZ732" i="1"/>
  <c r="GA732" i="1"/>
  <c r="GB732" i="1"/>
  <c r="GC732" i="1"/>
  <c r="GD732" i="1"/>
  <c r="GE732" i="1"/>
  <c r="GF732" i="1"/>
  <c r="GG732" i="1"/>
  <c r="GH732" i="1"/>
  <c r="GI732" i="1"/>
  <c r="GJ732" i="1"/>
  <c r="GK732" i="1"/>
  <c r="GL732" i="1"/>
  <c r="GM732" i="1"/>
  <c r="GN732" i="1"/>
  <c r="GO732" i="1"/>
  <c r="GP732" i="1"/>
  <c r="GQ732" i="1"/>
  <c r="GR732" i="1"/>
  <c r="GS732" i="1"/>
  <c r="GT732" i="1"/>
  <c r="GU732" i="1"/>
  <c r="GV732" i="1"/>
  <c r="GW732" i="1"/>
  <c r="GX732" i="1"/>
  <c r="D735" i="1"/>
  <c r="I735" i="1"/>
  <c r="K735" i="1"/>
  <c r="AC735" i="1"/>
  <c r="CQ735" i="1" s="1"/>
  <c r="P735" i="1" s="1"/>
  <c r="AE735" i="1"/>
  <c r="AF735" i="1"/>
  <c r="AG735" i="1"/>
  <c r="AH735" i="1"/>
  <c r="AI735" i="1"/>
  <c r="CW735" i="1" s="1"/>
  <c r="V735" i="1" s="1"/>
  <c r="AJ735" i="1"/>
  <c r="CX735" i="1" s="1"/>
  <c r="W735" i="1" s="1"/>
  <c r="CR735" i="1"/>
  <c r="Q735" i="1" s="1"/>
  <c r="CT735" i="1"/>
  <c r="CU735" i="1"/>
  <c r="CV735" i="1"/>
  <c r="U735" i="1" s="1"/>
  <c r="FR735" i="1"/>
  <c r="GL735" i="1"/>
  <c r="GN735" i="1"/>
  <c r="GO735" i="1"/>
  <c r="GV735" i="1"/>
  <c r="HC735" i="1" s="1"/>
  <c r="GX735" i="1" s="1"/>
  <c r="D736" i="1"/>
  <c r="I736" i="1"/>
  <c r="U736" i="1" s="1"/>
  <c r="K736" i="1"/>
  <c r="AC736" i="1"/>
  <c r="AE736" i="1"/>
  <c r="CS736" i="1" s="1"/>
  <c r="R736" i="1" s="1"/>
  <c r="GK736" i="1" s="1"/>
  <c r="AF736" i="1"/>
  <c r="CT736" i="1" s="1"/>
  <c r="AG736" i="1"/>
  <c r="CU736" i="1" s="1"/>
  <c r="AH736" i="1"/>
  <c r="CV736" i="1" s="1"/>
  <c r="AI736" i="1"/>
  <c r="CW736" i="1" s="1"/>
  <c r="AJ736" i="1"/>
  <c r="CQ736" i="1"/>
  <c r="P736" i="1" s="1"/>
  <c r="CX736" i="1"/>
  <c r="FR736" i="1"/>
  <c r="GL736" i="1"/>
  <c r="GN736" i="1"/>
  <c r="GO736" i="1"/>
  <c r="GV736" i="1"/>
  <c r="HC736" i="1" s="1"/>
  <c r="D737" i="1"/>
  <c r="I737" i="1"/>
  <c r="K737" i="1"/>
  <c r="S737" i="1"/>
  <c r="T737" i="1"/>
  <c r="AC737" i="1"/>
  <c r="AE737" i="1"/>
  <c r="AD737" i="1" s="1"/>
  <c r="AF737" i="1"/>
  <c r="AG737" i="1"/>
  <c r="AH737" i="1"/>
  <c r="CV737" i="1" s="1"/>
  <c r="U737" i="1" s="1"/>
  <c r="AI737" i="1"/>
  <c r="CW737" i="1" s="1"/>
  <c r="V737" i="1" s="1"/>
  <c r="AJ737" i="1"/>
  <c r="CX737" i="1" s="1"/>
  <c r="W737" i="1" s="1"/>
  <c r="CT737" i="1"/>
  <c r="CU737" i="1"/>
  <c r="FR737" i="1"/>
  <c r="GL737" i="1"/>
  <c r="GN737" i="1"/>
  <c r="GO737" i="1"/>
  <c r="GV737" i="1"/>
  <c r="HC737" i="1"/>
  <c r="GX737" i="1" s="1"/>
  <c r="D738" i="1"/>
  <c r="I738" i="1"/>
  <c r="V738" i="1" s="1"/>
  <c r="K738" i="1"/>
  <c r="AC738" i="1"/>
  <c r="AE738" i="1"/>
  <c r="AF738" i="1"/>
  <c r="CT738" i="1" s="1"/>
  <c r="AG738" i="1"/>
  <c r="CU738" i="1" s="1"/>
  <c r="AH738" i="1"/>
  <c r="CV738" i="1" s="1"/>
  <c r="AI738" i="1"/>
  <c r="CW738" i="1" s="1"/>
  <c r="AJ738" i="1"/>
  <c r="CX738" i="1" s="1"/>
  <c r="FR738" i="1"/>
  <c r="GL738" i="1"/>
  <c r="GN738" i="1"/>
  <c r="GO738" i="1"/>
  <c r="GV738" i="1"/>
  <c r="HC738" i="1" s="1"/>
  <c r="D739" i="1"/>
  <c r="I739" i="1"/>
  <c r="K739" i="1"/>
  <c r="U739" i="1"/>
  <c r="AC739" i="1"/>
  <c r="AE739" i="1"/>
  <c r="AF739" i="1"/>
  <c r="AG739" i="1"/>
  <c r="CU739" i="1" s="1"/>
  <c r="T739" i="1" s="1"/>
  <c r="AH739" i="1"/>
  <c r="CV739" i="1" s="1"/>
  <c r="AI739" i="1"/>
  <c r="CW739" i="1" s="1"/>
  <c r="AJ739" i="1"/>
  <c r="CX739" i="1" s="1"/>
  <c r="W739" i="1" s="1"/>
  <c r="FR739" i="1"/>
  <c r="GL739" i="1"/>
  <c r="GN739" i="1"/>
  <c r="GO739" i="1"/>
  <c r="GV739" i="1"/>
  <c r="HC739" i="1" s="1"/>
  <c r="GX739" i="1" s="1"/>
  <c r="D740" i="1"/>
  <c r="I740" i="1"/>
  <c r="K740" i="1"/>
  <c r="AC740" i="1"/>
  <c r="AE740" i="1"/>
  <c r="AF740" i="1"/>
  <c r="CT740" i="1" s="1"/>
  <c r="AG740" i="1"/>
  <c r="CU740" i="1" s="1"/>
  <c r="AH740" i="1"/>
  <c r="AI740" i="1"/>
  <c r="AJ740" i="1"/>
  <c r="CX740" i="1" s="1"/>
  <c r="CQ740" i="1"/>
  <c r="CV740" i="1"/>
  <c r="CW740" i="1"/>
  <c r="V740" i="1" s="1"/>
  <c r="FR740" i="1"/>
  <c r="GL740" i="1"/>
  <c r="GN740" i="1"/>
  <c r="GO740" i="1"/>
  <c r="GV740" i="1"/>
  <c r="HC740" i="1" s="1"/>
  <c r="D741" i="1"/>
  <c r="P741" i="1"/>
  <c r="AC741" i="1"/>
  <c r="CQ741" i="1" s="1"/>
  <c r="AE741" i="1"/>
  <c r="AF741" i="1"/>
  <c r="AG741" i="1"/>
  <c r="AH741" i="1"/>
  <c r="CV741" i="1" s="1"/>
  <c r="U741" i="1" s="1"/>
  <c r="AI741" i="1"/>
  <c r="CW741" i="1" s="1"/>
  <c r="V741" i="1" s="1"/>
  <c r="AJ741" i="1"/>
  <c r="CU741" i="1"/>
  <c r="T741" i="1" s="1"/>
  <c r="CX741" i="1"/>
  <c r="W741" i="1" s="1"/>
  <c r="FR741" i="1"/>
  <c r="GL741" i="1"/>
  <c r="GN741" i="1"/>
  <c r="GO741" i="1"/>
  <c r="GV741" i="1"/>
  <c r="HC741" i="1" s="1"/>
  <c r="GX741" i="1" s="1"/>
  <c r="D742" i="1"/>
  <c r="P742" i="1"/>
  <c r="Q742" i="1"/>
  <c r="AC742" i="1"/>
  <c r="CQ742" i="1" s="1"/>
  <c r="AE742" i="1"/>
  <c r="CR742" i="1" s="1"/>
  <c r="AF742" i="1"/>
  <c r="CT742" i="1" s="1"/>
  <c r="S742" i="1" s="1"/>
  <c r="AG742" i="1"/>
  <c r="CU742" i="1" s="1"/>
  <c r="T742" i="1" s="1"/>
  <c r="AH742" i="1"/>
  <c r="CV742" i="1" s="1"/>
  <c r="U742" i="1" s="1"/>
  <c r="AI742" i="1"/>
  <c r="CW742" i="1" s="1"/>
  <c r="V742" i="1" s="1"/>
  <c r="AJ742" i="1"/>
  <c r="CX742" i="1" s="1"/>
  <c r="W742" i="1" s="1"/>
  <c r="FR742" i="1"/>
  <c r="GL742" i="1"/>
  <c r="GN742" i="1"/>
  <c r="GO742" i="1"/>
  <c r="GV742" i="1"/>
  <c r="HC742" i="1" s="1"/>
  <c r="GX742" i="1" s="1"/>
  <c r="D743" i="1"/>
  <c r="AC743" i="1"/>
  <c r="AD743" i="1"/>
  <c r="AE743" i="1"/>
  <c r="AF743" i="1"/>
  <c r="AG743" i="1"/>
  <c r="CU743" i="1" s="1"/>
  <c r="T743" i="1" s="1"/>
  <c r="AH743" i="1"/>
  <c r="CV743" i="1" s="1"/>
  <c r="U743" i="1" s="1"/>
  <c r="AI743" i="1"/>
  <c r="CW743" i="1" s="1"/>
  <c r="V743" i="1" s="1"/>
  <c r="AJ743" i="1"/>
  <c r="CX743" i="1" s="1"/>
  <c r="W743" i="1" s="1"/>
  <c r="FR743" i="1"/>
  <c r="GL743" i="1"/>
  <c r="GN743" i="1"/>
  <c r="GO743" i="1"/>
  <c r="GV743" i="1"/>
  <c r="HC743" i="1" s="1"/>
  <c r="GX743" i="1" s="1"/>
  <c r="D744" i="1"/>
  <c r="X744" i="1"/>
  <c r="AC744" i="1"/>
  <c r="AE744" i="1"/>
  <c r="AF744" i="1"/>
  <c r="AG744" i="1"/>
  <c r="AH744" i="1"/>
  <c r="CV744" i="1" s="1"/>
  <c r="U744" i="1" s="1"/>
  <c r="AI744" i="1"/>
  <c r="CW744" i="1" s="1"/>
  <c r="V744" i="1" s="1"/>
  <c r="AJ744" i="1"/>
  <c r="CT744" i="1"/>
  <c r="S744" i="1" s="1"/>
  <c r="CY744" i="1" s="1"/>
  <c r="CU744" i="1"/>
  <c r="T744" i="1" s="1"/>
  <c r="CX744" i="1"/>
  <c r="W744" i="1" s="1"/>
  <c r="CZ744" i="1"/>
  <c r="Y744" i="1" s="1"/>
  <c r="FR744" i="1"/>
  <c r="GL744" i="1"/>
  <c r="GN744" i="1"/>
  <c r="GO744" i="1"/>
  <c r="GV744" i="1"/>
  <c r="HC744" i="1" s="1"/>
  <c r="GX744" i="1" s="1"/>
  <c r="D745" i="1"/>
  <c r="AC745" i="1"/>
  <c r="AE745" i="1"/>
  <c r="AF745" i="1"/>
  <c r="AG745" i="1"/>
  <c r="CU745" i="1" s="1"/>
  <c r="T745" i="1" s="1"/>
  <c r="AH745" i="1"/>
  <c r="CV745" i="1" s="1"/>
  <c r="U745" i="1" s="1"/>
  <c r="AI745" i="1"/>
  <c r="CW745" i="1" s="1"/>
  <c r="V745" i="1" s="1"/>
  <c r="AJ745" i="1"/>
  <c r="CX745" i="1"/>
  <c r="W745" i="1" s="1"/>
  <c r="FR745" i="1"/>
  <c r="GL745" i="1"/>
  <c r="GN745" i="1"/>
  <c r="GO745" i="1"/>
  <c r="GV745" i="1"/>
  <c r="HC745" i="1" s="1"/>
  <c r="GX745" i="1" s="1"/>
  <c r="D746" i="1"/>
  <c r="Q746" i="1"/>
  <c r="AC746" i="1"/>
  <c r="CQ746" i="1" s="1"/>
  <c r="P746" i="1" s="1"/>
  <c r="AE746" i="1"/>
  <c r="AF746" i="1"/>
  <c r="AG746" i="1"/>
  <c r="AH746" i="1"/>
  <c r="CV746" i="1" s="1"/>
  <c r="U746" i="1" s="1"/>
  <c r="AI746" i="1"/>
  <c r="AJ746" i="1"/>
  <c r="CX746" i="1" s="1"/>
  <c r="W746" i="1" s="1"/>
  <c r="CR746" i="1"/>
  <c r="CS746" i="1"/>
  <c r="CT746" i="1"/>
  <c r="S746" i="1" s="1"/>
  <c r="CU746" i="1"/>
  <c r="T746" i="1" s="1"/>
  <c r="CW746" i="1"/>
  <c r="V746" i="1" s="1"/>
  <c r="FR746" i="1"/>
  <c r="GL746" i="1"/>
  <c r="GN746" i="1"/>
  <c r="GO746" i="1"/>
  <c r="GV746" i="1"/>
  <c r="HC746" i="1"/>
  <c r="GX746" i="1" s="1"/>
  <c r="D747" i="1"/>
  <c r="I747" i="1"/>
  <c r="K747" i="1"/>
  <c r="AC747" i="1"/>
  <c r="AE747" i="1"/>
  <c r="AF747" i="1"/>
  <c r="CT747" i="1" s="1"/>
  <c r="AG747" i="1"/>
  <c r="CU747" i="1" s="1"/>
  <c r="AH747" i="1"/>
  <c r="CV747" i="1" s="1"/>
  <c r="AI747" i="1"/>
  <c r="CW747" i="1" s="1"/>
  <c r="AJ747" i="1"/>
  <c r="CX747" i="1"/>
  <c r="FR747" i="1"/>
  <c r="GL747" i="1"/>
  <c r="GN747" i="1"/>
  <c r="GO747" i="1"/>
  <c r="GV747" i="1"/>
  <c r="HC747" i="1" s="1"/>
  <c r="D748" i="1"/>
  <c r="I748" i="1"/>
  <c r="K748" i="1"/>
  <c r="V748" i="1"/>
  <c r="AC748" i="1"/>
  <c r="AE748" i="1"/>
  <c r="AF748" i="1"/>
  <c r="CT748" i="1" s="1"/>
  <c r="S748" i="1" s="1"/>
  <c r="AG748" i="1"/>
  <c r="CU748" i="1" s="1"/>
  <c r="AH748" i="1"/>
  <c r="CV748" i="1" s="1"/>
  <c r="AI748" i="1"/>
  <c r="CW748" i="1" s="1"/>
  <c r="AJ748" i="1"/>
  <c r="CX748" i="1" s="1"/>
  <c r="FR748" i="1"/>
  <c r="GL748" i="1"/>
  <c r="GN748" i="1"/>
  <c r="GO748" i="1"/>
  <c r="GV748" i="1"/>
  <c r="HC748" i="1" s="1"/>
  <c r="D749" i="1"/>
  <c r="I749" i="1"/>
  <c r="K749" i="1"/>
  <c r="AC749" i="1"/>
  <c r="AD749" i="1"/>
  <c r="AE749" i="1"/>
  <c r="AF749" i="1"/>
  <c r="AG749" i="1"/>
  <c r="CU749" i="1" s="1"/>
  <c r="T749" i="1" s="1"/>
  <c r="AH749" i="1"/>
  <c r="CV749" i="1" s="1"/>
  <c r="AI749" i="1"/>
  <c r="CW749" i="1" s="1"/>
  <c r="AJ749" i="1"/>
  <c r="CX749" i="1" s="1"/>
  <c r="CS749" i="1"/>
  <c r="FR749" i="1"/>
  <c r="GL749" i="1"/>
  <c r="GN749" i="1"/>
  <c r="GO749" i="1"/>
  <c r="GV749" i="1"/>
  <c r="HC749" i="1" s="1"/>
  <c r="D750" i="1"/>
  <c r="I750" i="1"/>
  <c r="K750" i="1"/>
  <c r="AC750" i="1"/>
  <c r="CQ750" i="1" s="1"/>
  <c r="AE750" i="1"/>
  <c r="AF750" i="1"/>
  <c r="AG750" i="1"/>
  <c r="CU750" i="1" s="1"/>
  <c r="AH750" i="1"/>
  <c r="AI750" i="1"/>
  <c r="CW750" i="1" s="1"/>
  <c r="AJ750" i="1"/>
  <c r="CX750" i="1" s="1"/>
  <c r="CV750" i="1"/>
  <c r="FR750" i="1"/>
  <c r="GL750" i="1"/>
  <c r="GN750" i="1"/>
  <c r="GO750" i="1"/>
  <c r="GV750" i="1"/>
  <c r="HC750" i="1"/>
  <c r="D751" i="1"/>
  <c r="I751" i="1"/>
  <c r="K751" i="1"/>
  <c r="AC751" i="1"/>
  <c r="AD751" i="1"/>
  <c r="AE751" i="1"/>
  <c r="AF751" i="1"/>
  <c r="AG751" i="1"/>
  <c r="CU751" i="1" s="1"/>
  <c r="T751" i="1" s="1"/>
  <c r="AH751" i="1"/>
  <c r="CV751" i="1" s="1"/>
  <c r="AI751" i="1"/>
  <c r="CW751" i="1" s="1"/>
  <c r="AJ751" i="1"/>
  <c r="CX751" i="1"/>
  <c r="FR751" i="1"/>
  <c r="GL751" i="1"/>
  <c r="GN751" i="1"/>
  <c r="GO751" i="1"/>
  <c r="GV751" i="1"/>
  <c r="HC751" i="1" s="1"/>
  <c r="GX751" i="1" s="1"/>
  <c r="D752" i="1"/>
  <c r="I752" i="1"/>
  <c r="K752" i="1"/>
  <c r="T752" i="1"/>
  <c r="V752" i="1"/>
  <c r="AC752" i="1"/>
  <c r="AE752" i="1"/>
  <c r="AD752" i="1" s="1"/>
  <c r="AF752" i="1"/>
  <c r="CT752" i="1" s="1"/>
  <c r="S752" i="1" s="1"/>
  <c r="AG752" i="1"/>
  <c r="CU752" i="1" s="1"/>
  <c r="AH752" i="1"/>
  <c r="AI752" i="1"/>
  <c r="CW752" i="1" s="1"/>
  <c r="AJ752" i="1"/>
  <c r="CX752" i="1" s="1"/>
  <c r="W752" i="1" s="1"/>
  <c r="CQ752" i="1"/>
  <c r="P752" i="1" s="1"/>
  <c r="CR752" i="1"/>
  <c r="Q752" i="1" s="1"/>
  <c r="CS752" i="1"/>
  <c r="R752" i="1" s="1"/>
  <c r="GK752" i="1" s="1"/>
  <c r="CV752" i="1"/>
  <c r="FR752" i="1"/>
  <c r="GL752" i="1"/>
  <c r="GN752" i="1"/>
  <c r="GO752" i="1"/>
  <c r="GV752" i="1"/>
  <c r="HC752" i="1" s="1"/>
  <c r="GX752" i="1" s="1"/>
  <c r="D753" i="1"/>
  <c r="P753" i="1"/>
  <c r="AC753" i="1"/>
  <c r="CQ753" i="1" s="1"/>
  <c r="AE753" i="1"/>
  <c r="AF753" i="1"/>
  <c r="CT753" i="1" s="1"/>
  <c r="S753" i="1" s="1"/>
  <c r="AG753" i="1"/>
  <c r="CU753" i="1" s="1"/>
  <c r="T753" i="1" s="1"/>
  <c r="AH753" i="1"/>
  <c r="CV753" i="1" s="1"/>
  <c r="U753" i="1" s="1"/>
  <c r="AI753" i="1"/>
  <c r="AJ753" i="1"/>
  <c r="CW753" i="1"/>
  <c r="V753" i="1" s="1"/>
  <c r="CX753" i="1"/>
  <c r="W753" i="1" s="1"/>
  <c r="FR753" i="1"/>
  <c r="GL753" i="1"/>
  <c r="GN753" i="1"/>
  <c r="GO753" i="1"/>
  <c r="GV753" i="1"/>
  <c r="HC753" i="1" s="1"/>
  <c r="GX753" i="1" s="1"/>
  <c r="D754" i="1"/>
  <c r="AC754" i="1"/>
  <c r="CQ754" i="1" s="1"/>
  <c r="P754" i="1" s="1"/>
  <c r="AE754" i="1"/>
  <c r="AF754" i="1"/>
  <c r="AG754" i="1"/>
  <c r="AH754" i="1"/>
  <c r="CV754" i="1" s="1"/>
  <c r="U754" i="1" s="1"/>
  <c r="AI754" i="1"/>
  <c r="CW754" i="1" s="1"/>
  <c r="V754" i="1" s="1"/>
  <c r="AJ754" i="1"/>
  <c r="CU754" i="1"/>
  <c r="T754" i="1" s="1"/>
  <c r="CX754" i="1"/>
  <c r="W754" i="1" s="1"/>
  <c r="FR754" i="1"/>
  <c r="GL754" i="1"/>
  <c r="GN754" i="1"/>
  <c r="GO754" i="1"/>
  <c r="GV754" i="1"/>
  <c r="HC754" i="1" s="1"/>
  <c r="GX754" i="1" s="1"/>
  <c r="D756" i="1"/>
  <c r="I756" i="1"/>
  <c r="K756" i="1"/>
  <c r="AC756" i="1"/>
  <c r="CQ756" i="1" s="1"/>
  <c r="AE756" i="1"/>
  <c r="AF756" i="1"/>
  <c r="AG756" i="1"/>
  <c r="CU756" i="1" s="1"/>
  <c r="T756" i="1" s="1"/>
  <c r="AH756" i="1"/>
  <c r="CV756" i="1" s="1"/>
  <c r="U756" i="1" s="1"/>
  <c r="AI756" i="1"/>
  <c r="CW756" i="1" s="1"/>
  <c r="AJ756" i="1"/>
  <c r="CX756" i="1" s="1"/>
  <c r="FR756" i="1"/>
  <c r="GL756" i="1"/>
  <c r="GN756" i="1"/>
  <c r="GO756" i="1"/>
  <c r="GV756" i="1"/>
  <c r="HC756" i="1"/>
  <c r="GX756" i="1" s="1"/>
  <c r="D757" i="1"/>
  <c r="I757" i="1"/>
  <c r="K757" i="1"/>
  <c r="AC757" i="1"/>
  <c r="CQ757" i="1" s="1"/>
  <c r="P757" i="1" s="1"/>
  <c r="AE757" i="1"/>
  <c r="CS757" i="1" s="1"/>
  <c r="R757" i="1" s="1"/>
  <c r="GK757" i="1" s="1"/>
  <c r="AF757" i="1"/>
  <c r="CT757" i="1" s="1"/>
  <c r="S757" i="1" s="1"/>
  <c r="CY757" i="1" s="1"/>
  <c r="X757" i="1" s="1"/>
  <c r="AG757" i="1"/>
  <c r="AH757" i="1"/>
  <c r="CV757" i="1" s="1"/>
  <c r="AI757" i="1"/>
  <c r="CW757" i="1" s="1"/>
  <c r="V757" i="1" s="1"/>
  <c r="AJ757" i="1"/>
  <c r="CX757" i="1" s="1"/>
  <c r="W757" i="1" s="1"/>
  <c r="CU757" i="1"/>
  <c r="T757" i="1" s="1"/>
  <c r="CZ757" i="1"/>
  <c r="Y757" i="1" s="1"/>
  <c r="FR757" i="1"/>
  <c r="GL757" i="1"/>
  <c r="GN757" i="1"/>
  <c r="GO757" i="1"/>
  <c r="GV757" i="1"/>
  <c r="HC757" i="1" s="1"/>
  <c r="GX757" i="1" s="1"/>
  <c r="D758" i="1"/>
  <c r="I758" i="1"/>
  <c r="K758" i="1"/>
  <c r="AC758" i="1"/>
  <c r="AD758" i="1"/>
  <c r="AE758" i="1"/>
  <c r="AF758" i="1"/>
  <c r="CT758" i="1" s="1"/>
  <c r="S758" i="1" s="1"/>
  <c r="AG758" i="1"/>
  <c r="CU758" i="1" s="1"/>
  <c r="T758" i="1" s="1"/>
  <c r="AH758" i="1"/>
  <c r="CV758" i="1" s="1"/>
  <c r="AI758" i="1"/>
  <c r="CW758" i="1" s="1"/>
  <c r="AJ758" i="1"/>
  <c r="CX758" i="1"/>
  <c r="W758" i="1" s="1"/>
  <c r="FR758" i="1"/>
  <c r="GL758" i="1"/>
  <c r="GN758" i="1"/>
  <c r="GO758" i="1"/>
  <c r="GV758" i="1"/>
  <c r="HC758" i="1"/>
  <c r="GX758" i="1" s="1"/>
  <c r="D759" i="1"/>
  <c r="I759" i="1"/>
  <c r="S759" i="1" s="1"/>
  <c r="K759" i="1"/>
  <c r="AC759" i="1"/>
  <c r="AE759" i="1"/>
  <c r="AF759" i="1"/>
  <c r="CT759" i="1" s="1"/>
  <c r="AG759" i="1"/>
  <c r="CU759" i="1" s="1"/>
  <c r="AH759" i="1"/>
  <c r="CV759" i="1" s="1"/>
  <c r="AI759" i="1"/>
  <c r="CW759" i="1" s="1"/>
  <c r="AJ759" i="1"/>
  <c r="CX759" i="1" s="1"/>
  <c r="CR759" i="1"/>
  <c r="FR759" i="1"/>
  <c r="GL759" i="1"/>
  <c r="GN759" i="1"/>
  <c r="GO759" i="1"/>
  <c r="GV759" i="1"/>
  <c r="HC759" i="1" s="1"/>
  <c r="D760" i="1"/>
  <c r="I760" i="1"/>
  <c r="K760" i="1"/>
  <c r="AC760" i="1"/>
  <c r="CQ760" i="1" s="1"/>
  <c r="P760" i="1" s="1"/>
  <c r="AE760" i="1"/>
  <c r="AD760" i="1" s="1"/>
  <c r="AF760" i="1"/>
  <c r="AG760" i="1"/>
  <c r="CU760" i="1" s="1"/>
  <c r="AH760" i="1"/>
  <c r="CV760" i="1" s="1"/>
  <c r="AI760" i="1"/>
  <c r="CW760" i="1" s="1"/>
  <c r="AJ760" i="1"/>
  <c r="CX760" i="1" s="1"/>
  <c r="CT760" i="1"/>
  <c r="FR760" i="1"/>
  <c r="GL760" i="1"/>
  <c r="GN760" i="1"/>
  <c r="GO760" i="1"/>
  <c r="GV760" i="1"/>
  <c r="HC760" i="1" s="1"/>
  <c r="D761" i="1"/>
  <c r="I761" i="1"/>
  <c r="K761" i="1"/>
  <c r="V761" i="1"/>
  <c r="AC761" i="1"/>
  <c r="CQ761" i="1" s="1"/>
  <c r="P761" i="1" s="1"/>
  <c r="AE761" i="1"/>
  <c r="CS761" i="1" s="1"/>
  <c r="AF761" i="1"/>
  <c r="CT761" i="1" s="1"/>
  <c r="S761" i="1" s="1"/>
  <c r="AG761" i="1"/>
  <c r="CU761" i="1" s="1"/>
  <c r="AH761" i="1"/>
  <c r="CV761" i="1" s="1"/>
  <c r="AI761" i="1"/>
  <c r="AJ761" i="1"/>
  <c r="CW761" i="1"/>
  <c r="CX761" i="1"/>
  <c r="FR761" i="1"/>
  <c r="GL761" i="1"/>
  <c r="GN761" i="1"/>
  <c r="GO761" i="1"/>
  <c r="GV761" i="1"/>
  <c r="HC761" i="1" s="1"/>
  <c r="D762" i="1"/>
  <c r="V762" i="1"/>
  <c r="AC762" i="1"/>
  <c r="CQ762" i="1" s="1"/>
  <c r="P762" i="1" s="1"/>
  <c r="AD762" i="1"/>
  <c r="AE762" i="1"/>
  <c r="AF762" i="1"/>
  <c r="AG762" i="1"/>
  <c r="CU762" i="1" s="1"/>
  <c r="T762" i="1" s="1"/>
  <c r="AH762" i="1"/>
  <c r="AI762" i="1"/>
  <c r="CW762" i="1" s="1"/>
  <c r="AJ762" i="1"/>
  <c r="CV762" i="1"/>
  <c r="U762" i="1" s="1"/>
  <c r="CX762" i="1"/>
  <c r="W762" i="1" s="1"/>
  <c r="FR762" i="1"/>
  <c r="GL762" i="1"/>
  <c r="GN762" i="1"/>
  <c r="GO762" i="1"/>
  <c r="GV762" i="1"/>
  <c r="HC762" i="1" s="1"/>
  <c r="GX762" i="1" s="1"/>
  <c r="D763" i="1"/>
  <c r="V763" i="1"/>
  <c r="W763" i="1"/>
  <c r="AC763" i="1"/>
  <c r="CQ763" i="1" s="1"/>
  <c r="P763" i="1" s="1"/>
  <c r="AD763" i="1"/>
  <c r="AB763" i="1" s="1"/>
  <c r="AE763" i="1"/>
  <c r="CS763" i="1" s="1"/>
  <c r="R763" i="1" s="1"/>
  <c r="GK763" i="1" s="1"/>
  <c r="AF763" i="1"/>
  <c r="CT763" i="1" s="1"/>
  <c r="S763" i="1" s="1"/>
  <c r="AG763" i="1"/>
  <c r="AH763" i="1"/>
  <c r="AI763" i="1"/>
  <c r="CW763" i="1" s="1"/>
  <c r="AJ763" i="1"/>
  <c r="CR763" i="1"/>
  <c r="Q763" i="1" s="1"/>
  <c r="CU763" i="1"/>
  <c r="T763" i="1" s="1"/>
  <c r="CV763" i="1"/>
  <c r="U763" i="1" s="1"/>
  <c r="CX763" i="1"/>
  <c r="FR763" i="1"/>
  <c r="GL763" i="1"/>
  <c r="GN763" i="1"/>
  <c r="GO763" i="1"/>
  <c r="GV763" i="1"/>
  <c r="HC763" i="1" s="1"/>
  <c r="GX763" i="1" s="1"/>
  <c r="D764" i="1"/>
  <c r="I764" i="1"/>
  <c r="K764" i="1"/>
  <c r="P764" i="1"/>
  <c r="S764" i="1"/>
  <c r="CZ764" i="1" s="1"/>
  <c r="Y764" i="1" s="1"/>
  <c r="V764" i="1"/>
  <c r="AC764" i="1"/>
  <c r="CQ764" i="1" s="1"/>
  <c r="AE764" i="1"/>
  <c r="CR764" i="1" s="1"/>
  <c r="AF764" i="1"/>
  <c r="CT764" i="1" s="1"/>
  <c r="AG764" i="1"/>
  <c r="CU764" i="1" s="1"/>
  <c r="AH764" i="1"/>
  <c r="CV764" i="1" s="1"/>
  <c r="U764" i="1" s="1"/>
  <c r="AI764" i="1"/>
  <c r="CW764" i="1" s="1"/>
  <c r="AJ764" i="1"/>
  <c r="CS764" i="1"/>
  <c r="CX764" i="1"/>
  <c r="W764" i="1" s="1"/>
  <c r="FR764" i="1"/>
  <c r="GL764" i="1"/>
  <c r="GN764" i="1"/>
  <c r="GO764" i="1"/>
  <c r="GV764" i="1"/>
  <c r="HC764" i="1"/>
  <c r="D765" i="1"/>
  <c r="I765" i="1"/>
  <c r="K765" i="1"/>
  <c r="P765" i="1"/>
  <c r="AC765" i="1"/>
  <c r="AE765" i="1"/>
  <c r="AF765" i="1"/>
  <c r="AG765" i="1"/>
  <c r="CU765" i="1" s="1"/>
  <c r="T765" i="1" s="1"/>
  <c r="AH765" i="1"/>
  <c r="CV765" i="1" s="1"/>
  <c r="U765" i="1" s="1"/>
  <c r="AI765" i="1"/>
  <c r="CW765" i="1" s="1"/>
  <c r="AJ765" i="1"/>
  <c r="CX765" i="1" s="1"/>
  <c r="CQ765" i="1"/>
  <c r="CT765" i="1"/>
  <c r="S765" i="1" s="1"/>
  <c r="FR765" i="1"/>
  <c r="GL765" i="1"/>
  <c r="GN765" i="1"/>
  <c r="GO765" i="1"/>
  <c r="GV765" i="1"/>
  <c r="HC765" i="1" s="1"/>
  <c r="GX765" i="1" s="1"/>
  <c r="D766" i="1"/>
  <c r="I766" i="1"/>
  <c r="K766" i="1"/>
  <c r="AC766" i="1"/>
  <c r="CQ766" i="1" s="1"/>
  <c r="AE766" i="1"/>
  <c r="AF766" i="1"/>
  <c r="AG766" i="1"/>
  <c r="CU766" i="1" s="1"/>
  <c r="AH766" i="1"/>
  <c r="CV766" i="1" s="1"/>
  <c r="AI766" i="1"/>
  <c r="CW766" i="1" s="1"/>
  <c r="AJ766" i="1"/>
  <c r="CX766" i="1" s="1"/>
  <c r="CR766" i="1"/>
  <c r="FR766" i="1"/>
  <c r="GL766" i="1"/>
  <c r="GN766" i="1"/>
  <c r="GO766" i="1"/>
  <c r="GV766" i="1"/>
  <c r="HC766" i="1"/>
  <c r="D767" i="1"/>
  <c r="I767" i="1"/>
  <c r="P767" i="1" s="1"/>
  <c r="K767" i="1"/>
  <c r="AC767" i="1"/>
  <c r="CQ767" i="1" s="1"/>
  <c r="AE767" i="1"/>
  <c r="AF767" i="1"/>
  <c r="AG767" i="1"/>
  <c r="CU767" i="1" s="1"/>
  <c r="AH767" i="1"/>
  <c r="CV767" i="1" s="1"/>
  <c r="AI767" i="1"/>
  <c r="CW767" i="1" s="1"/>
  <c r="AJ767" i="1"/>
  <c r="CX767" i="1" s="1"/>
  <c r="CR767" i="1"/>
  <c r="CS767" i="1"/>
  <c r="FR767" i="1"/>
  <c r="GL767" i="1"/>
  <c r="GN767" i="1"/>
  <c r="GO767" i="1"/>
  <c r="GV767" i="1"/>
  <c r="HC767" i="1" s="1"/>
  <c r="D768" i="1"/>
  <c r="I768" i="1"/>
  <c r="K768" i="1"/>
  <c r="AC768" i="1"/>
  <c r="AE768" i="1"/>
  <c r="AF768" i="1"/>
  <c r="AG768" i="1"/>
  <c r="CU768" i="1" s="1"/>
  <c r="T768" i="1" s="1"/>
  <c r="AH768" i="1"/>
  <c r="AI768" i="1"/>
  <c r="AJ768" i="1"/>
  <c r="CX768" i="1" s="1"/>
  <c r="CQ768" i="1"/>
  <c r="P768" i="1" s="1"/>
  <c r="CV768" i="1"/>
  <c r="U768" i="1" s="1"/>
  <c r="CW768" i="1"/>
  <c r="V768" i="1" s="1"/>
  <c r="FR768" i="1"/>
  <c r="GL768" i="1"/>
  <c r="GN768" i="1"/>
  <c r="GO768" i="1"/>
  <c r="GV768" i="1"/>
  <c r="HC768" i="1" s="1"/>
  <c r="GX768" i="1" s="1"/>
  <c r="D769" i="1"/>
  <c r="I769" i="1"/>
  <c r="K769" i="1"/>
  <c r="AC769" i="1"/>
  <c r="AE769" i="1"/>
  <c r="AD769" i="1" s="1"/>
  <c r="AF769" i="1"/>
  <c r="CT769" i="1" s="1"/>
  <c r="S769" i="1" s="1"/>
  <c r="AG769" i="1"/>
  <c r="CU769" i="1" s="1"/>
  <c r="T769" i="1" s="1"/>
  <c r="AH769" i="1"/>
  <c r="CV769" i="1" s="1"/>
  <c r="U769" i="1" s="1"/>
  <c r="AI769" i="1"/>
  <c r="AJ769" i="1"/>
  <c r="CW769" i="1"/>
  <c r="V769" i="1" s="1"/>
  <c r="CX769" i="1"/>
  <c r="W769" i="1" s="1"/>
  <c r="FR769" i="1"/>
  <c r="GL769" i="1"/>
  <c r="GN769" i="1"/>
  <c r="GO769" i="1"/>
  <c r="GV769" i="1"/>
  <c r="HC769" i="1" s="1"/>
  <c r="GX769" i="1" s="1"/>
  <c r="D770" i="1"/>
  <c r="T770" i="1"/>
  <c r="AC770" i="1"/>
  <c r="AE770" i="1"/>
  <c r="AF770" i="1"/>
  <c r="AG770" i="1"/>
  <c r="CU770" i="1" s="1"/>
  <c r="AH770" i="1"/>
  <c r="CV770" i="1" s="1"/>
  <c r="U770" i="1" s="1"/>
  <c r="AI770" i="1"/>
  <c r="CW770" i="1" s="1"/>
  <c r="V770" i="1" s="1"/>
  <c r="AJ770" i="1"/>
  <c r="CX770" i="1" s="1"/>
  <c r="W770" i="1" s="1"/>
  <c r="CQ770" i="1"/>
  <c r="P770" i="1" s="1"/>
  <c r="CS770" i="1"/>
  <c r="R770" i="1" s="1"/>
  <c r="GK770" i="1" s="1"/>
  <c r="CT770" i="1"/>
  <c r="S770" i="1" s="1"/>
  <c r="CZ770" i="1" s="1"/>
  <c r="Y770" i="1" s="1"/>
  <c r="CY770" i="1"/>
  <c r="X770" i="1" s="1"/>
  <c r="FR770" i="1"/>
  <c r="GL770" i="1"/>
  <c r="GN770" i="1"/>
  <c r="GO770" i="1"/>
  <c r="GV770" i="1"/>
  <c r="HC770" i="1" s="1"/>
  <c r="GX770" i="1" s="1"/>
  <c r="D771" i="1"/>
  <c r="AC771" i="1"/>
  <c r="CQ771" i="1" s="1"/>
  <c r="P771" i="1" s="1"/>
  <c r="AD771" i="1"/>
  <c r="AE771" i="1"/>
  <c r="AF771" i="1"/>
  <c r="AG771" i="1"/>
  <c r="AH771" i="1"/>
  <c r="CV771" i="1" s="1"/>
  <c r="U771" i="1" s="1"/>
  <c r="AI771" i="1"/>
  <c r="AJ771" i="1"/>
  <c r="CX771" i="1" s="1"/>
  <c r="W771" i="1" s="1"/>
  <c r="CR771" i="1"/>
  <c r="Q771" i="1" s="1"/>
  <c r="CS771" i="1"/>
  <c r="CU771" i="1"/>
  <c r="T771" i="1" s="1"/>
  <c r="CW771" i="1"/>
  <c r="V771" i="1" s="1"/>
  <c r="FR771" i="1"/>
  <c r="GL771" i="1"/>
  <c r="GN771" i="1"/>
  <c r="GO771" i="1"/>
  <c r="GV771" i="1"/>
  <c r="HC771" i="1"/>
  <c r="GX771" i="1" s="1"/>
  <c r="D773" i="1"/>
  <c r="I773" i="1"/>
  <c r="K773" i="1"/>
  <c r="AC773" i="1"/>
  <c r="AD773" i="1"/>
  <c r="AE773" i="1"/>
  <c r="AF773" i="1"/>
  <c r="AG773" i="1"/>
  <c r="CU773" i="1" s="1"/>
  <c r="AH773" i="1"/>
  <c r="CV773" i="1" s="1"/>
  <c r="AI773" i="1"/>
  <c r="CW773" i="1" s="1"/>
  <c r="AJ773" i="1"/>
  <c r="CX773" i="1" s="1"/>
  <c r="CQ773" i="1"/>
  <c r="CS773" i="1"/>
  <c r="FR773" i="1"/>
  <c r="GL773" i="1"/>
  <c r="GN773" i="1"/>
  <c r="GO773" i="1"/>
  <c r="GV773" i="1"/>
  <c r="HC773" i="1" s="1"/>
  <c r="GX773" i="1"/>
  <c r="D774" i="1"/>
  <c r="I774" i="1"/>
  <c r="K774" i="1"/>
  <c r="AC774" i="1"/>
  <c r="CQ774" i="1" s="1"/>
  <c r="P774" i="1" s="1"/>
  <c r="AD774" i="1"/>
  <c r="AE774" i="1"/>
  <c r="AF774" i="1"/>
  <c r="AG774" i="1"/>
  <c r="CU774" i="1" s="1"/>
  <c r="T774" i="1" s="1"/>
  <c r="AH774" i="1"/>
  <c r="CV774" i="1" s="1"/>
  <c r="AI774" i="1"/>
  <c r="CW774" i="1" s="1"/>
  <c r="V774" i="1" s="1"/>
  <c r="AJ774" i="1"/>
  <c r="CX774" i="1" s="1"/>
  <c r="W774" i="1" s="1"/>
  <c r="CR774" i="1"/>
  <c r="Q774" i="1" s="1"/>
  <c r="CS774" i="1"/>
  <c r="R774" i="1" s="1"/>
  <c r="GK774" i="1" s="1"/>
  <c r="FR774" i="1"/>
  <c r="GL774" i="1"/>
  <c r="GN774" i="1"/>
  <c r="GO774" i="1"/>
  <c r="GV774" i="1"/>
  <c r="HC774" i="1" s="1"/>
  <c r="GX774" i="1" s="1"/>
  <c r="D775" i="1"/>
  <c r="I775" i="1"/>
  <c r="K775" i="1"/>
  <c r="AC775" i="1"/>
  <c r="CQ775" i="1" s="1"/>
  <c r="AE775" i="1"/>
  <c r="CR775" i="1" s="1"/>
  <c r="AF775" i="1"/>
  <c r="AG775" i="1"/>
  <c r="AH775" i="1"/>
  <c r="CV775" i="1" s="1"/>
  <c r="U775" i="1" s="1"/>
  <c r="AI775" i="1"/>
  <c r="AJ775" i="1"/>
  <c r="CT775" i="1"/>
  <c r="CU775" i="1"/>
  <c r="CW775" i="1"/>
  <c r="CX775" i="1"/>
  <c r="FR775" i="1"/>
  <c r="GL775" i="1"/>
  <c r="GN775" i="1"/>
  <c r="GO775" i="1"/>
  <c r="GV775" i="1"/>
  <c r="HC775" i="1"/>
  <c r="D776" i="1"/>
  <c r="I776" i="1"/>
  <c r="P776" i="1" s="1"/>
  <c r="K776" i="1"/>
  <c r="AC776" i="1"/>
  <c r="AE776" i="1"/>
  <c r="AF776" i="1"/>
  <c r="AG776" i="1"/>
  <c r="AH776" i="1"/>
  <c r="CV776" i="1" s="1"/>
  <c r="AI776" i="1"/>
  <c r="CW776" i="1" s="1"/>
  <c r="AJ776" i="1"/>
  <c r="CQ776" i="1"/>
  <c r="CT776" i="1"/>
  <c r="CU776" i="1"/>
  <c r="CX776" i="1"/>
  <c r="FR776" i="1"/>
  <c r="GL776" i="1"/>
  <c r="GN776" i="1"/>
  <c r="GO776" i="1"/>
  <c r="GV776" i="1"/>
  <c r="HC776" i="1" s="1"/>
  <c r="D777" i="1"/>
  <c r="I777" i="1"/>
  <c r="K777" i="1"/>
  <c r="AC777" i="1"/>
  <c r="AD777" i="1"/>
  <c r="AE777" i="1"/>
  <c r="AF777" i="1"/>
  <c r="AG777" i="1"/>
  <c r="CU777" i="1" s="1"/>
  <c r="AH777" i="1"/>
  <c r="CV777" i="1" s="1"/>
  <c r="AI777" i="1"/>
  <c r="CW777" i="1" s="1"/>
  <c r="AJ777" i="1"/>
  <c r="CX777" i="1" s="1"/>
  <c r="CR777" i="1"/>
  <c r="FR777" i="1"/>
  <c r="GL777" i="1"/>
  <c r="GN777" i="1"/>
  <c r="GO777" i="1"/>
  <c r="GV777" i="1"/>
  <c r="HC777" i="1" s="1"/>
  <c r="D778" i="1"/>
  <c r="I778" i="1"/>
  <c r="V778" i="1" s="1"/>
  <c r="K778" i="1"/>
  <c r="AC778" i="1"/>
  <c r="AE778" i="1"/>
  <c r="CR778" i="1" s="1"/>
  <c r="AF778" i="1"/>
  <c r="CT778" i="1" s="1"/>
  <c r="AG778" i="1"/>
  <c r="AH778" i="1"/>
  <c r="AI778" i="1"/>
  <c r="CW778" i="1" s="1"/>
  <c r="AJ778" i="1"/>
  <c r="CU778" i="1"/>
  <c r="CV778" i="1"/>
  <c r="CX778" i="1"/>
  <c r="FR778" i="1"/>
  <c r="GL778" i="1"/>
  <c r="GN778" i="1"/>
  <c r="GO778" i="1"/>
  <c r="GV778" i="1"/>
  <c r="HC778" i="1"/>
  <c r="GX778" i="1" s="1"/>
  <c r="D779" i="1"/>
  <c r="U779" i="1"/>
  <c r="AC779" i="1"/>
  <c r="CQ779" i="1" s="1"/>
  <c r="P779" i="1" s="1"/>
  <c r="AE779" i="1"/>
  <c r="AF779" i="1"/>
  <c r="AG779" i="1"/>
  <c r="AH779" i="1"/>
  <c r="AI779" i="1"/>
  <c r="CW779" i="1" s="1"/>
  <c r="V779" i="1" s="1"/>
  <c r="AJ779" i="1"/>
  <c r="CX779" i="1" s="1"/>
  <c r="W779" i="1" s="1"/>
  <c r="CR779" i="1"/>
  <c r="Q779" i="1" s="1"/>
  <c r="CU779" i="1"/>
  <c r="T779" i="1" s="1"/>
  <c r="CV779" i="1"/>
  <c r="FR779" i="1"/>
  <c r="GL779" i="1"/>
  <c r="GN779" i="1"/>
  <c r="GO779" i="1"/>
  <c r="GV779" i="1"/>
  <c r="HC779" i="1" s="1"/>
  <c r="GX779" i="1" s="1"/>
  <c r="D780" i="1"/>
  <c r="AC780" i="1"/>
  <c r="AE780" i="1"/>
  <c r="AF780" i="1"/>
  <c r="CT780" i="1" s="1"/>
  <c r="S780" i="1" s="1"/>
  <c r="AG780" i="1"/>
  <c r="CU780" i="1" s="1"/>
  <c r="T780" i="1" s="1"/>
  <c r="AH780" i="1"/>
  <c r="CV780" i="1" s="1"/>
  <c r="U780" i="1" s="1"/>
  <c r="AI780" i="1"/>
  <c r="CW780" i="1" s="1"/>
  <c r="V780" i="1" s="1"/>
  <c r="AJ780" i="1"/>
  <c r="CX780" i="1" s="1"/>
  <c r="W780" i="1" s="1"/>
  <c r="FR780" i="1"/>
  <c r="GL780" i="1"/>
  <c r="GN780" i="1"/>
  <c r="GO780" i="1"/>
  <c r="GV780" i="1"/>
  <c r="HC780" i="1" s="1"/>
  <c r="GX780" i="1" s="1"/>
  <c r="D781" i="1"/>
  <c r="AC781" i="1"/>
  <c r="AE781" i="1"/>
  <c r="AF781" i="1"/>
  <c r="AG781" i="1"/>
  <c r="AH781" i="1"/>
  <c r="AI781" i="1"/>
  <c r="AJ781" i="1"/>
  <c r="CU781" i="1"/>
  <c r="T781" i="1" s="1"/>
  <c r="CV781" i="1"/>
  <c r="U781" i="1" s="1"/>
  <c r="CW781" i="1"/>
  <c r="V781" i="1" s="1"/>
  <c r="CX781" i="1"/>
  <c r="W781" i="1" s="1"/>
  <c r="FR781" i="1"/>
  <c r="GL781" i="1"/>
  <c r="GN781" i="1"/>
  <c r="GO781" i="1"/>
  <c r="GV781" i="1"/>
  <c r="HC781" i="1"/>
  <c r="GX781" i="1" s="1"/>
  <c r="D782" i="1"/>
  <c r="U782" i="1"/>
  <c r="AC782" i="1"/>
  <c r="AE782" i="1"/>
  <c r="CS782" i="1" s="1"/>
  <c r="R782" i="1" s="1"/>
  <c r="GK782" i="1" s="1"/>
  <c r="AF782" i="1"/>
  <c r="AG782" i="1"/>
  <c r="CU782" i="1" s="1"/>
  <c r="T782" i="1" s="1"/>
  <c r="AH782" i="1"/>
  <c r="CV782" i="1" s="1"/>
  <c r="AI782" i="1"/>
  <c r="CW782" i="1" s="1"/>
  <c r="V782" i="1" s="1"/>
  <c r="AJ782" i="1"/>
  <c r="CX782" i="1" s="1"/>
  <c r="W782" i="1" s="1"/>
  <c r="CQ782" i="1"/>
  <c r="P782" i="1" s="1"/>
  <c r="CR782" i="1"/>
  <c r="Q782" i="1" s="1"/>
  <c r="CT782" i="1"/>
  <c r="S782" i="1" s="1"/>
  <c r="FR782" i="1"/>
  <c r="GL782" i="1"/>
  <c r="GN782" i="1"/>
  <c r="GO782" i="1"/>
  <c r="GV782" i="1"/>
  <c r="HC782" i="1" s="1"/>
  <c r="GX782" i="1" s="1"/>
  <c r="D783" i="1"/>
  <c r="AC783" i="1"/>
  <c r="AE783" i="1"/>
  <c r="AF783" i="1"/>
  <c r="AG783" i="1"/>
  <c r="CU783" i="1" s="1"/>
  <c r="T783" i="1" s="1"/>
  <c r="AH783" i="1"/>
  <c r="CV783" i="1" s="1"/>
  <c r="U783" i="1" s="1"/>
  <c r="AI783" i="1"/>
  <c r="CW783" i="1" s="1"/>
  <c r="V783" i="1" s="1"/>
  <c r="AJ783" i="1"/>
  <c r="CX783" i="1" s="1"/>
  <c r="W783" i="1" s="1"/>
  <c r="CQ783" i="1"/>
  <c r="P783" i="1" s="1"/>
  <c r="FR783" i="1"/>
  <c r="GL783" i="1"/>
  <c r="GN783" i="1"/>
  <c r="GO783" i="1"/>
  <c r="GV783" i="1"/>
  <c r="HC783" i="1"/>
  <c r="GX783" i="1" s="1"/>
  <c r="D784" i="1"/>
  <c r="I784" i="1"/>
  <c r="K784" i="1"/>
  <c r="R784" i="1"/>
  <c r="GK784" i="1" s="1"/>
  <c r="S784" i="1"/>
  <c r="CY784" i="1" s="1"/>
  <c r="X784" i="1" s="1"/>
  <c r="AC784" i="1"/>
  <c r="AE784" i="1"/>
  <c r="AD784" i="1" s="1"/>
  <c r="AF784" i="1"/>
  <c r="AG784" i="1"/>
  <c r="AH784" i="1"/>
  <c r="AI784" i="1"/>
  <c r="CW784" i="1" s="1"/>
  <c r="V784" i="1" s="1"/>
  <c r="AJ784" i="1"/>
  <c r="CX784" i="1" s="1"/>
  <c r="W784" i="1" s="1"/>
  <c r="CQ784" i="1"/>
  <c r="P784" i="1" s="1"/>
  <c r="CR784" i="1"/>
  <c r="CS784" i="1"/>
  <c r="CT784" i="1"/>
  <c r="CU784" i="1"/>
  <c r="T784" i="1" s="1"/>
  <c r="CV784" i="1"/>
  <c r="U784" i="1" s="1"/>
  <c r="FR784" i="1"/>
  <c r="GL784" i="1"/>
  <c r="GN784" i="1"/>
  <c r="GO784" i="1"/>
  <c r="GV784" i="1"/>
  <c r="HC784" i="1" s="1"/>
  <c r="GX784" i="1" s="1"/>
  <c r="D785" i="1"/>
  <c r="I785" i="1"/>
  <c r="K785" i="1"/>
  <c r="AC785" i="1"/>
  <c r="AE785" i="1"/>
  <c r="AF785" i="1"/>
  <c r="CT785" i="1" s="1"/>
  <c r="AG785" i="1"/>
  <c r="CU785" i="1" s="1"/>
  <c r="AH785" i="1"/>
  <c r="AI785" i="1"/>
  <c r="AJ785" i="1"/>
  <c r="CX785" i="1" s="1"/>
  <c r="CV785" i="1"/>
  <c r="CW785" i="1"/>
  <c r="FR785" i="1"/>
  <c r="GL785" i="1"/>
  <c r="GN785" i="1"/>
  <c r="GO785" i="1"/>
  <c r="GV785" i="1"/>
  <c r="HC785" i="1" s="1"/>
  <c r="D786" i="1"/>
  <c r="AC786" i="1"/>
  <c r="CQ786" i="1" s="1"/>
  <c r="P786" i="1" s="1"/>
  <c r="AE786" i="1"/>
  <c r="AF786" i="1"/>
  <c r="AG786" i="1"/>
  <c r="CU786" i="1" s="1"/>
  <c r="T786" i="1" s="1"/>
  <c r="AH786" i="1"/>
  <c r="CV786" i="1" s="1"/>
  <c r="U786" i="1" s="1"/>
  <c r="AI786" i="1"/>
  <c r="CW786" i="1" s="1"/>
  <c r="V786" i="1" s="1"/>
  <c r="AJ786" i="1"/>
  <c r="CX786" i="1" s="1"/>
  <c r="W786" i="1" s="1"/>
  <c r="CR786" i="1"/>
  <c r="Q786" i="1" s="1"/>
  <c r="FR786" i="1"/>
  <c r="GL786" i="1"/>
  <c r="GN786" i="1"/>
  <c r="GO786" i="1"/>
  <c r="CC860" i="1" s="1"/>
  <c r="GV786" i="1"/>
  <c r="HC786" i="1"/>
  <c r="GX786" i="1" s="1"/>
  <c r="D787" i="1"/>
  <c r="I787" i="1"/>
  <c r="K787" i="1"/>
  <c r="AC787" i="1"/>
  <c r="AE787" i="1"/>
  <c r="AD787" i="1" s="1"/>
  <c r="AF787" i="1"/>
  <c r="CT787" i="1" s="1"/>
  <c r="S787" i="1" s="1"/>
  <c r="AG787" i="1"/>
  <c r="AH787" i="1"/>
  <c r="CV787" i="1" s="1"/>
  <c r="U787" i="1" s="1"/>
  <c r="AI787" i="1"/>
  <c r="CW787" i="1" s="1"/>
  <c r="V787" i="1" s="1"/>
  <c r="AJ787" i="1"/>
  <c r="CU787" i="1"/>
  <c r="T787" i="1" s="1"/>
  <c r="CX787" i="1"/>
  <c r="W787" i="1" s="1"/>
  <c r="FR787" i="1"/>
  <c r="GL787" i="1"/>
  <c r="GN787" i="1"/>
  <c r="GO787" i="1"/>
  <c r="GV787" i="1"/>
  <c r="HC787" i="1" s="1"/>
  <c r="GX787" i="1" s="1"/>
  <c r="D788" i="1"/>
  <c r="I788" i="1"/>
  <c r="K788" i="1"/>
  <c r="AC788" i="1"/>
  <c r="CQ788" i="1" s="1"/>
  <c r="P788" i="1" s="1"/>
  <c r="AE788" i="1"/>
  <c r="AF788" i="1"/>
  <c r="CT788" i="1" s="1"/>
  <c r="S788" i="1" s="1"/>
  <c r="CY788" i="1" s="1"/>
  <c r="X788" i="1" s="1"/>
  <c r="AG788" i="1"/>
  <c r="CU788" i="1" s="1"/>
  <c r="AH788" i="1"/>
  <c r="CV788" i="1" s="1"/>
  <c r="U788" i="1" s="1"/>
  <c r="AI788" i="1"/>
  <c r="CW788" i="1" s="1"/>
  <c r="AJ788" i="1"/>
  <c r="CX788" i="1" s="1"/>
  <c r="W788" i="1" s="1"/>
  <c r="FR788" i="1"/>
  <c r="GL788" i="1"/>
  <c r="GN788" i="1"/>
  <c r="GO788" i="1"/>
  <c r="GV788" i="1"/>
  <c r="HC788" i="1" s="1"/>
  <c r="D789" i="1"/>
  <c r="I789" i="1"/>
  <c r="K789" i="1"/>
  <c r="Q789" i="1"/>
  <c r="S789" i="1"/>
  <c r="AC789" i="1"/>
  <c r="AE789" i="1"/>
  <c r="AD789" i="1" s="1"/>
  <c r="AF789" i="1"/>
  <c r="AG789" i="1"/>
  <c r="CU789" i="1" s="1"/>
  <c r="T789" i="1" s="1"/>
  <c r="AH789" i="1"/>
  <c r="CV789" i="1" s="1"/>
  <c r="U789" i="1" s="1"/>
  <c r="AI789" i="1"/>
  <c r="CW789" i="1" s="1"/>
  <c r="V789" i="1" s="1"/>
  <c r="AJ789" i="1"/>
  <c r="CQ789" i="1"/>
  <c r="P789" i="1" s="1"/>
  <c r="CR789" i="1"/>
  <c r="CS789" i="1"/>
  <c r="CT789" i="1"/>
  <c r="CX789" i="1"/>
  <c r="W789" i="1" s="1"/>
  <c r="FR789" i="1"/>
  <c r="GL789" i="1"/>
  <c r="GN789" i="1"/>
  <c r="GO789" i="1"/>
  <c r="GV789" i="1"/>
  <c r="HC789" i="1"/>
  <c r="GX789" i="1" s="1"/>
  <c r="D790" i="1"/>
  <c r="I790" i="1"/>
  <c r="K790" i="1"/>
  <c r="AC790" i="1"/>
  <c r="CQ790" i="1" s="1"/>
  <c r="AD790" i="1"/>
  <c r="AE790" i="1"/>
  <c r="AF790" i="1"/>
  <c r="AG790" i="1"/>
  <c r="CU790" i="1" s="1"/>
  <c r="T790" i="1" s="1"/>
  <c r="AH790" i="1"/>
  <c r="CV790" i="1" s="1"/>
  <c r="AI790" i="1"/>
  <c r="AJ790" i="1"/>
  <c r="CX790" i="1" s="1"/>
  <c r="CR790" i="1"/>
  <c r="CW790" i="1"/>
  <c r="FR790" i="1"/>
  <c r="GL790" i="1"/>
  <c r="GN790" i="1"/>
  <c r="GO790" i="1"/>
  <c r="GV790" i="1"/>
  <c r="HC790" i="1"/>
  <c r="D791" i="1"/>
  <c r="I791" i="1"/>
  <c r="K791" i="1"/>
  <c r="U791" i="1"/>
  <c r="AC791" i="1"/>
  <c r="AE791" i="1"/>
  <c r="AF791" i="1"/>
  <c r="AG791" i="1"/>
  <c r="CU791" i="1" s="1"/>
  <c r="AH791" i="1"/>
  <c r="CV791" i="1" s="1"/>
  <c r="AI791" i="1"/>
  <c r="CW791" i="1" s="1"/>
  <c r="AJ791" i="1"/>
  <c r="CX791" i="1" s="1"/>
  <c r="W791" i="1" s="1"/>
  <c r="CS791" i="1"/>
  <c r="FR791" i="1"/>
  <c r="GL791" i="1"/>
  <c r="GN791" i="1"/>
  <c r="GO791" i="1"/>
  <c r="GV791" i="1"/>
  <c r="HC791" i="1"/>
  <c r="D792" i="1"/>
  <c r="I792" i="1"/>
  <c r="K792" i="1"/>
  <c r="AC792" i="1"/>
  <c r="AE792" i="1"/>
  <c r="CS792" i="1" s="1"/>
  <c r="AF792" i="1"/>
  <c r="CT792" i="1" s="1"/>
  <c r="S792" i="1" s="1"/>
  <c r="AG792" i="1"/>
  <c r="AH792" i="1"/>
  <c r="CV792" i="1" s="1"/>
  <c r="U792" i="1" s="1"/>
  <c r="AI792" i="1"/>
  <c r="CW792" i="1" s="1"/>
  <c r="V792" i="1" s="1"/>
  <c r="AJ792" i="1"/>
  <c r="CU792" i="1"/>
  <c r="T792" i="1" s="1"/>
  <c r="CX792" i="1"/>
  <c r="W792" i="1" s="1"/>
  <c r="FR792" i="1"/>
  <c r="GL792" i="1"/>
  <c r="GN792" i="1"/>
  <c r="GO792" i="1"/>
  <c r="GV792" i="1"/>
  <c r="HC792" i="1" s="1"/>
  <c r="GX792" i="1" s="1"/>
  <c r="D793" i="1"/>
  <c r="I793" i="1"/>
  <c r="K793" i="1"/>
  <c r="AC793" i="1"/>
  <c r="AE793" i="1"/>
  <c r="AD793" i="1" s="1"/>
  <c r="AF793" i="1"/>
  <c r="AG793" i="1"/>
  <c r="CU793" i="1" s="1"/>
  <c r="T793" i="1" s="1"/>
  <c r="AH793" i="1"/>
  <c r="CV793" i="1" s="1"/>
  <c r="U793" i="1" s="1"/>
  <c r="AI793" i="1"/>
  <c r="AJ793" i="1"/>
  <c r="CT793" i="1"/>
  <c r="S793" i="1" s="1"/>
  <c r="CZ793" i="1" s="1"/>
  <c r="Y793" i="1" s="1"/>
  <c r="CW793" i="1"/>
  <c r="V793" i="1" s="1"/>
  <c r="CX793" i="1"/>
  <c r="W793" i="1" s="1"/>
  <c r="FR793" i="1"/>
  <c r="GL793" i="1"/>
  <c r="GN793" i="1"/>
  <c r="GO793" i="1"/>
  <c r="GV793" i="1"/>
  <c r="HC793" i="1" s="1"/>
  <c r="GX793" i="1" s="1"/>
  <c r="D794" i="1"/>
  <c r="AC794" i="1"/>
  <c r="CQ794" i="1" s="1"/>
  <c r="P794" i="1" s="1"/>
  <c r="AE794" i="1"/>
  <c r="CR794" i="1" s="1"/>
  <c r="Q794" i="1" s="1"/>
  <c r="AF794" i="1"/>
  <c r="AG794" i="1"/>
  <c r="CU794" i="1" s="1"/>
  <c r="T794" i="1" s="1"/>
  <c r="AH794" i="1"/>
  <c r="CV794" i="1" s="1"/>
  <c r="U794" i="1" s="1"/>
  <c r="AI794" i="1"/>
  <c r="CW794" i="1" s="1"/>
  <c r="V794" i="1" s="1"/>
  <c r="AJ794" i="1"/>
  <c r="CX794" i="1" s="1"/>
  <c r="W794" i="1" s="1"/>
  <c r="CT794" i="1"/>
  <c r="S794" i="1" s="1"/>
  <c r="FR794" i="1"/>
  <c r="GL794" i="1"/>
  <c r="GN794" i="1"/>
  <c r="GO794" i="1"/>
  <c r="GV794" i="1"/>
  <c r="HC794" i="1" s="1"/>
  <c r="GX794" i="1" s="1"/>
  <c r="D795" i="1"/>
  <c r="V795" i="1"/>
  <c r="AC795" i="1"/>
  <c r="AD795" i="1"/>
  <c r="AE795" i="1"/>
  <c r="AF795" i="1"/>
  <c r="AG795" i="1"/>
  <c r="AH795" i="1"/>
  <c r="CV795" i="1" s="1"/>
  <c r="U795" i="1" s="1"/>
  <c r="AI795" i="1"/>
  <c r="AJ795" i="1"/>
  <c r="CX795" i="1" s="1"/>
  <c r="W795" i="1" s="1"/>
  <c r="CR795" i="1"/>
  <c r="Q795" i="1" s="1"/>
  <c r="CS795" i="1"/>
  <c r="CT795" i="1"/>
  <c r="S795" i="1" s="1"/>
  <c r="CU795" i="1"/>
  <c r="T795" i="1" s="1"/>
  <c r="CW795" i="1"/>
  <c r="FR795" i="1"/>
  <c r="GL795" i="1"/>
  <c r="GN795" i="1"/>
  <c r="GO795" i="1"/>
  <c r="GV795" i="1"/>
  <c r="HC795" i="1" s="1"/>
  <c r="GX795" i="1" s="1"/>
  <c r="D797" i="1"/>
  <c r="T797" i="1"/>
  <c r="AC797" i="1"/>
  <c r="AD797" i="1"/>
  <c r="AE797" i="1"/>
  <c r="AF797" i="1"/>
  <c r="AG797" i="1"/>
  <c r="CU797" i="1" s="1"/>
  <c r="AH797" i="1"/>
  <c r="CV797" i="1" s="1"/>
  <c r="U797" i="1" s="1"/>
  <c r="AI797" i="1"/>
  <c r="CW797" i="1" s="1"/>
  <c r="V797" i="1" s="1"/>
  <c r="AJ797" i="1"/>
  <c r="CX797" i="1"/>
  <c r="W797" i="1" s="1"/>
  <c r="FR797" i="1"/>
  <c r="GL797" i="1"/>
  <c r="GN797" i="1"/>
  <c r="GO797" i="1"/>
  <c r="GV797" i="1"/>
  <c r="HC797" i="1"/>
  <c r="GX797" i="1" s="1"/>
  <c r="D798" i="1"/>
  <c r="R798" i="1"/>
  <c r="GK798" i="1" s="1"/>
  <c r="V798" i="1"/>
  <c r="W798" i="1"/>
  <c r="AC798" i="1"/>
  <c r="AB798" i="1" s="1"/>
  <c r="AE798" i="1"/>
  <c r="AD798" i="1" s="1"/>
  <c r="AF798" i="1"/>
  <c r="AG798" i="1"/>
  <c r="CU798" i="1" s="1"/>
  <c r="T798" i="1" s="1"/>
  <c r="AH798" i="1"/>
  <c r="CV798" i="1" s="1"/>
  <c r="U798" i="1" s="1"/>
  <c r="AI798" i="1"/>
  <c r="CW798" i="1" s="1"/>
  <c r="AJ798" i="1"/>
  <c r="CX798" i="1" s="1"/>
  <c r="CQ798" i="1"/>
  <c r="P798" i="1" s="1"/>
  <c r="CR798" i="1"/>
  <c r="Q798" i="1" s="1"/>
  <c r="CS798" i="1"/>
  <c r="CT798" i="1"/>
  <c r="S798" i="1" s="1"/>
  <c r="FR798" i="1"/>
  <c r="GL798" i="1"/>
  <c r="GN798" i="1"/>
  <c r="GO798" i="1"/>
  <c r="GV798" i="1"/>
  <c r="HC798" i="1" s="1"/>
  <c r="GX798" i="1" s="1"/>
  <c r="D799" i="1"/>
  <c r="AC799" i="1"/>
  <c r="CQ799" i="1" s="1"/>
  <c r="P799" i="1" s="1"/>
  <c r="AE799" i="1"/>
  <c r="AF799" i="1"/>
  <c r="AG799" i="1"/>
  <c r="AH799" i="1"/>
  <c r="CV799" i="1" s="1"/>
  <c r="U799" i="1" s="1"/>
  <c r="AI799" i="1"/>
  <c r="AJ799" i="1"/>
  <c r="CT799" i="1"/>
  <c r="S799" i="1" s="1"/>
  <c r="CY799" i="1" s="1"/>
  <c r="X799" i="1" s="1"/>
  <c r="CU799" i="1"/>
  <c r="T799" i="1" s="1"/>
  <c r="CW799" i="1"/>
  <c r="V799" i="1" s="1"/>
  <c r="CX799" i="1"/>
  <c r="W799" i="1" s="1"/>
  <c r="FR799" i="1"/>
  <c r="GL799" i="1"/>
  <c r="GN799" i="1"/>
  <c r="GO799" i="1"/>
  <c r="GV799" i="1"/>
  <c r="HC799" i="1" s="1"/>
  <c r="GX799" i="1" s="1"/>
  <c r="D800" i="1"/>
  <c r="V800" i="1"/>
  <c r="AC800" i="1"/>
  <c r="CQ800" i="1" s="1"/>
  <c r="P800" i="1" s="1"/>
  <c r="AE800" i="1"/>
  <c r="CS800" i="1" s="1"/>
  <c r="R800" i="1" s="1"/>
  <c r="AF800" i="1"/>
  <c r="CT800" i="1" s="1"/>
  <c r="S800" i="1" s="1"/>
  <c r="AG800" i="1"/>
  <c r="CU800" i="1" s="1"/>
  <c r="T800" i="1" s="1"/>
  <c r="AH800" i="1"/>
  <c r="CV800" i="1" s="1"/>
  <c r="U800" i="1" s="1"/>
  <c r="AI800" i="1"/>
  <c r="CW800" i="1" s="1"/>
  <c r="AJ800" i="1"/>
  <c r="CX800" i="1" s="1"/>
  <c r="W800" i="1" s="1"/>
  <c r="FR800" i="1"/>
  <c r="GK800" i="1"/>
  <c r="GL800" i="1"/>
  <c r="GN800" i="1"/>
  <c r="GO800" i="1"/>
  <c r="GV800" i="1"/>
  <c r="HC800" i="1"/>
  <c r="GX800" i="1" s="1"/>
  <c r="D801" i="1"/>
  <c r="V801" i="1"/>
  <c r="W801" i="1"/>
  <c r="AC801" i="1"/>
  <c r="CQ801" i="1" s="1"/>
  <c r="P801" i="1" s="1"/>
  <c r="AD801" i="1"/>
  <c r="AE801" i="1"/>
  <c r="AF801" i="1"/>
  <c r="AG801" i="1"/>
  <c r="CU801" i="1" s="1"/>
  <c r="T801" i="1" s="1"/>
  <c r="AH801" i="1"/>
  <c r="AI801" i="1"/>
  <c r="CW801" i="1" s="1"/>
  <c r="AJ801" i="1"/>
  <c r="CX801" i="1" s="1"/>
  <c r="CT801" i="1"/>
  <c r="S801" i="1" s="1"/>
  <c r="CV801" i="1"/>
  <c r="U801" i="1" s="1"/>
  <c r="FR801" i="1"/>
  <c r="GL801" i="1"/>
  <c r="GN801" i="1"/>
  <c r="GO801" i="1"/>
  <c r="GV801" i="1"/>
  <c r="HC801" i="1"/>
  <c r="GX801" i="1" s="1"/>
  <c r="D802" i="1"/>
  <c r="I802" i="1"/>
  <c r="K802" i="1"/>
  <c r="AC802" i="1"/>
  <c r="CQ802" i="1" s="1"/>
  <c r="P802" i="1" s="1"/>
  <c r="AD802" i="1"/>
  <c r="AE802" i="1"/>
  <c r="AF802" i="1"/>
  <c r="AG802" i="1"/>
  <c r="AH802" i="1"/>
  <c r="AI802" i="1"/>
  <c r="AJ802" i="1"/>
  <c r="CT802" i="1"/>
  <c r="S802" i="1" s="1"/>
  <c r="CU802" i="1"/>
  <c r="T802" i="1" s="1"/>
  <c r="CV802" i="1"/>
  <c r="U802" i="1" s="1"/>
  <c r="CW802" i="1"/>
  <c r="V802" i="1" s="1"/>
  <c r="CX802" i="1"/>
  <c r="FR802" i="1"/>
  <c r="GL802" i="1"/>
  <c r="GN802" i="1"/>
  <c r="GO802" i="1"/>
  <c r="GV802" i="1"/>
  <c r="HC802" i="1" s="1"/>
  <c r="GX802" i="1" s="1"/>
  <c r="D803" i="1"/>
  <c r="I803" i="1"/>
  <c r="K803" i="1"/>
  <c r="AC803" i="1"/>
  <c r="AD803" i="1"/>
  <c r="AE803" i="1"/>
  <c r="AF803" i="1"/>
  <c r="CT803" i="1" s="1"/>
  <c r="AG803" i="1"/>
  <c r="CU803" i="1" s="1"/>
  <c r="AH803" i="1"/>
  <c r="CV803" i="1" s="1"/>
  <c r="AI803" i="1"/>
  <c r="CW803" i="1" s="1"/>
  <c r="AJ803" i="1"/>
  <c r="CX803" i="1" s="1"/>
  <c r="CQ803" i="1"/>
  <c r="P803" i="1" s="1"/>
  <c r="FR803" i="1"/>
  <c r="GL803" i="1"/>
  <c r="GN803" i="1"/>
  <c r="GO803" i="1"/>
  <c r="GV803" i="1"/>
  <c r="HC803" i="1"/>
  <c r="GX803" i="1" s="1"/>
  <c r="D804" i="1"/>
  <c r="I804" i="1"/>
  <c r="K804" i="1"/>
  <c r="AC804" i="1"/>
  <c r="AE804" i="1"/>
  <c r="CS804" i="1" s="1"/>
  <c r="R804" i="1" s="1"/>
  <c r="GK804" i="1" s="1"/>
  <c r="AF804" i="1"/>
  <c r="CT804" i="1" s="1"/>
  <c r="S804" i="1" s="1"/>
  <c r="AG804" i="1"/>
  <c r="CU804" i="1" s="1"/>
  <c r="T804" i="1" s="1"/>
  <c r="AH804" i="1"/>
  <c r="CV804" i="1" s="1"/>
  <c r="AI804" i="1"/>
  <c r="CW804" i="1" s="1"/>
  <c r="AJ804" i="1"/>
  <c r="CX804" i="1" s="1"/>
  <c r="CR804" i="1"/>
  <c r="Q804" i="1" s="1"/>
  <c r="FR804" i="1"/>
  <c r="GL804" i="1"/>
  <c r="GN804" i="1"/>
  <c r="GO804" i="1"/>
  <c r="GV804" i="1"/>
  <c r="HC804" i="1" s="1"/>
  <c r="D805" i="1"/>
  <c r="I805" i="1"/>
  <c r="K805" i="1"/>
  <c r="AC805" i="1"/>
  <c r="AD805" i="1"/>
  <c r="AB805" i="1" s="1"/>
  <c r="AE805" i="1"/>
  <c r="AF805" i="1"/>
  <c r="AG805" i="1"/>
  <c r="CU805" i="1" s="1"/>
  <c r="AH805" i="1"/>
  <c r="AI805" i="1"/>
  <c r="CW805" i="1" s="1"/>
  <c r="V805" i="1" s="1"/>
  <c r="AJ805" i="1"/>
  <c r="CX805" i="1" s="1"/>
  <c r="W805" i="1" s="1"/>
  <c r="CQ805" i="1"/>
  <c r="P805" i="1" s="1"/>
  <c r="CV805" i="1"/>
  <c r="U805" i="1" s="1"/>
  <c r="FR805" i="1"/>
  <c r="GL805" i="1"/>
  <c r="GN805" i="1"/>
  <c r="GO805" i="1"/>
  <c r="GV805" i="1"/>
  <c r="HC805" i="1" s="1"/>
  <c r="GX805" i="1" s="1"/>
  <c r="D806" i="1"/>
  <c r="I806" i="1"/>
  <c r="K806" i="1"/>
  <c r="AC806" i="1"/>
  <c r="AE806" i="1"/>
  <c r="AF806" i="1"/>
  <c r="CT806" i="1" s="1"/>
  <c r="AG806" i="1"/>
  <c r="CU806" i="1" s="1"/>
  <c r="AH806" i="1"/>
  <c r="CV806" i="1" s="1"/>
  <c r="AI806" i="1"/>
  <c r="CW806" i="1" s="1"/>
  <c r="AJ806" i="1"/>
  <c r="CX806" i="1" s="1"/>
  <c r="FR806" i="1"/>
  <c r="GL806" i="1"/>
  <c r="GN806" i="1"/>
  <c r="GO806" i="1"/>
  <c r="GV806" i="1"/>
  <c r="HC806" i="1" s="1"/>
  <c r="D807" i="1"/>
  <c r="AC807" i="1"/>
  <c r="CQ807" i="1" s="1"/>
  <c r="P807" i="1" s="1"/>
  <c r="AE807" i="1"/>
  <c r="AF807" i="1"/>
  <c r="AG807" i="1"/>
  <c r="CU807" i="1" s="1"/>
  <c r="T807" i="1" s="1"/>
  <c r="AH807" i="1"/>
  <c r="CV807" i="1" s="1"/>
  <c r="U807" i="1" s="1"/>
  <c r="AI807" i="1"/>
  <c r="CW807" i="1" s="1"/>
  <c r="V807" i="1" s="1"/>
  <c r="AJ807" i="1"/>
  <c r="CX807" i="1" s="1"/>
  <c r="W807" i="1" s="1"/>
  <c r="FR807" i="1"/>
  <c r="GL807" i="1"/>
  <c r="GN807" i="1"/>
  <c r="GO807" i="1"/>
  <c r="GV807" i="1"/>
  <c r="HC807" i="1"/>
  <c r="GX807" i="1" s="1"/>
  <c r="D808" i="1"/>
  <c r="S808" i="1"/>
  <c r="V808" i="1"/>
  <c r="AC808" i="1"/>
  <c r="CQ808" i="1" s="1"/>
  <c r="P808" i="1" s="1"/>
  <c r="AD808" i="1"/>
  <c r="AB808" i="1" s="1"/>
  <c r="AE808" i="1"/>
  <c r="CR808" i="1" s="1"/>
  <c r="Q808" i="1" s="1"/>
  <c r="AF808" i="1"/>
  <c r="AG808" i="1"/>
  <c r="CU808" i="1" s="1"/>
  <c r="T808" i="1" s="1"/>
  <c r="AH808" i="1"/>
  <c r="CV808" i="1" s="1"/>
  <c r="U808" i="1" s="1"/>
  <c r="AI808" i="1"/>
  <c r="CW808" i="1" s="1"/>
  <c r="AJ808" i="1"/>
  <c r="CX808" i="1" s="1"/>
  <c r="W808" i="1" s="1"/>
  <c r="CS808" i="1"/>
  <c r="R808" i="1" s="1"/>
  <c r="CT808" i="1"/>
  <c r="FR808" i="1"/>
  <c r="GK808" i="1"/>
  <c r="GL808" i="1"/>
  <c r="GN808" i="1"/>
  <c r="GO808" i="1"/>
  <c r="GV808" i="1"/>
  <c r="HC808" i="1" s="1"/>
  <c r="GX808" i="1" s="1"/>
  <c r="D809" i="1"/>
  <c r="V809" i="1"/>
  <c r="AC809" i="1"/>
  <c r="AE809" i="1"/>
  <c r="AF809" i="1"/>
  <c r="CT809" i="1" s="1"/>
  <c r="S809" i="1" s="1"/>
  <c r="CY809" i="1" s="1"/>
  <c r="X809" i="1" s="1"/>
  <c r="AG809" i="1"/>
  <c r="CU809" i="1" s="1"/>
  <c r="T809" i="1" s="1"/>
  <c r="AH809" i="1"/>
  <c r="AI809" i="1"/>
  <c r="AJ809" i="1"/>
  <c r="CX809" i="1" s="1"/>
  <c r="W809" i="1" s="1"/>
  <c r="CV809" i="1"/>
  <c r="U809" i="1" s="1"/>
  <c r="CW809" i="1"/>
  <c r="CZ809" i="1"/>
  <c r="Y809" i="1" s="1"/>
  <c r="FR809" i="1"/>
  <c r="GL809" i="1"/>
  <c r="GN809" i="1"/>
  <c r="GO809" i="1"/>
  <c r="GV809" i="1"/>
  <c r="HC809" i="1" s="1"/>
  <c r="GX809" i="1" s="1"/>
  <c r="D810" i="1"/>
  <c r="AC810" i="1"/>
  <c r="AE810" i="1"/>
  <c r="AF810" i="1"/>
  <c r="AG810" i="1"/>
  <c r="CU810" i="1" s="1"/>
  <c r="T810" i="1" s="1"/>
  <c r="AH810" i="1"/>
  <c r="CV810" i="1" s="1"/>
  <c r="U810" i="1" s="1"/>
  <c r="AI810" i="1"/>
  <c r="CW810" i="1" s="1"/>
  <c r="V810" i="1" s="1"/>
  <c r="AJ810" i="1"/>
  <c r="CR810" i="1"/>
  <c r="Q810" i="1" s="1"/>
  <c r="CX810" i="1"/>
  <c r="W810" i="1" s="1"/>
  <c r="FR810" i="1"/>
  <c r="GL810" i="1"/>
  <c r="GN810" i="1"/>
  <c r="GO810" i="1"/>
  <c r="GV810" i="1"/>
  <c r="HC810" i="1" s="1"/>
  <c r="GX810" i="1" s="1"/>
  <c r="D812" i="1"/>
  <c r="R812" i="1"/>
  <c r="GK812" i="1" s="1"/>
  <c r="AC812" i="1"/>
  <c r="AE812" i="1"/>
  <c r="AF812" i="1"/>
  <c r="AG812" i="1"/>
  <c r="AH812" i="1"/>
  <c r="CV812" i="1" s="1"/>
  <c r="U812" i="1" s="1"/>
  <c r="AI812" i="1"/>
  <c r="CW812" i="1" s="1"/>
  <c r="V812" i="1" s="1"/>
  <c r="AJ812" i="1"/>
  <c r="CX812" i="1" s="1"/>
  <c r="W812" i="1" s="1"/>
  <c r="CR812" i="1"/>
  <c r="Q812" i="1" s="1"/>
  <c r="CS812" i="1"/>
  <c r="CU812" i="1"/>
  <c r="T812" i="1" s="1"/>
  <c r="FR812" i="1"/>
  <c r="GL812" i="1"/>
  <c r="GN812" i="1"/>
  <c r="GO812" i="1"/>
  <c r="GV812" i="1"/>
  <c r="HC812" i="1" s="1"/>
  <c r="GX812" i="1" s="1"/>
  <c r="D813" i="1"/>
  <c r="T813" i="1"/>
  <c r="AB813" i="1"/>
  <c r="AC813" i="1"/>
  <c r="CQ813" i="1" s="1"/>
  <c r="P813" i="1" s="1"/>
  <c r="AE813" i="1"/>
  <c r="AD813" i="1" s="1"/>
  <c r="AF813" i="1"/>
  <c r="AG813" i="1"/>
  <c r="CU813" i="1" s="1"/>
  <c r="AH813" i="1"/>
  <c r="CV813" i="1" s="1"/>
  <c r="U813" i="1" s="1"/>
  <c r="AI813" i="1"/>
  <c r="CW813" i="1" s="1"/>
  <c r="V813" i="1" s="1"/>
  <c r="AJ813" i="1"/>
  <c r="CX813" i="1" s="1"/>
  <c r="W813" i="1" s="1"/>
  <c r="CT813" i="1"/>
  <c r="S813" i="1" s="1"/>
  <c r="FR813" i="1"/>
  <c r="GL813" i="1"/>
  <c r="GN813" i="1"/>
  <c r="GO813" i="1"/>
  <c r="GV813" i="1"/>
  <c r="HC813" i="1"/>
  <c r="GX813" i="1" s="1"/>
  <c r="D814" i="1"/>
  <c r="AC814" i="1"/>
  <c r="CQ814" i="1" s="1"/>
  <c r="P814" i="1" s="1"/>
  <c r="AE814" i="1"/>
  <c r="CS814" i="1" s="1"/>
  <c r="AF814" i="1"/>
  <c r="CT814" i="1" s="1"/>
  <c r="S814" i="1" s="1"/>
  <c r="AG814" i="1"/>
  <c r="CU814" i="1" s="1"/>
  <c r="T814" i="1" s="1"/>
  <c r="AH814" i="1"/>
  <c r="CV814" i="1" s="1"/>
  <c r="U814" i="1" s="1"/>
  <c r="AI814" i="1"/>
  <c r="AJ814" i="1"/>
  <c r="CX814" i="1" s="1"/>
  <c r="W814" i="1" s="1"/>
  <c r="CW814" i="1"/>
  <c r="V814" i="1" s="1"/>
  <c r="FR814" i="1"/>
  <c r="GL814" i="1"/>
  <c r="GN814" i="1"/>
  <c r="GO814" i="1"/>
  <c r="GV814" i="1"/>
  <c r="HC814" i="1" s="1"/>
  <c r="GX814" i="1" s="1"/>
  <c r="D815" i="1"/>
  <c r="AC815" i="1"/>
  <c r="AE815" i="1"/>
  <c r="AD815" i="1" s="1"/>
  <c r="AF815" i="1"/>
  <c r="AG815" i="1"/>
  <c r="CU815" i="1" s="1"/>
  <c r="T815" i="1" s="1"/>
  <c r="AH815" i="1"/>
  <c r="CV815" i="1" s="1"/>
  <c r="U815" i="1" s="1"/>
  <c r="AI815" i="1"/>
  <c r="CW815" i="1" s="1"/>
  <c r="V815" i="1" s="1"/>
  <c r="AJ815" i="1"/>
  <c r="CX815" i="1" s="1"/>
  <c r="W815" i="1" s="1"/>
  <c r="CS815" i="1"/>
  <c r="R815" i="1" s="1"/>
  <c r="GK815" i="1" s="1"/>
  <c r="CT815" i="1"/>
  <c r="S815" i="1" s="1"/>
  <c r="CY815" i="1" s="1"/>
  <c r="X815" i="1" s="1"/>
  <c r="FR815" i="1"/>
  <c r="GL815" i="1"/>
  <c r="GN815" i="1"/>
  <c r="GO815" i="1"/>
  <c r="GV815" i="1"/>
  <c r="HC815" i="1" s="1"/>
  <c r="GX815" i="1" s="1"/>
  <c r="D816" i="1"/>
  <c r="AC816" i="1"/>
  <c r="CQ816" i="1" s="1"/>
  <c r="P816" i="1" s="1"/>
  <c r="AD816" i="1"/>
  <c r="AE816" i="1"/>
  <c r="AF816" i="1"/>
  <c r="AG816" i="1"/>
  <c r="CU816" i="1" s="1"/>
  <c r="T816" i="1" s="1"/>
  <c r="AH816" i="1"/>
  <c r="CV816" i="1" s="1"/>
  <c r="U816" i="1" s="1"/>
  <c r="AI816" i="1"/>
  <c r="CW816" i="1" s="1"/>
  <c r="V816" i="1" s="1"/>
  <c r="AJ816" i="1"/>
  <c r="CX816" i="1" s="1"/>
  <c r="W816" i="1" s="1"/>
  <c r="FR816" i="1"/>
  <c r="GL816" i="1"/>
  <c r="GN816" i="1"/>
  <c r="GO816" i="1"/>
  <c r="GV816" i="1"/>
  <c r="HC816" i="1" s="1"/>
  <c r="GX816" i="1" s="1"/>
  <c r="D817" i="1"/>
  <c r="AC817" i="1"/>
  <c r="AD817" i="1"/>
  <c r="AB817" i="1" s="1"/>
  <c r="AE817" i="1"/>
  <c r="CR817" i="1" s="1"/>
  <c r="Q817" i="1" s="1"/>
  <c r="AF817" i="1"/>
  <c r="CT817" i="1" s="1"/>
  <c r="S817" i="1" s="1"/>
  <c r="AG817" i="1"/>
  <c r="AH817" i="1"/>
  <c r="CV817" i="1" s="1"/>
  <c r="U817" i="1" s="1"/>
  <c r="AI817" i="1"/>
  <c r="CW817" i="1" s="1"/>
  <c r="V817" i="1" s="1"/>
  <c r="AJ817" i="1"/>
  <c r="CX817" i="1" s="1"/>
  <c r="W817" i="1" s="1"/>
  <c r="CQ817" i="1"/>
  <c r="P817" i="1" s="1"/>
  <c r="CU817" i="1"/>
  <c r="T817" i="1" s="1"/>
  <c r="FR817" i="1"/>
  <c r="GL817" i="1"/>
  <c r="GN817" i="1"/>
  <c r="GO817" i="1"/>
  <c r="GV817" i="1"/>
  <c r="HC817" i="1"/>
  <c r="GX817" i="1" s="1"/>
  <c r="D818" i="1"/>
  <c r="AC818" i="1"/>
  <c r="CQ818" i="1" s="1"/>
  <c r="P818" i="1" s="1"/>
  <c r="AE818" i="1"/>
  <c r="CS818" i="1" s="1"/>
  <c r="AF818" i="1"/>
  <c r="AG818" i="1"/>
  <c r="AH818" i="1"/>
  <c r="CV818" i="1" s="1"/>
  <c r="U818" i="1" s="1"/>
  <c r="AI818" i="1"/>
  <c r="CW818" i="1" s="1"/>
  <c r="V818" i="1" s="1"/>
  <c r="AJ818" i="1"/>
  <c r="CX818" i="1" s="1"/>
  <c r="W818" i="1" s="1"/>
  <c r="CT818" i="1"/>
  <c r="S818" i="1" s="1"/>
  <c r="CU818" i="1"/>
  <c r="T818" i="1" s="1"/>
  <c r="FR818" i="1"/>
  <c r="GL818" i="1"/>
  <c r="GN818" i="1"/>
  <c r="GO818" i="1"/>
  <c r="GV818" i="1"/>
  <c r="HC818" i="1" s="1"/>
  <c r="GX818" i="1" s="1"/>
  <c r="D819" i="1"/>
  <c r="R819" i="1"/>
  <c r="GK819" i="1" s="1"/>
  <c r="S819" i="1"/>
  <c r="CZ819" i="1" s="1"/>
  <c r="Y819" i="1" s="1"/>
  <c r="AC819" i="1"/>
  <c r="CQ819" i="1" s="1"/>
  <c r="P819" i="1" s="1"/>
  <c r="AD819" i="1"/>
  <c r="AE819" i="1"/>
  <c r="CS819" i="1" s="1"/>
  <c r="AF819" i="1"/>
  <c r="CT819" i="1" s="1"/>
  <c r="AG819" i="1"/>
  <c r="CU819" i="1" s="1"/>
  <c r="T819" i="1" s="1"/>
  <c r="AH819" i="1"/>
  <c r="CV819" i="1" s="1"/>
  <c r="U819" i="1" s="1"/>
  <c r="AI819" i="1"/>
  <c r="CW819" i="1" s="1"/>
  <c r="V819" i="1" s="1"/>
  <c r="AJ819" i="1"/>
  <c r="CX819" i="1" s="1"/>
  <c r="W819" i="1" s="1"/>
  <c r="FR819" i="1"/>
  <c r="GL819" i="1"/>
  <c r="GN819" i="1"/>
  <c r="GO819" i="1"/>
  <c r="GV819" i="1"/>
  <c r="HC819" i="1" s="1"/>
  <c r="GX819" i="1" s="1"/>
  <c r="D820" i="1"/>
  <c r="S820" i="1"/>
  <c r="T820" i="1"/>
  <c r="U820" i="1"/>
  <c r="AB820" i="1"/>
  <c r="AC820" i="1"/>
  <c r="CQ820" i="1" s="1"/>
  <c r="P820" i="1" s="1"/>
  <c r="AD820" i="1"/>
  <c r="AE820" i="1"/>
  <c r="AF820" i="1"/>
  <c r="AG820" i="1"/>
  <c r="AH820" i="1"/>
  <c r="CV820" i="1" s="1"/>
  <c r="AI820" i="1"/>
  <c r="CW820" i="1" s="1"/>
  <c r="V820" i="1" s="1"/>
  <c r="AJ820" i="1"/>
  <c r="CX820" i="1" s="1"/>
  <c r="W820" i="1" s="1"/>
  <c r="CS820" i="1"/>
  <c r="CT820" i="1"/>
  <c r="CU820" i="1"/>
  <c r="FR820" i="1"/>
  <c r="GL820" i="1"/>
  <c r="GN820" i="1"/>
  <c r="GO820" i="1"/>
  <c r="GV820" i="1"/>
  <c r="HC820" i="1" s="1"/>
  <c r="GX820" i="1"/>
  <c r="D821" i="1"/>
  <c r="W821" i="1"/>
  <c r="AC821" i="1"/>
  <c r="CQ821" i="1" s="1"/>
  <c r="P821" i="1" s="1"/>
  <c r="AE821" i="1"/>
  <c r="AF821" i="1"/>
  <c r="CT821" i="1" s="1"/>
  <c r="S821" i="1" s="1"/>
  <c r="AG821" i="1"/>
  <c r="CU821" i="1" s="1"/>
  <c r="T821" i="1" s="1"/>
  <c r="AH821" i="1"/>
  <c r="CV821" i="1" s="1"/>
  <c r="U821" i="1" s="1"/>
  <c r="AI821" i="1"/>
  <c r="AJ821" i="1"/>
  <c r="CX821" i="1" s="1"/>
  <c r="CW821" i="1"/>
  <c r="V821" i="1" s="1"/>
  <c r="FR821" i="1"/>
  <c r="GL821" i="1"/>
  <c r="GN821" i="1"/>
  <c r="GO821" i="1"/>
  <c r="GV821" i="1"/>
  <c r="HC821" i="1"/>
  <c r="GX821" i="1" s="1"/>
  <c r="D822" i="1"/>
  <c r="AC822" i="1"/>
  <c r="AE822" i="1"/>
  <c r="AF822" i="1"/>
  <c r="AG822" i="1"/>
  <c r="CU822" i="1" s="1"/>
  <c r="T822" i="1" s="1"/>
  <c r="AH822" i="1"/>
  <c r="CV822" i="1" s="1"/>
  <c r="U822" i="1" s="1"/>
  <c r="AI822" i="1"/>
  <c r="CW822" i="1" s="1"/>
  <c r="V822" i="1" s="1"/>
  <c r="AJ822" i="1"/>
  <c r="CX822" i="1" s="1"/>
  <c r="W822" i="1" s="1"/>
  <c r="CQ822" i="1"/>
  <c r="P822" i="1" s="1"/>
  <c r="FR822" i="1"/>
  <c r="GL822" i="1"/>
  <c r="GN822" i="1"/>
  <c r="GO822" i="1"/>
  <c r="GV822" i="1"/>
  <c r="HC822" i="1" s="1"/>
  <c r="GX822" i="1" s="1"/>
  <c r="D823" i="1"/>
  <c r="AC823" i="1"/>
  <c r="CQ823" i="1" s="1"/>
  <c r="P823" i="1" s="1"/>
  <c r="AE823" i="1"/>
  <c r="AF823" i="1"/>
  <c r="CT823" i="1" s="1"/>
  <c r="S823" i="1" s="1"/>
  <c r="AG823" i="1"/>
  <c r="AH823" i="1"/>
  <c r="AI823" i="1"/>
  <c r="AJ823" i="1"/>
  <c r="CU823" i="1"/>
  <c r="T823" i="1" s="1"/>
  <c r="CV823" i="1"/>
  <c r="U823" i="1" s="1"/>
  <c r="CW823" i="1"/>
  <c r="V823" i="1" s="1"/>
  <c r="CX823" i="1"/>
  <c r="W823" i="1" s="1"/>
  <c r="CY823" i="1"/>
  <c r="X823" i="1" s="1"/>
  <c r="CZ823" i="1"/>
  <c r="Y823" i="1" s="1"/>
  <c r="FR823" i="1"/>
  <c r="GL823" i="1"/>
  <c r="GN823" i="1"/>
  <c r="GO823" i="1"/>
  <c r="GV823" i="1"/>
  <c r="HC823" i="1"/>
  <c r="GX823" i="1" s="1"/>
  <c r="D824" i="1"/>
  <c r="P824" i="1"/>
  <c r="AC824" i="1"/>
  <c r="CQ824" i="1" s="1"/>
  <c r="AE824" i="1"/>
  <c r="AF824" i="1"/>
  <c r="AG824" i="1"/>
  <c r="CU824" i="1" s="1"/>
  <c r="T824" i="1" s="1"/>
  <c r="AH824" i="1"/>
  <c r="AI824" i="1"/>
  <c r="AJ824" i="1"/>
  <c r="CS824" i="1"/>
  <c r="CV824" i="1"/>
  <c r="U824" i="1" s="1"/>
  <c r="CW824" i="1"/>
  <c r="V824" i="1" s="1"/>
  <c r="CX824" i="1"/>
  <c r="W824" i="1" s="1"/>
  <c r="FR824" i="1"/>
  <c r="GL824" i="1"/>
  <c r="GN824" i="1"/>
  <c r="GO824" i="1"/>
  <c r="GV824" i="1"/>
  <c r="HC824" i="1"/>
  <c r="GX824" i="1" s="1"/>
  <c r="D825" i="1"/>
  <c r="T825" i="1"/>
  <c r="AC825" i="1"/>
  <c r="AE825" i="1"/>
  <c r="AD825" i="1" s="1"/>
  <c r="AF825" i="1"/>
  <c r="AG825" i="1"/>
  <c r="CU825" i="1" s="1"/>
  <c r="AH825" i="1"/>
  <c r="AI825" i="1"/>
  <c r="CW825" i="1" s="1"/>
  <c r="V825" i="1" s="1"/>
  <c r="AJ825" i="1"/>
  <c r="CX825" i="1" s="1"/>
  <c r="W825" i="1" s="1"/>
  <c r="CQ825" i="1"/>
  <c r="P825" i="1" s="1"/>
  <c r="CR825" i="1"/>
  <c r="Q825" i="1" s="1"/>
  <c r="CS825" i="1"/>
  <c r="R825" i="1" s="1"/>
  <c r="GK825" i="1" s="1"/>
  <c r="CT825" i="1"/>
  <c r="S825" i="1" s="1"/>
  <c r="CV825" i="1"/>
  <c r="U825" i="1" s="1"/>
  <c r="FR825" i="1"/>
  <c r="GL825" i="1"/>
  <c r="GN825" i="1"/>
  <c r="GO825" i="1"/>
  <c r="GV825" i="1"/>
  <c r="HC825" i="1" s="1"/>
  <c r="GX825" i="1" s="1"/>
  <c r="D826" i="1"/>
  <c r="AC826" i="1"/>
  <c r="CQ826" i="1" s="1"/>
  <c r="P826" i="1" s="1"/>
  <c r="AE826" i="1"/>
  <c r="AF826" i="1"/>
  <c r="AG826" i="1"/>
  <c r="AH826" i="1"/>
  <c r="AI826" i="1"/>
  <c r="CW826" i="1" s="1"/>
  <c r="V826" i="1" s="1"/>
  <c r="AJ826" i="1"/>
  <c r="CX826" i="1" s="1"/>
  <c r="W826" i="1" s="1"/>
  <c r="CU826" i="1"/>
  <c r="T826" i="1" s="1"/>
  <c r="CV826" i="1"/>
  <c r="U826" i="1" s="1"/>
  <c r="FR826" i="1"/>
  <c r="GL826" i="1"/>
  <c r="GN826" i="1"/>
  <c r="GO826" i="1"/>
  <c r="GV826" i="1"/>
  <c r="HC826" i="1" s="1"/>
  <c r="GX826" i="1" s="1"/>
  <c r="D827" i="1"/>
  <c r="AC827" i="1"/>
  <c r="CQ827" i="1" s="1"/>
  <c r="P827" i="1" s="1"/>
  <c r="AE827" i="1"/>
  <c r="AF827" i="1"/>
  <c r="CT827" i="1" s="1"/>
  <c r="S827" i="1" s="1"/>
  <c r="AG827" i="1"/>
  <c r="CU827" i="1" s="1"/>
  <c r="T827" i="1" s="1"/>
  <c r="AH827" i="1"/>
  <c r="CV827" i="1" s="1"/>
  <c r="U827" i="1" s="1"/>
  <c r="AI827" i="1"/>
  <c r="CW827" i="1" s="1"/>
  <c r="V827" i="1" s="1"/>
  <c r="AJ827" i="1"/>
  <c r="CX827" i="1" s="1"/>
  <c r="W827" i="1" s="1"/>
  <c r="FR827" i="1"/>
  <c r="GL827" i="1"/>
  <c r="GN827" i="1"/>
  <c r="GO827" i="1"/>
  <c r="GV827" i="1"/>
  <c r="HC827" i="1" s="1"/>
  <c r="GX827" i="1" s="1"/>
  <c r="D828" i="1"/>
  <c r="AC828" i="1"/>
  <c r="AE828" i="1"/>
  <c r="AF828" i="1"/>
  <c r="AG828" i="1"/>
  <c r="CU828" i="1" s="1"/>
  <c r="T828" i="1" s="1"/>
  <c r="AH828" i="1"/>
  <c r="CV828" i="1" s="1"/>
  <c r="U828" i="1" s="1"/>
  <c r="AI828" i="1"/>
  <c r="AJ828" i="1"/>
  <c r="CX828" i="1" s="1"/>
  <c r="W828" i="1" s="1"/>
  <c r="CW828" i="1"/>
  <c r="V828" i="1" s="1"/>
  <c r="FR828" i="1"/>
  <c r="GL828" i="1"/>
  <c r="GN828" i="1"/>
  <c r="GO828" i="1"/>
  <c r="GV828" i="1"/>
  <c r="HC828" i="1" s="1"/>
  <c r="GX828" i="1" s="1"/>
  <c r="D829" i="1"/>
  <c r="AC829" i="1"/>
  <c r="CQ829" i="1" s="1"/>
  <c r="P829" i="1" s="1"/>
  <c r="AE829" i="1"/>
  <c r="CR829" i="1" s="1"/>
  <c r="Q829" i="1" s="1"/>
  <c r="AF829" i="1"/>
  <c r="AG829" i="1"/>
  <c r="AH829" i="1"/>
  <c r="CV829" i="1" s="1"/>
  <c r="U829" i="1" s="1"/>
  <c r="AI829" i="1"/>
  <c r="CW829" i="1" s="1"/>
  <c r="V829" i="1" s="1"/>
  <c r="AJ829" i="1"/>
  <c r="CX829" i="1" s="1"/>
  <c r="W829" i="1" s="1"/>
  <c r="CS829" i="1"/>
  <c r="R829" i="1" s="1"/>
  <c r="GK829" i="1" s="1"/>
  <c r="CT829" i="1"/>
  <c r="S829" i="1" s="1"/>
  <c r="CY829" i="1" s="1"/>
  <c r="X829" i="1" s="1"/>
  <c r="CU829" i="1"/>
  <c r="T829" i="1" s="1"/>
  <c r="FR829" i="1"/>
  <c r="GL829" i="1"/>
  <c r="GN829" i="1"/>
  <c r="GO829" i="1"/>
  <c r="GV829" i="1"/>
  <c r="HC829" i="1" s="1"/>
  <c r="GX829" i="1" s="1"/>
  <c r="D830" i="1"/>
  <c r="AC830" i="1"/>
  <c r="CQ830" i="1" s="1"/>
  <c r="P830" i="1" s="1"/>
  <c r="AD830" i="1"/>
  <c r="AE830" i="1"/>
  <c r="AF830" i="1"/>
  <c r="AG830" i="1"/>
  <c r="AH830" i="1"/>
  <c r="CV830" i="1" s="1"/>
  <c r="U830" i="1" s="1"/>
  <c r="AI830" i="1"/>
  <c r="CW830" i="1" s="1"/>
  <c r="V830" i="1" s="1"/>
  <c r="AJ830" i="1"/>
  <c r="CX830" i="1" s="1"/>
  <c r="W830" i="1" s="1"/>
  <c r="CR830" i="1"/>
  <c r="Q830" i="1" s="1"/>
  <c r="CU830" i="1"/>
  <c r="T830" i="1" s="1"/>
  <c r="FR830" i="1"/>
  <c r="GL830" i="1"/>
  <c r="GN830" i="1"/>
  <c r="GO830" i="1"/>
  <c r="GV830" i="1"/>
  <c r="HC830" i="1" s="1"/>
  <c r="GX830" i="1" s="1"/>
  <c r="D831" i="1"/>
  <c r="AC831" i="1"/>
  <c r="AE831" i="1"/>
  <c r="AD831" i="1" s="1"/>
  <c r="AF831" i="1"/>
  <c r="CT831" i="1" s="1"/>
  <c r="S831" i="1" s="1"/>
  <c r="AG831" i="1"/>
  <c r="CU831" i="1" s="1"/>
  <c r="T831" i="1" s="1"/>
  <c r="AH831" i="1"/>
  <c r="CV831" i="1" s="1"/>
  <c r="U831" i="1" s="1"/>
  <c r="AI831" i="1"/>
  <c r="AJ831" i="1"/>
  <c r="CW831" i="1"/>
  <c r="V831" i="1" s="1"/>
  <c r="CX831" i="1"/>
  <c r="W831" i="1" s="1"/>
  <c r="FR831" i="1"/>
  <c r="GL831" i="1"/>
  <c r="GN831" i="1"/>
  <c r="GO831" i="1"/>
  <c r="GV831" i="1"/>
  <c r="HC831" i="1"/>
  <c r="GX831" i="1" s="1"/>
  <c r="D832" i="1"/>
  <c r="I832" i="1"/>
  <c r="K832" i="1"/>
  <c r="AC832" i="1"/>
  <c r="AE832" i="1"/>
  <c r="AF832" i="1"/>
  <c r="CT832" i="1" s="1"/>
  <c r="AG832" i="1"/>
  <c r="CU832" i="1" s="1"/>
  <c r="AH832" i="1"/>
  <c r="CV832" i="1" s="1"/>
  <c r="U832" i="1" s="1"/>
  <c r="AI832" i="1"/>
  <c r="CW832" i="1" s="1"/>
  <c r="V832" i="1" s="1"/>
  <c r="AJ832" i="1"/>
  <c r="CX832" i="1" s="1"/>
  <c r="CQ832" i="1"/>
  <c r="FR832" i="1"/>
  <c r="GL832" i="1"/>
  <c r="GN832" i="1"/>
  <c r="GO832" i="1"/>
  <c r="GV832" i="1"/>
  <c r="HC832" i="1"/>
  <c r="D833" i="1"/>
  <c r="T833" i="1"/>
  <c r="U833" i="1"/>
  <c r="AC833" i="1"/>
  <c r="CQ833" i="1" s="1"/>
  <c r="P833" i="1" s="1"/>
  <c r="AE833" i="1"/>
  <c r="CS833" i="1" s="1"/>
  <c r="AF833" i="1"/>
  <c r="AG833" i="1"/>
  <c r="AH833" i="1"/>
  <c r="CV833" i="1" s="1"/>
  <c r="AI833" i="1"/>
  <c r="CW833" i="1" s="1"/>
  <c r="V833" i="1" s="1"/>
  <c r="AJ833" i="1"/>
  <c r="CX833" i="1" s="1"/>
  <c r="W833" i="1" s="1"/>
  <c r="CU833" i="1"/>
  <c r="FR833" i="1"/>
  <c r="GL833" i="1"/>
  <c r="GN833" i="1"/>
  <c r="GO833" i="1"/>
  <c r="GV833" i="1"/>
  <c r="HC833" i="1"/>
  <c r="GX833" i="1" s="1"/>
  <c r="D834" i="1"/>
  <c r="AC834" i="1"/>
  <c r="CQ834" i="1" s="1"/>
  <c r="P834" i="1" s="1"/>
  <c r="AE834" i="1"/>
  <c r="AF834" i="1"/>
  <c r="AG834" i="1"/>
  <c r="CU834" i="1" s="1"/>
  <c r="T834" i="1" s="1"/>
  <c r="AH834" i="1"/>
  <c r="CV834" i="1" s="1"/>
  <c r="U834" i="1" s="1"/>
  <c r="AI834" i="1"/>
  <c r="CW834" i="1" s="1"/>
  <c r="V834" i="1" s="1"/>
  <c r="AJ834" i="1"/>
  <c r="CX834" i="1" s="1"/>
  <c r="W834" i="1" s="1"/>
  <c r="FR834" i="1"/>
  <c r="GL834" i="1"/>
  <c r="GN834" i="1"/>
  <c r="GO834" i="1"/>
  <c r="GV834" i="1"/>
  <c r="HC834" i="1" s="1"/>
  <c r="GX834" i="1" s="1"/>
  <c r="D835" i="1"/>
  <c r="AC835" i="1"/>
  <c r="CQ835" i="1" s="1"/>
  <c r="P835" i="1" s="1"/>
  <c r="AE835" i="1"/>
  <c r="AF835" i="1"/>
  <c r="CT835" i="1" s="1"/>
  <c r="S835" i="1" s="1"/>
  <c r="AG835" i="1"/>
  <c r="AH835" i="1"/>
  <c r="AI835" i="1"/>
  <c r="CW835" i="1" s="1"/>
  <c r="V835" i="1" s="1"/>
  <c r="AJ835" i="1"/>
  <c r="CX835" i="1" s="1"/>
  <c r="W835" i="1" s="1"/>
  <c r="CU835" i="1"/>
  <c r="T835" i="1" s="1"/>
  <c r="CV835" i="1"/>
  <c r="U835" i="1" s="1"/>
  <c r="FR835" i="1"/>
  <c r="GL835" i="1"/>
  <c r="GN835" i="1"/>
  <c r="GO835" i="1"/>
  <c r="GV835" i="1"/>
  <c r="HC835" i="1" s="1"/>
  <c r="GX835" i="1" s="1"/>
  <c r="D837" i="1"/>
  <c r="I837" i="1"/>
  <c r="K837" i="1"/>
  <c r="AC837" i="1"/>
  <c r="AE837" i="1"/>
  <c r="AF837" i="1"/>
  <c r="AG837" i="1"/>
  <c r="CU837" i="1" s="1"/>
  <c r="T837" i="1" s="1"/>
  <c r="AH837" i="1"/>
  <c r="CV837" i="1" s="1"/>
  <c r="U837" i="1" s="1"/>
  <c r="AI837" i="1"/>
  <c r="CW837" i="1" s="1"/>
  <c r="V837" i="1" s="1"/>
  <c r="AJ837" i="1"/>
  <c r="CX837" i="1"/>
  <c r="FR837" i="1"/>
  <c r="GL837" i="1"/>
  <c r="GN837" i="1"/>
  <c r="GO837" i="1"/>
  <c r="GV837" i="1"/>
  <c r="HC837" i="1" s="1"/>
  <c r="GX837" i="1" s="1"/>
  <c r="D838" i="1"/>
  <c r="I838" i="1"/>
  <c r="K838" i="1"/>
  <c r="AC838" i="1"/>
  <c r="AE838" i="1"/>
  <c r="AD838" i="1" s="1"/>
  <c r="AF838" i="1"/>
  <c r="CT838" i="1" s="1"/>
  <c r="AG838" i="1"/>
  <c r="CU838" i="1" s="1"/>
  <c r="T838" i="1" s="1"/>
  <c r="AH838" i="1"/>
  <c r="AI838" i="1"/>
  <c r="CW838" i="1" s="1"/>
  <c r="V838" i="1" s="1"/>
  <c r="AJ838" i="1"/>
  <c r="CX838" i="1" s="1"/>
  <c r="W838" i="1" s="1"/>
  <c r="CQ838" i="1"/>
  <c r="P838" i="1" s="1"/>
  <c r="CR838" i="1"/>
  <c r="Q838" i="1" s="1"/>
  <c r="CS838" i="1"/>
  <c r="R838" i="1" s="1"/>
  <c r="GK838" i="1" s="1"/>
  <c r="CV838" i="1"/>
  <c r="U838" i="1" s="1"/>
  <c r="FR838" i="1"/>
  <c r="GL838" i="1"/>
  <c r="GN838" i="1"/>
  <c r="GO838" i="1"/>
  <c r="GV838" i="1"/>
  <c r="HC838" i="1" s="1"/>
  <c r="D840" i="1"/>
  <c r="AC840" i="1"/>
  <c r="AE840" i="1"/>
  <c r="AF840" i="1"/>
  <c r="CT840" i="1" s="1"/>
  <c r="S840" i="1" s="1"/>
  <c r="AG840" i="1"/>
  <c r="AH840" i="1"/>
  <c r="CV840" i="1" s="1"/>
  <c r="U840" i="1" s="1"/>
  <c r="AI840" i="1"/>
  <c r="AJ840" i="1"/>
  <c r="CU840" i="1"/>
  <c r="T840" i="1" s="1"/>
  <c r="CW840" i="1"/>
  <c r="V840" i="1" s="1"/>
  <c r="CX840" i="1"/>
  <c r="W840" i="1" s="1"/>
  <c r="FR840" i="1"/>
  <c r="GL840" i="1"/>
  <c r="GN840" i="1"/>
  <c r="GO840" i="1"/>
  <c r="GV840" i="1"/>
  <c r="HC840" i="1"/>
  <c r="GX840" i="1" s="1"/>
  <c r="D841" i="1"/>
  <c r="P841" i="1"/>
  <c r="AC841" i="1"/>
  <c r="CQ841" i="1" s="1"/>
  <c r="AE841" i="1"/>
  <c r="AF841" i="1"/>
  <c r="AG841" i="1"/>
  <c r="CU841" i="1" s="1"/>
  <c r="T841" i="1" s="1"/>
  <c r="AH841" i="1"/>
  <c r="CV841" i="1" s="1"/>
  <c r="U841" i="1" s="1"/>
  <c r="AI841" i="1"/>
  <c r="CW841" i="1" s="1"/>
  <c r="V841" i="1" s="1"/>
  <c r="AJ841" i="1"/>
  <c r="CX841" i="1" s="1"/>
  <c r="W841" i="1" s="1"/>
  <c r="FR841" i="1"/>
  <c r="GL841" i="1"/>
  <c r="GN841" i="1"/>
  <c r="GO841" i="1"/>
  <c r="GV841" i="1"/>
  <c r="HC841" i="1" s="1"/>
  <c r="GX841" i="1"/>
  <c r="D842" i="1"/>
  <c r="T842" i="1"/>
  <c r="U842" i="1"/>
  <c r="V842" i="1"/>
  <c r="AC842" i="1"/>
  <c r="AE842" i="1"/>
  <c r="AF842" i="1"/>
  <c r="AG842" i="1"/>
  <c r="AH842" i="1"/>
  <c r="AI842" i="1"/>
  <c r="CW842" i="1" s="1"/>
  <c r="AJ842" i="1"/>
  <c r="CX842" i="1" s="1"/>
  <c r="W842" i="1" s="1"/>
  <c r="CQ842" i="1"/>
  <c r="P842" i="1" s="1"/>
  <c r="CU842" i="1"/>
  <c r="CV842" i="1"/>
  <c r="FR842" i="1"/>
  <c r="GL842" i="1"/>
  <c r="GN842" i="1"/>
  <c r="GO842" i="1"/>
  <c r="GV842" i="1"/>
  <c r="HC842" i="1"/>
  <c r="GX842" i="1" s="1"/>
  <c r="D843" i="1"/>
  <c r="I843" i="1"/>
  <c r="K843" i="1"/>
  <c r="AC843" i="1"/>
  <c r="CQ843" i="1" s="1"/>
  <c r="AD843" i="1"/>
  <c r="AB843" i="1" s="1"/>
  <c r="AE843" i="1"/>
  <c r="AF843" i="1"/>
  <c r="AG843" i="1"/>
  <c r="CU843" i="1" s="1"/>
  <c r="AH843" i="1"/>
  <c r="CV843" i="1" s="1"/>
  <c r="AI843" i="1"/>
  <c r="AJ843" i="1"/>
  <c r="CW843" i="1"/>
  <c r="CX843" i="1"/>
  <c r="FR843" i="1"/>
  <c r="GL843" i="1"/>
  <c r="GN843" i="1"/>
  <c r="GO843" i="1"/>
  <c r="GV843" i="1"/>
  <c r="HC843" i="1" s="1"/>
  <c r="D844" i="1"/>
  <c r="AC844" i="1"/>
  <c r="CQ844" i="1" s="1"/>
  <c r="P844" i="1" s="1"/>
  <c r="AE844" i="1"/>
  <c r="AF844" i="1"/>
  <c r="CT844" i="1" s="1"/>
  <c r="S844" i="1" s="1"/>
  <c r="AG844" i="1"/>
  <c r="CU844" i="1" s="1"/>
  <c r="T844" i="1" s="1"/>
  <c r="AH844" i="1"/>
  <c r="CV844" i="1" s="1"/>
  <c r="U844" i="1" s="1"/>
  <c r="AI844" i="1"/>
  <c r="CW844" i="1" s="1"/>
  <c r="V844" i="1" s="1"/>
  <c r="AJ844" i="1"/>
  <c r="CX844" i="1" s="1"/>
  <c r="W844" i="1" s="1"/>
  <c r="FR844" i="1"/>
  <c r="GL844" i="1"/>
  <c r="GN844" i="1"/>
  <c r="GO844" i="1"/>
  <c r="GV844" i="1"/>
  <c r="HC844" i="1" s="1"/>
  <c r="GX844" i="1" s="1"/>
  <c r="D845" i="1"/>
  <c r="AC845" i="1"/>
  <c r="AE845" i="1"/>
  <c r="AF845" i="1"/>
  <c r="AG845" i="1"/>
  <c r="AH845" i="1"/>
  <c r="CV845" i="1" s="1"/>
  <c r="U845" i="1" s="1"/>
  <c r="AI845" i="1"/>
  <c r="CW845" i="1" s="1"/>
  <c r="V845" i="1" s="1"/>
  <c r="AJ845" i="1"/>
  <c r="CX845" i="1" s="1"/>
  <c r="W845" i="1" s="1"/>
  <c r="CQ845" i="1"/>
  <c r="P845" i="1" s="1"/>
  <c r="CR845" i="1"/>
  <c r="Q845" i="1" s="1"/>
  <c r="CS845" i="1"/>
  <c r="CU845" i="1"/>
  <c r="T845" i="1" s="1"/>
  <c r="FR845" i="1"/>
  <c r="GL845" i="1"/>
  <c r="GN845" i="1"/>
  <c r="GO845" i="1"/>
  <c r="GV845" i="1"/>
  <c r="HC845" i="1" s="1"/>
  <c r="GX845" i="1" s="1"/>
  <c r="D847" i="1"/>
  <c r="I847" i="1"/>
  <c r="K847" i="1"/>
  <c r="AC847" i="1"/>
  <c r="CQ847" i="1" s="1"/>
  <c r="P847" i="1" s="1"/>
  <c r="AD847" i="1"/>
  <c r="AE847" i="1"/>
  <c r="AF847" i="1"/>
  <c r="AG847" i="1"/>
  <c r="AH847" i="1"/>
  <c r="CV847" i="1" s="1"/>
  <c r="U847" i="1" s="1"/>
  <c r="AI847" i="1"/>
  <c r="AJ847" i="1"/>
  <c r="CT847" i="1"/>
  <c r="CU847" i="1"/>
  <c r="T847" i="1" s="1"/>
  <c r="CW847" i="1"/>
  <c r="V847" i="1" s="1"/>
  <c r="CX847" i="1"/>
  <c r="W847" i="1" s="1"/>
  <c r="FR847" i="1"/>
  <c r="GL847" i="1"/>
  <c r="GN847" i="1"/>
  <c r="GO847" i="1"/>
  <c r="GV847" i="1"/>
  <c r="HC847" i="1"/>
  <c r="D848" i="1"/>
  <c r="I848" i="1"/>
  <c r="K848" i="1"/>
  <c r="AC848" i="1"/>
  <c r="AE848" i="1"/>
  <c r="AD848" i="1" s="1"/>
  <c r="AF848" i="1"/>
  <c r="CT848" i="1" s="1"/>
  <c r="AG848" i="1"/>
  <c r="CU848" i="1" s="1"/>
  <c r="AH848" i="1"/>
  <c r="CV848" i="1" s="1"/>
  <c r="AI848" i="1"/>
  <c r="CW848" i="1" s="1"/>
  <c r="AJ848" i="1"/>
  <c r="CX848" i="1" s="1"/>
  <c r="CQ848" i="1"/>
  <c r="P848" i="1" s="1"/>
  <c r="FR848" i="1"/>
  <c r="GL848" i="1"/>
  <c r="GN848" i="1"/>
  <c r="GO848" i="1"/>
  <c r="GV848" i="1"/>
  <c r="HC848" i="1"/>
  <c r="D849" i="1"/>
  <c r="I849" i="1"/>
  <c r="K849" i="1"/>
  <c r="AC849" i="1"/>
  <c r="AE849" i="1"/>
  <c r="AF849" i="1"/>
  <c r="AG849" i="1"/>
  <c r="AH849" i="1"/>
  <c r="CV849" i="1" s="1"/>
  <c r="U849" i="1" s="1"/>
  <c r="AI849" i="1"/>
  <c r="CW849" i="1" s="1"/>
  <c r="V849" i="1" s="1"/>
  <c r="AJ849" i="1"/>
  <c r="CX849" i="1" s="1"/>
  <c r="W849" i="1" s="1"/>
  <c r="CQ849" i="1"/>
  <c r="P849" i="1" s="1"/>
  <c r="CR849" i="1"/>
  <c r="Q849" i="1" s="1"/>
  <c r="CU849" i="1"/>
  <c r="T849" i="1" s="1"/>
  <c r="FR849" i="1"/>
  <c r="GL849" i="1"/>
  <c r="GN849" i="1"/>
  <c r="GO849" i="1"/>
  <c r="GV849" i="1"/>
  <c r="HC849" i="1" s="1"/>
  <c r="D850" i="1"/>
  <c r="I850" i="1"/>
  <c r="K850" i="1"/>
  <c r="AC850" i="1"/>
  <c r="CQ850" i="1" s="1"/>
  <c r="P850" i="1" s="1"/>
  <c r="AE850" i="1"/>
  <c r="CR850" i="1" s="1"/>
  <c r="Q850" i="1" s="1"/>
  <c r="AF850" i="1"/>
  <c r="AG850" i="1"/>
  <c r="CU850" i="1" s="1"/>
  <c r="T850" i="1" s="1"/>
  <c r="AH850" i="1"/>
  <c r="AI850" i="1"/>
  <c r="CW850" i="1" s="1"/>
  <c r="V850" i="1" s="1"/>
  <c r="AJ850" i="1"/>
  <c r="CX850" i="1" s="1"/>
  <c r="W850" i="1" s="1"/>
  <c r="CS850" i="1"/>
  <c r="R850" i="1" s="1"/>
  <c r="GK850" i="1" s="1"/>
  <c r="CT850" i="1"/>
  <c r="S850" i="1" s="1"/>
  <c r="CV850" i="1"/>
  <c r="U850" i="1" s="1"/>
  <c r="FR850" i="1"/>
  <c r="GL850" i="1"/>
  <c r="GN850" i="1"/>
  <c r="GO850" i="1"/>
  <c r="GV850" i="1"/>
  <c r="HC850" i="1" s="1"/>
  <c r="GX850" i="1" s="1"/>
  <c r="D851" i="1"/>
  <c r="I851" i="1"/>
  <c r="K851" i="1"/>
  <c r="AC851" i="1"/>
  <c r="CQ851" i="1" s="1"/>
  <c r="AD851" i="1"/>
  <c r="AB851" i="1" s="1"/>
  <c r="AE851" i="1"/>
  <c r="AF851" i="1"/>
  <c r="AG851" i="1"/>
  <c r="AH851" i="1"/>
  <c r="CV851" i="1" s="1"/>
  <c r="U851" i="1" s="1"/>
  <c r="AI851" i="1"/>
  <c r="CW851" i="1" s="1"/>
  <c r="AJ851" i="1"/>
  <c r="CX851" i="1" s="1"/>
  <c r="W851" i="1" s="1"/>
  <c r="CT851" i="1"/>
  <c r="CU851" i="1"/>
  <c r="FR851" i="1"/>
  <c r="GL851" i="1"/>
  <c r="GN851" i="1"/>
  <c r="GO851" i="1"/>
  <c r="GV851" i="1"/>
  <c r="HC851" i="1" s="1"/>
  <c r="D852" i="1"/>
  <c r="I852" i="1"/>
  <c r="GX852" i="1" s="1"/>
  <c r="K852" i="1"/>
  <c r="T852" i="1"/>
  <c r="AC852" i="1"/>
  <c r="AE852" i="1"/>
  <c r="AD852" i="1" s="1"/>
  <c r="AF852" i="1"/>
  <c r="CT852" i="1" s="1"/>
  <c r="AG852" i="1"/>
  <c r="CU852" i="1" s="1"/>
  <c r="AH852" i="1"/>
  <c r="CV852" i="1" s="1"/>
  <c r="U852" i="1" s="1"/>
  <c r="AI852" i="1"/>
  <c r="CW852" i="1" s="1"/>
  <c r="AJ852" i="1"/>
  <c r="CX852" i="1"/>
  <c r="FR852" i="1"/>
  <c r="GL852" i="1"/>
  <c r="GN852" i="1"/>
  <c r="GO852" i="1"/>
  <c r="GV852" i="1"/>
  <c r="HC852" i="1"/>
  <c r="D853" i="1"/>
  <c r="I853" i="1"/>
  <c r="K853" i="1"/>
  <c r="T853" i="1"/>
  <c r="U853" i="1"/>
  <c r="AC853" i="1"/>
  <c r="AE853" i="1"/>
  <c r="AF853" i="1"/>
  <c r="AG853" i="1"/>
  <c r="CU853" i="1" s="1"/>
  <c r="AH853" i="1"/>
  <c r="CV853" i="1" s="1"/>
  <c r="AI853" i="1"/>
  <c r="CW853" i="1" s="1"/>
  <c r="V853" i="1" s="1"/>
  <c r="AJ853" i="1"/>
  <c r="CX853" i="1" s="1"/>
  <c r="W853" i="1" s="1"/>
  <c r="CQ853" i="1"/>
  <c r="P853" i="1" s="1"/>
  <c r="CR853" i="1"/>
  <c r="Q853" i="1" s="1"/>
  <c r="FR853" i="1"/>
  <c r="GL853" i="1"/>
  <c r="GN853" i="1"/>
  <c r="GO853" i="1"/>
  <c r="GV853" i="1"/>
  <c r="HC853" i="1" s="1"/>
  <c r="GX853" i="1" s="1"/>
  <c r="D854" i="1"/>
  <c r="I854" i="1"/>
  <c r="K854" i="1"/>
  <c r="AC854" i="1"/>
  <c r="AE854" i="1"/>
  <c r="CS854" i="1" s="1"/>
  <c r="AF854" i="1"/>
  <c r="AG854" i="1"/>
  <c r="CU854" i="1" s="1"/>
  <c r="T854" i="1" s="1"/>
  <c r="AH854" i="1"/>
  <c r="CV854" i="1" s="1"/>
  <c r="U854" i="1" s="1"/>
  <c r="AI854" i="1"/>
  <c r="CW854" i="1" s="1"/>
  <c r="V854" i="1" s="1"/>
  <c r="AJ854" i="1"/>
  <c r="CX854" i="1" s="1"/>
  <c r="W854" i="1" s="1"/>
  <c r="CR854" i="1"/>
  <c r="Q854" i="1" s="1"/>
  <c r="CT854" i="1"/>
  <c r="S854" i="1" s="1"/>
  <c r="FR854" i="1"/>
  <c r="GL854" i="1"/>
  <c r="GN854" i="1"/>
  <c r="GO854" i="1"/>
  <c r="GV854" i="1"/>
  <c r="HC854" i="1"/>
  <c r="GX854" i="1" s="1"/>
  <c r="D855" i="1"/>
  <c r="I855" i="1"/>
  <c r="K855" i="1"/>
  <c r="AC855" i="1"/>
  <c r="AE855" i="1"/>
  <c r="AF855" i="1"/>
  <c r="AG855" i="1"/>
  <c r="AH855" i="1"/>
  <c r="CV855" i="1" s="1"/>
  <c r="U855" i="1" s="1"/>
  <c r="AI855" i="1"/>
  <c r="CW855" i="1" s="1"/>
  <c r="V855" i="1" s="1"/>
  <c r="AJ855" i="1"/>
  <c r="CX855" i="1" s="1"/>
  <c r="W855" i="1" s="1"/>
  <c r="CT855" i="1"/>
  <c r="CU855" i="1"/>
  <c r="FR855" i="1"/>
  <c r="GL855" i="1"/>
  <c r="GN855" i="1"/>
  <c r="GO855" i="1"/>
  <c r="GV855" i="1"/>
  <c r="HC855" i="1"/>
  <c r="D856" i="1"/>
  <c r="I856" i="1"/>
  <c r="K856" i="1"/>
  <c r="AC856" i="1"/>
  <c r="AD856" i="1"/>
  <c r="AE856" i="1"/>
  <c r="AF856" i="1"/>
  <c r="AG856" i="1"/>
  <c r="CU856" i="1" s="1"/>
  <c r="T856" i="1" s="1"/>
  <c r="AH856" i="1"/>
  <c r="CV856" i="1" s="1"/>
  <c r="AI856" i="1"/>
  <c r="CW856" i="1" s="1"/>
  <c r="V856" i="1" s="1"/>
  <c r="AJ856" i="1"/>
  <c r="CX856" i="1"/>
  <c r="W856" i="1" s="1"/>
  <c r="FR856" i="1"/>
  <c r="GL856" i="1"/>
  <c r="GN856" i="1"/>
  <c r="GO856" i="1"/>
  <c r="GV856" i="1"/>
  <c r="HC856" i="1" s="1"/>
  <c r="D857" i="1"/>
  <c r="I857" i="1"/>
  <c r="K857" i="1"/>
  <c r="AC857" i="1"/>
  <c r="CQ857" i="1" s="1"/>
  <c r="P857" i="1" s="1"/>
  <c r="AD857" i="1"/>
  <c r="AE857" i="1"/>
  <c r="AF857" i="1"/>
  <c r="AG857" i="1"/>
  <c r="CU857" i="1" s="1"/>
  <c r="T857" i="1" s="1"/>
  <c r="AH857" i="1"/>
  <c r="CV857" i="1" s="1"/>
  <c r="U857" i="1" s="1"/>
  <c r="AI857" i="1"/>
  <c r="CW857" i="1" s="1"/>
  <c r="V857" i="1" s="1"/>
  <c r="AJ857" i="1"/>
  <c r="CX857" i="1" s="1"/>
  <c r="W857" i="1" s="1"/>
  <c r="CR857" i="1"/>
  <c r="Q857" i="1" s="1"/>
  <c r="FR857" i="1"/>
  <c r="GL857" i="1"/>
  <c r="GN857" i="1"/>
  <c r="GO857" i="1"/>
  <c r="GV857" i="1"/>
  <c r="HC857" i="1" s="1"/>
  <c r="GX857" i="1" s="1"/>
  <c r="D858" i="1"/>
  <c r="I858" i="1"/>
  <c r="K858" i="1"/>
  <c r="AC858" i="1"/>
  <c r="CQ858" i="1" s="1"/>
  <c r="P858" i="1" s="1"/>
  <c r="AD858" i="1"/>
  <c r="AE858" i="1"/>
  <c r="AF858" i="1"/>
  <c r="CT858" i="1" s="1"/>
  <c r="AG858" i="1"/>
  <c r="CU858" i="1" s="1"/>
  <c r="AH858" i="1"/>
  <c r="AI858" i="1"/>
  <c r="CW858" i="1" s="1"/>
  <c r="AJ858" i="1"/>
  <c r="CX858" i="1" s="1"/>
  <c r="CR858" i="1"/>
  <c r="CS858" i="1"/>
  <c r="CV858" i="1"/>
  <c r="FR858" i="1"/>
  <c r="GL858" i="1"/>
  <c r="GN858" i="1"/>
  <c r="GO858" i="1"/>
  <c r="GV858" i="1"/>
  <c r="HC858" i="1" s="1"/>
  <c r="B860" i="1"/>
  <c r="B732" i="1" s="1"/>
  <c r="C860" i="1"/>
  <c r="C732" i="1" s="1"/>
  <c r="D860" i="1"/>
  <c r="D732" i="1" s="1"/>
  <c r="F860" i="1"/>
  <c r="F732" i="1" s="1"/>
  <c r="G860" i="1"/>
  <c r="AO860" i="1"/>
  <c r="BX860" i="1"/>
  <c r="BX732" i="1" s="1"/>
  <c r="CK860" i="1"/>
  <c r="CK732" i="1" s="1"/>
  <c r="CL860" i="1"/>
  <c r="CL732" i="1" s="1"/>
  <c r="CM860" i="1"/>
  <c r="CM732" i="1" s="1"/>
  <c r="D890" i="1"/>
  <c r="D892" i="1"/>
  <c r="E892" i="1"/>
  <c r="G892" i="1"/>
  <c r="Z892" i="1"/>
  <c r="AA892" i="1"/>
  <c r="AF892" i="1"/>
  <c r="AM892" i="1"/>
  <c r="AN892" i="1"/>
  <c r="AS892" i="1"/>
  <c r="BE892" i="1"/>
  <c r="BF892" i="1"/>
  <c r="BG892" i="1"/>
  <c r="BH892" i="1"/>
  <c r="BI892" i="1"/>
  <c r="BJ892" i="1"/>
  <c r="BK892" i="1"/>
  <c r="BL892" i="1"/>
  <c r="BM892" i="1"/>
  <c r="BN892" i="1"/>
  <c r="BO892" i="1"/>
  <c r="BP892" i="1"/>
  <c r="BQ892" i="1"/>
  <c r="BR892" i="1"/>
  <c r="BS892" i="1"/>
  <c r="BT892" i="1"/>
  <c r="BU892" i="1"/>
  <c r="BV892" i="1"/>
  <c r="BW892" i="1"/>
  <c r="CD892" i="1"/>
  <c r="CN892" i="1"/>
  <c r="CO892" i="1"/>
  <c r="CP892" i="1"/>
  <c r="CQ892" i="1"/>
  <c r="CR892" i="1"/>
  <c r="CS892" i="1"/>
  <c r="CT892" i="1"/>
  <c r="CU892" i="1"/>
  <c r="CV892" i="1"/>
  <c r="CW892" i="1"/>
  <c r="CX892" i="1"/>
  <c r="CY892" i="1"/>
  <c r="CZ892" i="1"/>
  <c r="DA892" i="1"/>
  <c r="DB892" i="1"/>
  <c r="DC892" i="1"/>
  <c r="DD892" i="1"/>
  <c r="DE892" i="1"/>
  <c r="DF892" i="1"/>
  <c r="DG892" i="1"/>
  <c r="DH892" i="1"/>
  <c r="DI892" i="1"/>
  <c r="DJ892" i="1"/>
  <c r="DK892" i="1"/>
  <c r="DL892" i="1"/>
  <c r="DM892" i="1"/>
  <c r="DN892" i="1"/>
  <c r="DO892" i="1"/>
  <c r="DP892" i="1"/>
  <c r="DQ892" i="1"/>
  <c r="DR892" i="1"/>
  <c r="DS892" i="1"/>
  <c r="DT892" i="1"/>
  <c r="DU892" i="1"/>
  <c r="DV892" i="1"/>
  <c r="DW892" i="1"/>
  <c r="DX892" i="1"/>
  <c r="DY892" i="1"/>
  <c r="DZ892" i="1"/>
  <c r="EA892" i="1"/>
  <c r="EB892" i="1"/>
  <c r="EC892" i="1"/>
  <c r="ED892" i="1"/>
  <c r="EE892" i="1"/>
  <c r="EF892" i="1"/>
  <c r="EG892" i="1"/>
  <c r="EH892" i="1"/>
  <c r="EI892" i="1"/>
  <c r="EJ892" i="1"/>
  <c r="EK892" i="1"/>
  <c r="EL892" i="1"/>
  <c r="EM892" i="1"/>
  <c r="EN892" i="1"/>
  <c r="EO892" i="1"/>
  <c r="EP892" i="1"/>
  <c r="EQ892" i="1"/>
  <c r="ER892" i="1"/>
  <c r="ES892" i="1"/>
  <c r="ET892" i="1"/>
  <c r="EU892" i="1"/>
  <c r="EV892" i="1"/>
  <c r="EW892" i="1"/>
  <c r="EX892" i="1"/>
  <c r="EY892" i="1"/>
  <c r="EZ892" i="1"/>
  <c r="FA892" i="1"/>
  <c r="FB892" i="1"/>
  <c r="FC892" i="1"/>
  <c r="FD892" i="1"/>
  <c r="FE892" i="1"/>
  <c r="FF892" i="1"/>
  <c r="FG892" i="1"/>
  <c r="FH892" i="1"/>
  <c r="FI892" i="1"/>
  <c r="FJ892" i="1"/>
  <c r="FK892" i="1"/>
  <c r="FL892" i="1"/>
  <c r="FM892" i="1"/>
  <c r="FN892" i="1"/>
  <c r="FO892" i="1"/>
  <c r="FP892" i="1"/>
  <c r="FQ892" i="1"/>
  <c r="FR892" i="1"/>
  <c r="FS892" i="1"/>
  <c r="FT892" i="1"/>
  <c r="FU892" i="1"/>
  <c r="FV892" i="1"/>
  <c r="FW892" i="1"/>
  <c r="FX892" i="1"/>
  <c r="FY892" i="1"/>
  <c r="FZ892" i="1"/>
  <c r="GA892" i="1"/>
  <c r="GB892" i="1"/>
  <c r="GC892" i="1"/>
  <c r="GD892" i="1"/>
  <c r="GE892" i="1"/>
  <c r="GF892" i="1"/>
  <c r="GG892" i="1"/>
  <c r="GH892" i="1"/>
  <c r="GI892" i="1"/>
  <c r="GJ892" i="1"/>
  <c r="GK892" i="1"/>
  <c r="GL892" i="1"/>
  <c r="GM892" i="1"/>
  <c r="GN892" i="1"/>
  <c r="GO892" i="1"/>
  <c r="GP892" i="1"/>
  <c r="GQ892" i="1"/>
  <c r="GR892" i="1"/>
  <c r="GS892" i="1"/>
  <c r="GT892" i="1"/>
  <c r="GU892" i="1"/>
  <c r="GV892" i="1"/>
  <c r="GW892" i="1"/>
  <c r="GX892" i="1"/>
  <c r="D894" i="1"/>
  <c r="I894" i="1"/>
  <c r="K894" i="1"/>
  <c r="AC894" i="1"/>
  <c r="AE894" i="1"/>
  <c r="AD894" i="1" s="1"/>
  <c r="AF894" i="1"/>
  <c r="CT894" i="1" s="1"/>
  <c r="AG894" i="1"/>
  <c r="CU894" i="1" s="1"/>
  <c r="AH894" i="1"/>
  <c r="CV894" i="1" s="1"/>
  <c r="U894" i="1" s="1"/>
  <c r="AI894" i="1"/>
  <c r="CW894" i="1" s="1"/>
  <c r="AJ894" i="1"/>
  <c r="CX894" i="1"/>
  <c r="FR894" i="1"/>
  <c r="GL894" i="1"/>
  <c r="GN894" i="1"/>
  <c r="GO894" i="1"/>
  <c r="GV894" i="1"/>
  <c r="HC894" i="1"/>
  <c r="D895" i="1"/>
  <c r="I895" i="1"/>
  <c r="K895" i="1"/>
  <c r="AC895" i="1"/>
  <c r="AE895" i="1"/>
  <c r="AF895" i="1"/>
  <c r="CT895" i="1" s="1"/>
  <c r="S895" i="1" s="1"/>
  <c r="AG895" i="1"/>
  <c r="CU895" i="1" s="1"/>
  <c r="T895" i="1" s="1"/>
  <c r="AH895" i="1"/>
  <c r="CV895" i="1" s="1"/>
  <c r="U895" i="1" s="1"/>
  <c r="AI895" i="1"/>
  <c r="CW895" i="1" s="1"/>
  <c r="AJ895" i="1"/>
  <c r="CX895" i="1" s="1"/>
  <c r="W895" i="1" s="1"/>
  <c r="FR895" i="1"/>
  <c r="GL895" i="1"/>
  <c r="GN895" i="1"/>
  <c r="GO895" i="1"/>
  <c r="GV895" i="1"/>
  <c r="HC895" i="1" s="1"/>
  <c r="GX895" i="1" s="1"/>
  <c r="B897" i="1"/>
  <c r="B892" i="1" s="1"/>
  <c r="C897" i="1"/>
  <c r="C892" i="1" s="1"/>
  <c r="D897" i="1"/>
  <c r="F897" i="1"/>
  <c r="F892" i="1" s="1"/>
  <c r="G897" i="1"/>
  <c r="S897" i="1"/>
  <c r="F912" i="1" s="1"/>
  <c r="T897" i="1"/>
  <c r="U897" i="1"/>
  <c r="U892" i="1" s="1"/>
  <c r="AB897" i="1"/>
  <c r="AC897" i="1"/>
  <c r="AD897" i="1"/>
  <c r="AE897" i="1"/>
  <c r="AE892" i="1" s="1"/>
  <c r="AF897" i="1"/>
  <c r="AG897" i="1"/>
  <c r="AG892" i="1" s="1"/>
  <c r="AH897" i="1"/>
  <c r="AH892" i="1" s="1"/>
  <c r="AI897" i="1"/>
  <c r="AI892" i="1" s="1"/>
  <c r="AJ897" i="1"/>
  <c r="AK897" i="1"/>
  <c r="AL897" i="1"/>
  <c r="AO897" i="1"/>
  <c r="AP897" i="1"/>
  <c r="BX897" i="1"/>
  <c r="BY897" i="1"/>
  <c r="BY892" i="1" s="1"/>
  <c r="BZ897" i="1"/>
  <c r="CA897" i="1"/>
  <c r="CB897" i="1"/>
  <c r="AS897" i="1" s="1"/>
  <c r="F914" i="1" s="1"/>
  <c r="CC897" i="1"/>
  <c r="AT897" i="1" s="1"/>
  <c r="CD897" i="1"/>
  <c r="AU897" i="1" s="1"/>
  <c r="AU892" i="1" s="1"/>
  <c r="CI897" i="1"/>
  <c r="CJ897" i="1"/>
  <c r="CK897" i="1"/>
  <c r="CL897" i="1"/>
  <c r="CM897" i="1"/>
  <c r="F916" i="1"/>
  <c r="B927" i="1"/>
  <c r="B728" i="1" s="1"/>
  <c r="C927" i="1"/>
  <c r="C728" i="1" s="1"/>
  <c r="D927" i="1"/>
  <c r="D728" i="1" s="1"/>
  <c r="F927" i="1"/>
  <c r="F728" i="1" s="1"/>
  <c r="G927" i="1"/>
  <c r="D957" i="1"/>
  <c r="C959" i="1"/>
  <c r="E959" i="1"/>
  <c r="Z959" i="1"/>
  <c r="AA959" i="1"/>
  <c r="AM959" i="1"/>
  <c r="AN959" i="1"/>
  <c r="BE959" i="1"/>
  <c r="BF959" i="1"/>
  <c r="BG959" i="1"/>
  <c r="BH959" i="1"/>
  <c r="BI959" i="1"/>
  <c r="BJ959" i="1"/>
  <c r="BK959" i="1"/>
  <c r="BL959" i="1"/>
  <c r="BM959" i="1"/>
  <c r="BN959" i="1"/>
  <c r="BO959" i="1"/>
  <c r="BP959" i="1"/>
  <c r="BQ959" i="1"/>
  <c r="BR959" i="1"/>
  <c r="BS959" i="1"/>
  <c r="BT959" i="1"/>
  <c r="BU959" i="1"/>
  <c r="BV959" i="1"/>
  <c r="BW959" i="1"/>
  <c r="BX959" i="1"/>
  <c r="BY959" i="1"/>
  <c r="CN959" i="1"/>
  <c r="CO959" i="1"/>
  <c r="CP959" i="1"/>
  <c r="CQ959" i="1"/>
  <c r="CR959" i="1"/>
  <c r="CS959" i="1"/>
  <c r="CT959" i="1"/>
  <c r="CU959" i="1"/>
  <c r="CV959" i="1"/>
  <c r="CW959" i="1"/>
  <c r="CX959" i="1"/>
  <c r="CY959" i="1"/>
  <c r="CZ959" i="1"/>
  <c r="DA959" i="1"/>
  <c r="DB959" i="1"/>
  <c r="DC959" i="1"/>
  <c r="DD959" i="1"/>
  <c r="DE959" i="1"/>
  <c r="DF959" i="1"/>
  <c r="DG959" i="1"/>
  <c r="DH959" i="1"/>
  <c r="DI959" i="1"/>
  <c r="DJ959" i="1"/>
  <c r="DK959" i="1"/>
  <c r="DL959" i="1"/>
  <c r="DM959" i="1"/>
  <c r="DN959" i="1"/>
  <c r="DO959" i="1"/>
  <c r="DP959" i="1"/>
  <c r="DQ959" i="1"/>
  <c r="DR959" i="1"/>
  <c r="DS959" i="1"/>
  <c r="DT959" i="1"/>
  <c r="DU959" i="1"/>
  <c r="DV959" i="1"/>
  <c r="DW959" i="1"/>
  <c r="DX959" i="1"/>
  <c r="DY959" i="1"/>
  <c r="DZ959" i="1"/>
  <c r="EA959" i="1"/>
  <c r="EB959" i="1"/>
  <c r="EC959" i="1"/>
  <c r="ED959" i="1"/>
  <c r="EE959" i="1"/>
  <c r="EF959" i="1"/>
  <c r="EG959" i="1"/>
  <c r="EH959" i="1"/>
  <c r="EI959" i="1"/>
  <c r="EJ959" i="1"/>
  <c r="EK959" i="1"/>
  <c r="EL959" i="1"/>
  <c r="EM959" i="1"/>
  <c r="EN959" i="1"/>
  <c r="EO959" i="1"/>
  <c r="EP959" i="1"/>
  <c r="EQ959" i="1"/>
  <c r="ER959" i="1"/>
  <c r="ES959" i="1"/>
  <c r="ET959" i="1"/>
  <c r="EU959" i="1"/>
  <c r="EV959" i="1"/>
  <c r="EW959" i="1"/>
  <c r="EX959" i="1"/>
  <c r="EY959" i="1"/>
  <c r="EZ959" i="1"/>
  <c r="FA959" i="1"/>
  <c r="FB959" i="1"/>
  <c r="FC959" i="1"/>
  <c r="FD959" i="1"/>
  <c r="FE959" i="1"/>
  <c r="FF959" i="1"/>
  <c r="FG959" i="1"/>
  <c r="FH959" i="1"/>
  <c r="FI959" i="1"/>
  <c r="FJ959" i="1"/>
  <c r="FK959" i="1"/>
  <c r="FL959" i="1"/>
  <c r="FM959" i="1"/>
  <c r="FN959" i="1"/>
  <c r="FO959" i="1"/>
  <c r="FP959" i="1"/>
  <c r="FQ959" i="1"/>
  <c r="FR959" i="1"/>
  <c r="FS959" i="1"/>
  <c r="FT959" i="1"/>
  <c r="FU959" i="1"/>
  <c r="FV959" i="1"/>
  <c r="FW959" i="1"/>
  <c r="FX959" i="1"/>
  <c r="FY959" i="1"/>
  <c r="FZ959" i="1"/>
  <c r="GA959" i="1"/>
  <c r="GB959" i="1"/>
  <c r="GC959" i="1"/>
  <c r="GD959" i="1"/>
  <c r="GE959" i="1"/>
  <c r="GF959" i="1"/>
  <c r="GG959" i="1"/>
  <c r="GH959" i="1"/>
  <c r="GI959" i="1"/>
  <c r="GJ959" i="1"/>
  <c r="GK959" i="1"/>
  <c r="GL959" i="1"/>
  <c r="GM959" i="1"/>
  <c r="GN959" i="1"/>
  <c r="GO959" i="1"/>
  <c r="GP959" i="1"/>
  <c r="GQ959" i="1"/>
  <c r="GR959" i="1"/>
  <c r="GS959" i="1"/>
  <c r="GT959" i="1"/>
  <c r="GU959" i="1"/>
  <c r="GV959" i="1"/>
  <c r="GW959" i="1"/>
  <c r="GX959" i="1"/>
  <c r="D961" i="1"/>
  <c r="AC961" i="1"/>
  <c r="CQ961" i="1" s="1"/>
  <c r="P961" i="1" s="1"/>
  <c r="AD961" i="1"/>
  <c r="AB961" i="1" s="1"/>
  <c r="AE961" i="1"/>
  <c r="AF961" i="1"/>
  <c r="AG961" i="1"/>
  <c r="CU961" i="1" s="1"/>
  <c r="T961" i="1" s="1"/>
  <c r="AH961" i="1"/>
  <c r="AI961" i="1"/>
  <c r="AJ961" i="1"/>
  <c r="CX961" i="1" s="1"/>
  <c r="W961" i="1" s="1"/>
  <c r="CR961" i="1"/>
  <c r="Q961" i="1" s="1"/>
  <c r="CV961" i="1"/>
  <c r="U961" i="1" s="1"/>
  <c r="CW961" i="1"/>
  <c r="V961" i="1" s="1"/>
  <c r="FR961" i="1"/>
  <c r="GL961" i="1"/>
  <c r="GN961" i="1"/>
  <c r="GO961" i="1"/>
  <c r="GV961" i="1"/>
  <c r="HC961" i="1" s="1"/>
  <c r="GX961" i="1" s="1"/>
  <c r="D962" i="1"/>
  <c r="AC962" i="1"/>
  <c r="CQ962" i="1" s="1"/>
  <c r="P962" i="1" s="1"/>
  <c r="AE962" i="1"/>
  <c r="AD962" i="1" s="1"/>
  <c r="AF962" i="1"/>
  <c r="CT962" i="1" s="1"/>
  <c r="S962" i="1" s="1"/>
  <c r="AG962" i="1"/>
  <c r="CU962" i="1" s="1"/>
  <c r="T962" i="1" s="1"/>
  <c r="AH962" i="1"/>
  <c r="CV962" i="1" s="1"/>
  <c r="U962" i="1" s="1"/>
  <c r="AI962" i="1"/>
  <c r="CW962" i="1" s="1"/>
  <c r="V962" i="1" s="1"/>
  <c r="AJ962" i="1"/>
  <c r="CS962" i="1"/>
  <c r="R962" i="1" s="1"/>
  <c r="GK962" i="1" s="1"/>
  <c r="CX962" i="1"/>
  <c r="W962" i="1" s="1"/>
  <c r="FR962" i="1"/>
  <c r="GL962" i="1"/>
  <c r="GN962" i="1"/>
  <c r="GO962" i="1"/>
  <c r="GV962" i="1"/>
  <c r="HC962" i="1" s="1"/>
  <c r="GX962" i="1" s="1"/>
  <c r="D963" i="1"/>
  <c r="AC963" i="1"/>
  <c r="CQ963" i="1" s="1"/>
  <c r="P963" i="1" s="1"/>
  <c r="AE963" i="1"/>
  <c r="AF963" i="1"/>
  <c r="AG963" i="1"/>
  <c r="CU963" i="1" s="1"/>
  <c r="T963" i="1" s="1"/>
  <c r="AH963" i="1"/>
  <c r="CV963" i="1" s="1"/>
  <c r="U963" i="1" s="1"/>
  <c r="AI963" i="1"/>
  <c r="AJ963" i="1"/>
  <c r="CX963" i="1" s="1"/>
  <c r="W963" i="1" s="1"/>
  <c r="CR963" i="1"/>
  <c r="Q963" i="1" s="1"/>
  <c r="CW963" i="1"/>
  <c r="V963" i="1" s="1"/>
  <c r="FR963" i="1"/>
  <c r="GL963" i="1"/>
  <c r="GN963" i="1"/>
  <c r="GO963" i="1"/>
  <c r="GV963" i="1"/>
  <c r="GX963" i="1"/>
  <c r="HC963" i="1"/>
  <c r="D964" i="1"/>
  <c r="T964" i="1"/>
  <c r="AC964" i="1"/>
  <c r="CQ964" i="1" s="1"/>
  <c r="P964" i="1" s="1"/>
  <c r="AE964" i="1"/>
  <c r="AF964" i="1"/>
  <c r="AG964" i="1"/>
  <c r="CU964" i="1" s="1"/>
  <c r="AH964" i="1"/>
  <c r="CV964" i="1" s="1"/>
  <c r="U964" i="1" s="1"/>
  <c r="AI964" i="1"/>
  <c r="CW964" i="1" s="1"/>
  <c r="V964" i="1" s="1"/>
  <c r="AJ964" i="1"/>
  <c r="CX964" i="1" s="1"/>
  <c r="W964" i="1" s="1"/>
  <c r="FR964" i="1"/>
  <c r="GL964" i="1"/>
  <c r="GN964" i="1"/>
  <c r="GO964" i="1"/>
  <c r="GV964" i="1"/>
  <c r="HC964" i="1" s="1"/>
  <c r="GX964" i="1" s="1"/>
  <c r="D965" i="1"/>
  <c r="I965" i="1"/>
  <c r="K965" i="1"/>
  <c r="AC965" i="1"/>
  <c r="AE965" i="1"/>
  <c r="AF965" i="1"/>
  <c r="AG965" i="1"/>
  <c r="CU965" i="1" s="1"/>
  <c r="T965" i="1" s="1"/>
  <c r="AH965" i="1"/>
  <c r="CV965" i="1" s="1"/>
  <c r="U965" i="1" s="1"/>
  <c r="AI965" i="1"/>
  <c r="CW965" i="1" s="1"/>
  <c r="V965" i="1" s="1"/>
  <c r="AJ965" i="1"/>
  <c r="CX965" i="1" s="1"/>
  <c r="W965" i="1" s="1"/>
  <c r="CQ965" i="1"/>
  <c r="P965" i="1" s="1"/>
  <c r="CR965" i="1"/>
  <c r="Q965" i="1" s="1"/>
  <c r="CS965" i="1"/>
  <c r="FR965" i="1"/>
  <c r="GL965" i="1"/>
  <c r="GN965" i="1"/>
  <c r="GO965" i="1"/>
  <c r="GV965" i="1"/>
  <c r="HC965" i="1" s="1"/>
  <c r="D966" i="1"/>
  <c r="I966" i="1"/>
  <c r="K966" i="1"/>
  <c r="AC966" i="1"/>
  <c r="CQ966" i="1" s="1"/>
  <c r="P966" i="1" s="1"/>
  <c r="AD966" i="1"/>
  <c r="AE966" i="1"/>
  <c r="AF966" i="1"/>
  <c r="AG966" i="1"/>
  <c r="CU966" i="1" s="1"/>
  <c r="T966" i="1" s="1"/>
  <c r="AH966" i="1"/>
  <c r="AI966" i="1"/>
  <c r="AJ966" i="1"/>
  <c r="CX966" i="1" s="1"/>
  <c r="W966" i="1" s="1"/>
  <c r="CR966" i="1"/>
  <c r="Q966" i="1" s="1"/>
  <c r="CS966" i="1"/>
  <c r="R966" i="1" s="1"/>
  <c r="GK966" i="1" s="1"/>
  <c r="CT966" i="1"/>
  <c r="S966" i="1" s="1"/>
  <c r="CV966" i="1"/>
  <c r="U966" i="1" s="1"/>
  <c r="CW966" i="1"/>
  <c r="V966" i="1" s="1"/>
  <c r="FR966" i="1"/>
  <c r="GL966" i="1"/>
  <c r="GN966" i="1"/>
  <c r="GO966" i="1"/>
  <c r="GV966" i="1"/>
  <c r="HC966" i="1" s="1"/>
  <c r="D967" i="1"/>
  <c r="AC967" i="1"/>
  <c r="AD967" i="1"/>
  <c r="AE967" i="1"/>
  <c r="CS967" i="1" s="1"/>
  <c r="R967" i="1" s="1"/>
  <c r="GK967" i="1" s="1"/>
  <c r="AF967" i="1"/>
  <c r="CT967" i="1" s="1"/>
  <c r="S967" i="1" s="1"/>
  <c r="AG967" i="1"/>
  <c r="CU967" i="1" s="1"/>
  <c r="T967" i="1" s="1"/>
  <c r="AH967" i="1"/>
  <c r="CV967" i="1" s="1"/>
  <c r="U967" i="1" s="1"/>
  <c r="AI967" i="1"/>
  <c r="AJ967" i="1"/>
  <c r="CR967" i="1"/>
  <c r="Q967" i="1" s="1"/>
  <c r="CW967" i="1"/>
  <c r="V967" i="1" s="1"/>
  <c r="CX967" i="1"/>
  <c r="W967" i="1" s="1"/>
  <c r="FR967" i="1"/>
  <c r="GL967" i="1"/>
  <c r="GN967" i="1"/>
  <c r="GO967" i="1"/>
  <c r="GV967" i="1"/>
  <c r="HC967" i="1" s="1"/>
  <c r="GX967" i="1" s="1"/>
  <c r="D968" i="1"/>
  <c r="AC968" i="1"/>
  <c r="AE968" i="1"/>
  <c r="AF968" i="1"/>
  <c r="AG968" i="1"/>
  <c r="CU968" i="1" s="1"/>
  <c r="T968" i="1" s="1"/>
  <c r="AH968" i="1"/>
  <c r="CV968" i="1" s="1"/>
  <c r="U968" i="1" s="1"/>
  <c r="AI968" i="1"/>
  <c r="CW968" i="1" s="1"/>
  <c r="V968" i="1" s="1"/>
  <c r="AJ968" i="1"/>
  <c r="CX968" i="1" s="1"/>
  <c r="W968" i="1" s="1"/>
  <c r="CT968" i="1"/>
  <c r="S968" i="1" s="1"/>
  <c r="FR968" i="1"/>
  <c r="GL968" i="1"/>
  <c r="GN968" i="1"/>
  <c r="GO968" i="1"/>
  <c r="GV968" i="1"/>
  <c r="HC968" i="1" s="1"/>
  <c r="GX968" i="1" s="1"/>
  <c r="D969" i="1"/>
  <c r="I969" i="1"/>
  <c r="K969" i="1"/>
  <c r="AC969" i="1"/>
  <c r="AE969" i="1"/>
  <c r="CR969" i="1" s="1"/>
  <c r="Q969" i="1" s="1"/>
  <c r="AF969" i="1"/>
  <c r="CT969" i="1" s="1"/>
  <c r="S969" i="1" s="1"/>
  <c r="AG969" i="1"/>
  <c r="CU969" i="1" s="1"/>
  <c r="AH969" i="1"/>
  <c r="CV969" i="1" s="1"/>
  <c r="AI969" i="1"/>
  <c r="AJ969" i="1"/>
  <c r="CQ969" i="1"/>
  <c r="CW969" i="1"/>
  <c r="V969" i="1" s="1"/>
  <c r="CX969" i="1"/>
  <c r="FR969" i="1"/>
  <c r="GL969" i="1"/>
  <c r="GN969" i="1"/>
  <c r="GO969" i="1"/>
  <c r="GV969" i="1"/>
  <c r="HC969" i="1" s="1"/>
  <c r="GX969" i="1" s="1"/>
  <c r="D971" i="1"/>
  <c r="I971" i="1"/>
  <c r="K971" i="1"/>
  <c r="AC971" i="1"/>
  <c r="CQ971" i="1" s="1"/>
  <c r="AE971" i="1"/>
  <c r="AF971" i="1"/>
  <c r="AG971" i="1"/>
  <c r="CU971" i="1" s="1"/>
  <c r="AH971" i="1"/>
  <c r="CV971" i="1" s="1"/>
  <c r="AI971" i="1"/>
  <c r="CW971" i="1" s="1"/>
  <c r="AJ971" i="1"/>
  <c r="CX971" i="1" s="1"/>
  <c r="FR971" i="1"/>
  <c r="GL971" i="1"/>
  <c r="GN971" i="1"/>
  <c r="GO971" i="1"/>
  <c r="GV971" i="1"/>
  <c r="HC971" i="1" s="1"/>
  <c r="D973" i="1"/>
  <c r="I973" i="1"/>
  <c r="K973" i="1"/>
  <c r="AC973" i="1"/>
  <c r="AE973" i="1"/>
  <c r="AF973" i="1"/>
  <c r="AG973" i="1"/>
  <c r="CU973" i="1" s="1"/>
  <c r="T973" i="1" s="1"/>
  <c r="AH973" i="1"/>
  <c r="AI973" i="1"/>
  <c r="CW973" i="1" s="1"/>
  <c r="AJ973" i="1"/>
  <c r="CV973" i="1"/>
  <c r="CX973" i="1"/>
  <c r="W973" i="1" s="1"/>
  <c r="FR973" i="1"/>
  <c r="GL973" i="1"/>
  <c r="GN973" i="1"/>
  <c r="GO973" i="1"/>
  <c r="GV973" i="1"/>
  <c r="HC973" i="1"/>
  <c r="B975" i="1"/>
  <c r="B959" i="1" s="1"/>
  <c r="C975" i="1"/>
  <c r="D975" i="1"/>
  <c r="D959" i="1" s="1"/>
  <c r="F975" i="1"/>
  <c r="F959" i="1" s="1"/>
  <c r="G975" i="1"/>
  <c r="G959" i="1" s="1"/>
  <c r="BD975" i="1"/>
  <c r="BD959" i="1" s="1"/>
  <c r="BX975" i="1"/>
  <c r="AO975" i="1" s="1"/>
  <c r="BY975" i="1"/>
  <c r="AP975" i="1" s="1"/>
  <c r="CK975" i="1"/>
  <c r="CL975" i="1"/>
  <c r="CL959" i="1" s="1"/>
  <c r="CM975" i="1"/>
  <c r="CM959" i="1" s="1"/>
  <c r="B1005" i="1"/>
  <c r="B22" i="1" s="1"/>
  <c r="C1005" i="1"/>
  <c r="C22" i="1" s="1"/>
  <c r="D1005" i="1"/>
  <c r="D22" i="1" s="1"/>
  <c r="F1005" i="1"/>
  <c r="F22" i="1" s="1"/>
  <c r="G1005" i="1"/>
  <c r="B1035" i="1"/>
  <c r="B18" i="1" s="1"/>
  <c r="C1035" i="1"/>
  <c r="C18" i="1" s="1"/>
  <c r="D1035" i="1"/>
  <c r="D18" i="1" s="1"/>
  <c r="F1035" i="1"/>
  <c r="F18" i="1" s="1"/>
  <c r="G1035" i="1"/>
  <c r="F12" i="6"/>
  <c r="G12" i="6"/>
  <c r="CY12" i="6"/>
  <c r="CY623" i="1" l="1"/>
  <c r="X623" i="1" s="1"/>
  <c r="CZ623" i="1"/>
  <c r="Y623" i="1" s="1"/>
  <c r="CZ617" i="1"/>
  <c r="Y617" i="1" s="1"/>
  <c r="CY617" i="1"/>
  <c r="X617" i="1" s="1"/>
  <c r="K393" i="7"/>
  <c r="L399" i="8"/>
  <c r="R833" i="1"/>
  <c r="GK833" i="1" s="1"/>
  <c r="V1167" i="7"/>
  <c r="V1173" i="8"/>
  <c r="K856" i="7"/>
  <c r="L862" i="8"/>
  <c r="V1096" i="7"/>
  <c r="V1102" i="8"/>
  <c r="R814" i="1"/>
  <c r="GK814" i="1" s="1"/>
  <c r="V517" i="7"/>
  <c r="V523" i="8"/>
  <c r="R413" i="1"/>
  <c r="GK413" i="1" s="1"/>
  <c r="R818" i="1"/>
  <c r="GK818" i="1" s="1"/>
  <c r="V1110" i="7"/>
  <c r="V1116" i="8"/>
  <c r="J1097" i="7"/>
  <c r="K1103" i="8"/>
  <c r="J518" i="7"/>
  <c r="K524" i="8"/>
  <c r="K1160" i="8"/>
  <c r="J1154" i="7"/>
  <c r="K437" i="7"/>
  <c r="L443" i="8"/>
  <c r="R386" i="1"/>
  <c r="V384" i="8"/>
  <c r="K391" i="8" s="1"/>
  <c r="V378" i="7"/>
  <c r="J385" i="7" s="1"/>
  <c r="K1029" i="8"/>
  <c r="J1023" i="7"/>
  <c r="CY152" i="1"/>
  <c r="X152" i="1" s="1"/>
  <c r="CZ152" i="1"/>
  <c r="Y152" i="1" s="1"/>
  <c r="R792" i="1"/>
  <c r="GK792" i="1" s="1"/>
  <c r="V1022" i="7"/>
  <c r="V1028" i="8"/>
  <c r="K677" i="7"/>
  <c r="L683" i="8"/>
  <c r="J231" i="7"/>
  <c r="K237" i="8"/>
  <c r="E208" i="7"/>
  <c r="D215" i="8"/>
  <c r="F214" i="8"/>
  <c r="C209" i="7"/>
  <c r="K1310" i="7"/>
  <c r="L1316" i="8"/>
  <c r="J1260" i="7"/>
  <c r="K1266" i="8"/>
  <c r="J1111" i="7"/>
  <c r="K1117" i="8"/>
  <c r="K959" i="7"/>
  <c r="L965" i="8"/>
  <c r="CP599" i="1"/>
  <c r="O599" i="1" s="1"/>
  <c r="GM599" i="1" s="1"/>
  <c r="GP599" i="1" s="1"/>
  <c r="J626" i="7"/>
  <c r="K632" i="8"/>
  <c r="U420" i="1"/>
  <c r="AO115" i="1"/>
  <c r="F119" i="1" s="1"/>
  <c r="BX109" i="1"/>
  <c r="CG115" i="1"/>
  <c r="CT971" i="1"/>
  <c r="S1341" i="8"/>
  <c r="Q1341" i="8"/>
  <c r="S1335" i="7"/>
  <c r="Q1335" i="7"/>
  <c r="CP845" i="1"/>
  <c r="O845" i="1" s="1"/>
  <c r="J1226" i="7"/>
  <c r="K1232" i="8"/>
  <c r="CP765" i="1"/>
  <c r="O765" i="1" s="1"/>
  <c r="CR818" i="1"/>
  <c r="Q818" i="1" s="1"/>
  <c r="K987" i="8"/>
  <c r="J981" i="7"/>
  <c r="Q957" i="8"/>
  <c r="S951" i="7"/>
  <c r="Q951" i="7"/>
  <c r="S957" i="8"/>
  <c r="U740" i="1"/>
  <c r="R402" i="1"/>
  <c r="GK402" i="1" s="1"/>
  <c r="V468" i="7"/>
  <c r="V474" i="8"/>
  <c r="BC189" i="1"/>
  <c r="F216" i="1"/>
  <c r="CS32" i="1"/>
  <c r="U37" i="7"/>
  <c r="U43" i="8"/>
  <c r="CR32" i="1"/>
  <c r="Q32" i="1" s="1"/>
  <c r="S858" i="1"/>
  <c r="CZ858" i="1" s="1"/>
  <c r="Y858" i="1" s="1"/>
  <c r="CZ817" i="1"/>
  <c r="Y817" i="1" s="1"/>
  <c r="CY817" i="1"/>
  <c r="X817" i="1" s="1"/>
  <c r="CY793" i="1"/>
  <c r="X793" i="1" s="1"/>
  <c r="K984" i="7"/>
  <c r="L990" i="8"/>
  <c r="V749" i="1"/>
  <c r="CT739" i="1"/>
  <c r="S739" i="1" s="1"/>
  <c r="S836" i="7"/>
  <c r="Q836" i="7"/>
  <c r="Q842" i="8"/>
  <c r="S842" i="8"/>
  <c r="J760" i="7"/>
  <c r="K766" i="8"/>
  <c r="CR538" i="1"/>
  <c r="Q538" i="1" s="1"/>
  <c r="CP538" i="1" s="1"/>
  <c r="O538" i="1" s="1"/>
  <c r="GM538" i="1" s="1"/>
  <c r="GP538" i="1" s="1"/>
  <c r="J510" i="7"/>
  <c r="K516" i="8"/>
  <c r="K459" i="7"/>
  <c r="L465" i="8"/>
  <c r="CQ334" i="1"/>
  <c r="P334" i="1" s="1"/>
  <c r="A120" i="7"/>
  <c r="A126" i="8"/>
  <c r="G189" i="1"/>
  <c r="J39" i="7"/>
  <c r="K45" i="8"/>
  <c r="J1328" i="7"/>
  <c r="K1334" i="8"/>
  <c r="AL892" i="1"/>
  <c r="Y897" i="1"/>
  <c r="Y892" i="1" s="1"/>
  <c r="CT834" i="1"/>
  <c r="S834" i="1" s="1"/>
  <c r="CY834" i="1" s="1"/>
  <c r="X834" i="1" s="1"/>
  <c r="Q1179" i="8"/>
  <c r="S1173" i="7"/>
  <c r="Q1173" i="7"/>
  <c r="S1179" i="8"/>
  <c r="S1007" i="7"/>
  <c r="S1013" i="8"/>
  <c r="Q1013" i="8"/>
  <c r="Q1007" i="7"/>
  <c r="CT790" i="1"/>
  <c r="S790" i="1" s="1"/>
  <c r="I420" i="1"/>
  <c r="C559" i="7"/>
  <c r="E558" i="7"/>
  <c r="D565" i="8"/>
  <c r="F564" i="8"/>
  <c r="AD406" i="1"/>
  <c r="AB406" i="1" s="1"/>
  <c r="U491" i="7"/>
  <c r="U497" i="8"/>
  <c r="CR406" i="1"/>
  <c r="Q406" i="1" s="1"/>
  <c r="CP406" i="1" s="1"/>
  <c r="O406" i="1" s="1"/>
  <c r="CS406" i="1"/>
  <c r="AD969" i="1"/>
  <c r="AB969" i="1" s="1"/>
  <c r="J1304" i="7"/>
  <c r="K1310" i="8"/>
  <c r="U1179" i="8"/>
  <c r="U1173" i="7"/>
  <c r="CS834" i="1"/>
  <c r="R767" i="1"/>
  <c r="GK767" i="1" s="1"/>
  <c r="V937" i="7"/>
  <c r="V943" i="8"/>
  <c r="CS760" i="1"/>
  <c r="CR622" i="1"/>
  <c r="Q622" i="1" s="1"/>
  <c r="AD622" i="1"/>
  <c r="S662" i="7"/>
  <c r="S668" i="8"/>
  <c r="Q668" i="8"/>
  <c r="Q662" i="7"/>
  <c r="CT532" i="1"/>
  <c r="S532" i="1" s="1"/>
  <c r="K652" i="8"/>
  <c r="J646" i="7"/>
  <c r="E529" i="7"/>
  <c r="D536" i="8"/>
  <c r="F535" i="8"/>
  <c r="C530" i="7"/>
  <c r="K506" i="7"/>
  <c r="L512" i="8"/>
  <c r="J184" i="7"/>
  <c r="K190" i="8"/>
  <c r="F140" i="1"/>
  <c r="BD109" i="1"/>
  <c r="AT115" i="1"/>
  <c r="CC109" i="1"/>
  <c r="G22" i="1"/>
  <c r="A1361" i="8"/>
  <c r="A1355" i="7"/>
  <c r="CS971" i="1"/>
  <c r="U1341" i="8"/>
  <c r="U1335" i="7"/>
  <c r="CR971" i="1"/>
  <c r="Q971" i="1" s="1"/>
  <c r="AD975" i="1" s="1"/>
  <c r="AD971" i="1"/>
  <c r="AB971" i="1" s="1"/>
  <c r="T858" i="1"/>
  <c r="J1196" i="7"/>
  <c r="K1202" i="8"/>
  <c r="CZ840" i="1"/>
  <c r="Y840" i="1" s="1"/>
  <c r="CT822" i="1"/>
  <c r="S822" i="1" s="1"/>
  <c r="Q1124" i="7"/>
  <c r="S1130" i="8"/>
  <c r="Q1130" i="8"/>
  <c r="S1124" i="7"/>
  <c r="Q767" i="1"/>
  <c r="CP767" i="1" s="1"/>
  <c r="O767" i="1" s="1"/>
  <c r="AD541" i="1"/>
  <c r="CR541" i="1"/>
  <c r="Q541" i="1" s="1"/>
  <c r="CS541" i="1"/>
  <c r="R541" i="1" s="1"/>
  <c r="GK541" i="1" s="1"/>
  <c r="W767" i="1"/>
  <c r="AB852" i="1"/>
  <c r="K1229" i="7"/>
  <c r="L1235" i="8"/>
  <c r="AB830" i="1"/>
  <c r="V767" i="1"/>
  <c r="U749" i="1"/>
  <c r="W740" i="1"/>
  <c r="U842" i="8"/>
  <c r="U836" i="7"/>
  <c r="J761" i="7"/>
  <c r="K767" i="8"/>
  <c r="CL511" i="1"/>
  <c r="BC563" i="1"/>
  <c r="K696" i="7"/>
  <c r="L702" i="8"/>
  <c r="CR546" i="1"/>
  <c r="Q546" i="1" s="1"/>
  <c r="CS546" i="1"/>
  <c r="R546" i="1" s="1"/>
  <c r="GK546" i="1" s="1"/>
  <c r="CQ428" i="1"/>
  <c r="P428" i="1" s="1"/>
  <c r="CR234" i="1"/>
  <c r="Q234" i="1" s="1"/>
  <c r="CS234" i="1"/>
  <c r="R234" i="1" s="1"/>
  <c r="GK234" i="1" s="1"/>
  <c r="S154" i="1"/>
  <c r="AB35" i="1"/>
  <c r="CQ35" i="1"/>
  <c r="P35" i="1" s="1"/>
  <c r="CR835" i="1"/>
  <c r="Q835" i="1" s="1"/>
  <c r="CP835" i="1" s="1"/>
  <c r="O835" i="1" s="1"/>
  <c r="GM835" i="1" s="1"/>
  <c r="GP835" i="1" s="1"/>
  <c r="CS835" i="1"/>
  <c r="R835" i="1" s="1"/>
  <c r="GK835" i="1" s="1"/>
  <c r="CZ538" i="1"/>
  <c r="Y538" i="1" s="1"/>
  <c r="CY538" i="1"/>
  <c r="X538" i="1" s="1"/>
  <c r="Q652" i="7"/>
  <c r="S652" i="7"/>
  <c r="S658" i="8"/>
  <c r="Q658" i="8"/>
  <c r="CT529" i="1"/>
  <c r="S529" i="1" s="1"/>
  <c r="CY441" i="1"/>
  <c r="X441" i="1" s="1"/>
  <c r="CZ441" i="1"/>
  <c r="Y441" i="1" s="1"/>
  <c r="CZ424" i="1"/>
  <c r="Y424" i="1" s="1"/>
  <c r="J569" i="7"/>
  <c r="K575" i="8"/>
  <c r="CY424" i="1"/>
  <c r="X424" i="1" s="1"/>
  <c r="AD413" i="1"/>
  <c r="U517" i="7"/>
  <c r="U523" i="8"/>
  <c r="CR413" i="1"/>
  <c r="Q413" i="1" s="1"/>
  <c r="J245" i="7"/>
  <c r="K251" i="8"/>
  <c r="CR322" i="1"/>
  <c r="Q322" i="1" s="1"/>
  <c r="U236" i="7"/>
  <c r="U242" i="8"/>
  <c r="CS322" i="1"/>
  <c r="CK892" i="1"/>
  <c r="BB897" i="1"/>
  <c r="R854" i="1"/>
  <c r="GK854" i="1" s="1"/>
  <c r="V1265" i="7"/>
  <c r="V1271" i="8"/>
  <c r="CY802" i="1"/>
  <c r="X802" i="1" s="1"/>
  <c r="CZ802" i="1"/>
  <c r="Y802" i="1" s="1"/>
  <c r="CP786" i="1"/>
  <c r="O786" i="1" s="1"/>
  <c r="J1002" i="7"/>
  <c r="K1008" i="8"/>
  <c r="K927" i="7"/>
  <c r="L933" i="8"/>
  <c r="AB760" i="1"/>
  <c r="GX738" i="1"/>
  <c r="CZ597" i="1"/>
  <c r="Y597" i="1" s="1"/>
  <c r="CY597" i="1"/>
  <c r="X597" i="1" s="1"/>
  <c r="AB538" i="1"/>
  <c r="AD441" i="1"/>
  <c r="CR441" i="1"/>
  <c r="Q441" i="1" s="1"/>
  <c r="CS441" i="1"/>
  <c r="R441" i="1" s="1"/>
  <c r="GK441" i="1" s="1"/>
  <c r="K530" i="8"/>
  <c r="J524" i="7"/>
  <c r="AB413" i="1"/>
  <c r="CQ413" i="1"/>
  <c r="P413" i="1" s="1"/>
  <c r="CP413" i="1" s="1"/>
  <c r="O413" i="1" s="1"/>
  <c r="K283" i="7"/>
  <c r="L289" i="8"/>
  <c r="CP323" i="1"/>
  <c r="O323" i="1" s="1"/>
  <c r="J247" i="7"/>
  <c r="K253" i="8"/>
  <c r="J156" i="7"/>
  <c r="K162" i="8"/>
  <c r="CP966" i="1"/>
  <c r="O966" i="1" s="1"/>
  <c r="CQ854" i="1"/>
  <c r="P854" i="1" s="1"/>
  <c r="T843" i="1"/>
  <c r="U1215" i="8"/>
  <c r="U1209" i="7"/>
  <c r="CR842" i="1"/>
  <c r="Q842" i="1" s="1"/>
  <c r="CP842" i="1" s="1"/>
  <c r="O842" i="1" s="1"/>
  <c r="CS842" i="1"/>
  <c r="AD842" i="1"/>
  <c r="AB842" i="1" s="1"/>
  <c r="K1191" i="7"/>
  <c r="L1197" i="8"/>
  <c r="CT828" i="1"/>
  <c r="S828" i="1" s="1"/>
  <c r="CY828" i="1" s="1"/>
  <c r="X828" i="1" s="1"/>
  <c r="S1145" i="7"/>
  <c r="Q1145" i="7"/>
  <c r="S1151" i="8"/>
  <c r="Q1151" i="8"/>
  <c r="CP782" i="1"/>
  <c r="O782" i="1" s="1"/>
  <c r="CY764" i="1"/>
  <c r="X764" i="1" s="1"/>
  <c r="CR757" i="1"/>
  <c r="Q757" i="1" s="1"/>
  <c r="S906" i="7"/>
  <c r="S912" i="8"/>
  <c r="Q912" i="8"/>
  <c r="Q906" i="7"/>
  <c r="CT756" i="1"/>
  <c r="S756" i="1" s="1"/>
  <c r="J866" i="7"/>
  <c r="K872" i="8"/>
  <c r="Q624" i="1"/>
  <c r="P610" i="1"/>
  <c r="CP610" i="1" s="1"/>
  <c r="O610" i="1" s="1"/>
  <c r="CZ543" i="1"/>
  <c r="Y543" i="1" s="1"/>
  <c r="CY543" i="1"/>
  <c r="X543" i="1" s="1"/>
  <c r="U291" i="8"/>
  <c r="U285" i="7"/>
  <c r="J172" i="7"/>
  <c r="K178" i="8"/>
  <c r="CY242" i="1"/>
  <c r="X242" i="1" s="1"/>
  <c r="CZ242" i="1"/>
  <c r="Y242" i="1" s="1"/>
  <c r="AB240" i="1"/>
  <c r="Q1331" i="8"/>
  <c r="Q1325" i="7"/>
  <c r="S1331" i="8"/>
  <c r="S1325" i="7"/>
  <c r="CT965" i="1"/>
  <c r="S965" i="1" s="1"/>
  <c r="AB814" i="1"/>
  <c r="Q1096" i="7"/>
  <c r="S1096" i="7"/>
  <c r="Q1102" i="8"/>
  <c r="S1102" i="8"/>
  <c r="K290" i="7"/>
  <c r="L296" i="8"/>
  <c r="K151" i="7"/>
  <c r="L157" i="8"/>
  <c r="J67" i="7"/>
  <c r="K73" i="8"/>
  <c r="CL892" i="1"/>
  <c r="BC897" i="1"/>
  <c r="J1244" i="7"/>
  <c r="K1250" i="8"/>
  <c r="CP849" i="1"/>
  <c r="O849" i="1" s="1"/>
  <c r="CP814" i="1"/>
  <c r="O814" i="1" s="1"/>
  <c r="J1098" i="7"/>
  <c r="K1104" i="8"/>
  <c r="AD792" i="1"/>
  <c r="AB792" i="1" s="1"/>
  <c r="U1022" i="7"/>
  <c r="U1028" i="8"/>
  <c r="CR792" i="1"/>
  <c r="Q792" i="1" s="1"/>
  <c r="W778" i="1"/>
  <c r="CC662" i="1"/>
  <c r="AT666" i="1"/>
  <c r="J546" i="7"/>
  <c r="K552" i="8"/>
  <c r="U944" i="7"/>
  <c r="U950" i="8"/>
  <c r="AD398" i="1"/>
  <c r="AB398" i="1" s="1"/>
  <c r="U461" i="7"/>
  <c r="U467" i="8"/>
  <c r="CS398" i="1"/>
  <c r="CR398" i="1"/>
  <c r="Q398" i="1" s="1"/>
  <c r="CP398" i="1" s="1"/>
  <c r="O398" i="1" s="1"/>
  <c r="BB317" i="1"/>
  <c r="F362" i="1"/>
  <c r="AB341" i="1"/>
  <c r="CQ341" i="1"/>
  <c r="P341" i="1" s="1"/>
  <c r="CP341" i="1" s="1"/>
  <c r="O341" i="1" s="1"/>
  <c r="CS969" i="1"/>
  <c r="R969" i="1" s="1"/>
  <c r="GK969" i="1" s="1"/>
  <c r="CT849" i="1"/>
  <c r="S849" i="1" s="1"/>
  <c r="Q1241" i="7"/>
  <c r="S1241" i="7"/>
  <c r="S1247" i="8"/>
  <c r="Q1247" i="8"/>
  <c r="AB815" i="1"/>
  <c r="CQ815" i="1"/>
  <c r="P815" i="1" s="1"/>
  <c r="K1036" i="8"/>
  <c r="J1030" i="7"/>
  <c r="CQ398" i="1"/>
  <c r="P398" i="1" s="1"/>
  <c r="AB801" i="1"/>
  <c r="R795" i="1"/>
  <c r="V1029" i="7"/>
  <c r="J1036" i="7" s="1"/>
  <c r="V1035" i="8"/>
  <c r="K1042" i="8" s="1"/>
  <c r="CT762" i="1"/>
  <c r="S762" i="1" s="1"/>
  <c r="Q922" i="7"/>
  <c r="S928" i="8"/>
  <c r="Q928" i="8"/>
  <c r="S922" i="7"/>
  <c r="GX616" i="1"/>
  <c r="CS399" i="1"/>
  <c r="R399" i="1" s="1"/>
  <c r="GK399" i="1" s="1"/>
  <c r="G317" i="1"/>
  <c r="A357" i="7"/>
  <c r="A363" i="8"/>
  <c r="S277" i="7"/>
  <c r="Q277" i="7"/>
  <c r="S283" i="8"/>
  <c r="Q283" i="8"/>
  <c r="CT327" i="1"/>
  <c r="S327" i="1" s="1"/>
  <c r="U65" i="7"/>
  <c r="U71" i="8"/>
  <c r="CR72" i="1"/>
  <c r="Q72" i="1" s="1"/>
  <c r="AD72" i="1"/>
  <c r="AB72" i="1" s="1"/>
  <c r="CS72" i="1"/>
  <c r="AR897" i="1"/>
  <c r="CA892" i="1"/>
  <c r="U1273" i="7"/>
  <c r="U1279" i="8"/>
  <c r="CY840" i="1"/>
  <c r="X840" i="1" s="1"/>
  <c r="J1119" i="7"/>
  <c r="K1125" i="8"/>
  <c r="L1100" i="8"/>
  <c r="K1094" i="7"/>
  <c r="K1075" i="7"/>
  <c r="L1081" i="8"/>
  <c r="J1050" i="7"/>
  <c r="K1056" i="8"/>
  <c r="CR762" i="1"/>
  <c r="Q762" i="1" s="1"/>
  <c r="CP762" i="1" s="1"/>
  <c r="O762" i="1" s="1"/>
  <c r="U922" i="7"/>
  <c r="U928" i="8"/>
  <c r="CS762" i="1"/>
  <c r="C881" i="7"/>
  <c r="E880" i="7"/>
  <c r="D887" i="8"/>
  <c r="F886" i="8"/>
  <c r="K870" i="7"/>
  <c r="L876" i="8"/>
  <c r="CZ627" i="1"/>
  <c r="Y627" i="1" s="1"/>
  <c r="CY627" i="1"/>
  <c r="X627" i="1" s="1"/>
  <c r="CS522" i="1"/>
  <c r="R522" i="1" s="1"/>
  <c r="GK522" i="1" s="1"/>
  <c r="AD522" i="1"/>
  <c r="AB522" i="1" s="1"/>
  <c r="CR522" i="1"/>
  <c r="Q522" i="1" s="1"/>
  <c r="CP522" i="1" s="1"/>
  <c r="O522" i="1" s="1"/>
  <c r="GM522" i="1" s="1"/>
  <c r="GP522" i="1" s="1"/>
  <c r="AD430" i="1"/>
  <c r="AB430" i="1" s="1"/>
  <c r="CS430" i="1"/>
  <c r="R430" i="1" s="1"/>
  <c r="GK430" i="1" s="1"/>
  <c r="K117" i="7"/>
  <c r="L123" i="8"/>
  <c r="K80" i="7"/>
  <c r="L86" i="8"/>
  <c r="CY742" i="1"/>
  <c r="X742" i="1" s="1"/>
  <c r="CZ742" i="1"/>
  <c r="Y742" i="1" s="1"/>
  <c r="CZ433" i="1"/>
  <c r="Y433" i="1" s="1"/>
  <c r="J606" i="7"/>
  <c r="K612" i="8"/>
  <c r="CY433" i="1"/>
  <c r="X433" i="1" s="1"/>
  <c r="Q395" i="7"/>
  <c r="S395" i="7"/>
  <c r="Q401" i="8"/>
  <c r="S401" i="8"/>
  <c r="CT388" i="1"/>
  <c r="S388" i="1" s="1"/>
  <c r="CZ388" i="1" s="1"/>
  <c r="Y388" i="1" s="1"/>
  <c r="CY149" i="1"/>
  <c r="X149" i="1" s="1"/>
  <c r="CZ149" i="1"/>
  <c r="Y149" i="1" s="1"/>
  <c r="CY113" i="1"/>
  <c r="X113" i="1" s="1"/>
  <c r="CZ113" i="1"/>
  <c r="Y113" i="1" s="1"/>
  <c r="R845" i="1"/>
  <c r="GK845" i="1" s="1"/>
  <c r="V1224" i="7"/>
  <c r="V1230" i="8"/>
  <c r="CR765" i="1"/>
  <c r="Q765" i="1" s="1"/>
  <c r="CS765" i="1"/>
  <c r="R765" i="1" s="1"/>
  <c r="GK765" i="1" s="1"/>
  <c r="AD765" i="1"/>
  <c r="AB765" i="1" s="1"/>
  <c r="J287" i="7"/>
  <c r="K293" i="8"/>
  <c r="CY331" i="1"/>
  <c r="X331" i="1" s="1"/>
  <c r="CZ331" i="1"/>
  <c r="Y331" i="1" s="1"/>
  <c r="U260" i="7"/>
  <c r="U266" i="8"/>
  <c r="CQ151" i="1"/>
  <c r="P151" i="1" s="1"/>
  <c r="CP151" i="1" s="1"/>
  <c r="O151" i="1" s="1"/>
  <c r="AB151" i="1"/>
  <c r="CZ808" i="1"/>
  <c r="Y808" i="1" s="1"/>
  <c r="CY808" i="1"/>
  <c r="X808" i="1" s="1"/>
  <c r="L1011" i="8"/>
  <c r="K1005" i="7"/>
  <c r="GX319" i="1"/>
  <c r="L1277" i="8"/>
  <c r="K1271" i="7"/>
  <c r="AH666" i="1"/>
  <c r="AH662" i="1" s="1"/>
  <c r="K814" i="7"/>
  <c r="L820" i="8"/>
  <c r="K573" i="7"/>
  <c r="L579" i="8"/>
  <c r="AD814" i="1"/>
  <c r="U1096" i="7"/>
  <c r="U1102" i="8"/>
  <c r="CR814" i="1"/>
  <c r="Q814" i="1" s="1"/>
  <c r="CT429" i="1"/>
  <c r="S429" i="1" s="1"/>
  <c r="Q598" i="7"/>
  <c r="S598" i="7"/>
  <c r="S604" i="8"/>
  <c r="Q604" i="8"/>
  <c r="J230" i="7"/>
  <c r="K236" i="8"/>
  <c r="J1306" i="7"/>
  <c r="K1312" i="8"/>
  <c r="L1156" i="8"/>
  <c r="K1150" i="7"/>
  <c r="U1145" i="7"/>
  <c r="U1151" i="8"/>
  <c r="AD828" i="1"/>
  <c r="CR828" i="1"/>
  <c r="Q828" i="1" s="1"/>
  <c r="CS828" i="1"/>
  <c r="E872" i="7"/>
  <c r="C873" i="7"/>
  <c r="F878" i="8"/>
  <c r="D879" i="8"/>
  <c r="Q844" i="7"/>
  <c r="S844" i="7"/>
  <c r="Q850" i="8"/>
  <c r="S850" i="8"/>
  <c r="CT741" i="1"/>
  <c r="S741" i="1" s="1"/>
  <c r="L790" i="8"/>
  <c r="K784" i="7"/>
  <c r="J692" i="7"/>
  <c r="K698" i="8"/>
  <c r="CP336" i="1"/>
  <c r="O336" i="1" s="1"/>
  <c r="E1063" i="7"/>
  <c r="D1070" i="8"/>
  <c r="C1064" i="7"/>
  <c r="F1069" i="8"/>
  <c r="CP752" i="1"/>
  <c r="O752" i="1" s="1"/>
  <c r="J831" i="7"/>
  <c r="K837" i="8"/>
  <c r="E717" i="7"/>
  <c r="C718" i="7"/>
  <c r="D724" i="8"/>
  <c r="F723" i="8"/>
  <c r="P555" i="1"/>
  <c r="V555" i="1"/>
  <c r="U621" i="1"/>
  <c r="AD833" i="1"/>
  <c r="U1173" i="8"/>
  <c r="U1167" i="7"/>
  <c r="CR833" i="1"/>
  <c r="Q833" i="1" s="1"/>
  <c r="CT771" i="1"/>
  <c r="S771" i="1" s="1"/>
  <c r="GX760" i="1"/>
  <c r="K1323" i="7"/>
  <c r="L1329" i="8"/>
  <c r="L1293" i="8"/>
  <c r="K1287" i="7"/>
  <c r="K1255" i="7"/>
  <c r="L1261" i="8"/>
  <c r="L1128" i="8"/>
  <c r="K1122" i="7"/>
  <c r="CS817" i="1"/>
  <c r="R817" i="1" s="1"/>
  <c r="GK817" i="1" s="1"/>
  <c r="CT807" i="1"/>
  <c r="S807" i="1" s="1"/>
  <c r="S1070" i="7"/>
  <c r="S1076" i="8"/>
  <c r="Q1070" i="7"/>
  <c r="Q1076" i="8"/>
  <c r="V963" i="7"/>
  <c r="V969" i="8"/>
  <c r="R771" i="1"/>
  <c r="V951" i="7"/>
  <c r="J958" i="7" s="1"/>
  <c r="V957" i="8"/>
  <c r="K964" i="8" s="1"/>
  <c r="K930" i="8"/>
  <c r="J924" i="7"/>
  <c r="V811" i="8"/>
  <c r="K819" i="8" s="1"/>
  <c r="V805" i="7"/>
  <c r="J813" i="7" s="1"/>
  <c r="U560" i="1"/>
  <c r="R532" i="1"/>
  <c r="V668" i="8"/>
  <c r="K675" i="8" s="1"/>
  <c r="V662" i="7"/>
  <c r="J669" i="7" s="1"/>
  <c r="R433" i="1"/>
  <c r="GK433" i="1" s="1"/>
  <c r="V605" i="7"/>
  <c r="V611" i="8"/>
  <c r="T415" i="1"/>
  <c r="AD410" i="1"/>
  <c r="AB410" i="1" s="1"/>
  <c r="CS410" i="1"/>
  <c r="CR410" i="1"/>
  <c r="U429" i="8"/>
  <c r="U423" i="7"/>
  <c r="V395" i="7"/>
  <c r="V401" i="8"/>
  <c r="R388" i="1"/>
  <c r="GK388" i="1" s="1"/>
  <c r="U363" i="7"/>
  <c r="U369" i="8"/>
  <c r="AD342" i="1"/>
  <c r="CS342" i="1"/>
  <c r="R342" i="1" s="1"/>
  <c r="GK342" i="1" s="1"/>
  <c r="CR342" i="1"/>
  <c r="Q342" i="1" s="1"/>
  <c r="CP342" i="1" s="1"/>
  <c r="O342" i="1" s="1"/>
  <c r="AD113" i="1"/>
  <c r="AB113" i="1" s="1"/>
  <c r="CR113" i="1"/>
  <c r="Q113" i="1" s="1"/>
  <c r="CP113" i="1" s="1"/>
  <c r="O113" i="1" s="1"/>
  <c r="GM113" i="1" s="1"/>
  <c r="GP113" i="1" s="1"/>
  <c r="CS113" i="1"/>
  <c r="R113" i="1" s="1"/>
  <c r="GK113" i="1" s="1"/>
  <c r="L1121" i="8"/>
  <c r="K1115" i="7"/>
  <c r="AD434" i="1"/>
  <c r="CR434" i="1"/>
  <c r="Q434" i="1" s="1"/>
  <c r="CS434" i="1"/>
  <c r="R434" i="1" s="1"/>
  <c r="GK434" i="1" s="1"/>
  <c r="AO732" i="1"/>
  <c r="AO927" i="1"/>
  <c r="AO728" i="1" s="1"/>
  <c r="Q1110" i="7"/>
  <c r="S1110" i="7"/>
  <c r="S1116" i="8"/>
  <c r="Q1116" i="8"/>
  <c r="U914" i="7"/>
  <c r="U920" i="8"/>
  <c r="CR760" i="1"/>
  <c r="Q760" i="1" s="1"/>
  <c r="CT754" i="1"/>
  <c r="S754" i="1" s="1"/>
  <c r="Q894" i="7"/>
  <c r="S900" i="8"/>
  <c r="Q900" i="8"/>
  <c r="S894" i="7"/>
  <c r="T600" i="1"/>
  <c r="AG630" i="1" s="1"/>
  <c r="E739" i="7"/>
  <c r="F745" i="8"/>
  <c r="C740" i="7"/>
  <c r="D746" i="8"/>
  <c r="CZ423" i="1"/>
  <c r="Y423" i="1" s="1"/>
  <c r="CY423" i="1"/>
  <c r="X423" i="1" s="1"/>
  <c r="K1263" i="7"/>
  <c r="L1269" i="8"/>
  <c r="CZ835" i="1"/>
  <c r="Y835" i="1" s="1"/>
  <c r="CY835" i="1"/>
  <c r="X835" i="1" s="1"/>
  <c r="Q1022" i="7"/>
  <c r="S1028" i="8"/>
  <c r="S1022" i="7"/>
  <c r="Q1028" i="8"/>
  <c r="Q517" i="7"/>
  <c r="S523" i="8"/>
  <c r="S517" i="7"/>
  <c r="Q523" i="8"/>
  <c r="L281" i="8"/>
  <c r="K275" i="7"/>
  <c r="K1165" i="7"/>
  <c r="L1171" i="8"/>
  <c r="K736" i="8"/>
  <c r="J730" i="7"/>
  <c r="U723" i="8"/>
  <c r="U717" i="7"/>
  <c r="CR555" i="1"/>
  <c r="Q555" i="1" s="1"/>
  <c r="CS555" i="1"/>
  <c r="C938" i="7"/>
  <c r="E937" i="7"/>
  <c r="F943" i="8"/>
  <c r="D944" i="8"/>
  <c r="C915" i="7"/>
  <c r="D921" i="8"/>
  <c r="F920" i="8"/>
  <c r="E914" i="7"/>
  <c r="W760" i="1"/>
  <c r="CT750" i="1"/>
  <c r="S750" i="1" s="1"/>
  <c r="Q880" i="7"/>
  <c r="S886" i="8"/>
  <c r="S880" i="7"/>
  <c r="Q886" i="8"/>
  <c r="BZ445" i="1"/>
  <c r="CS741" i="1"/>
  <c r="U844" i="7"/>
  <c r="U850" i="8"/>
  <c r="CR741" i="1"/>
  <c r="Q741" i="1" s="1"/>
  <c r="U71" i="1"/>
  <c r="E58" i="7"/>
  <c r="F64" i="8"/>
  <c r="D65" i="8"/>
  <c r="C59" i="7"/>
  <c r="W71" i="1"/>
  <c r="AT892" i="1"/>
  <c r="F915" i="1"/>
  <c r="CC892" i="1"/>
  <c r="L1220" i="8"/>
  <c r="K1214" i="7"/>
  <c r="AD741" i="1"/>
  <c r="AB741" i="1" s="1"/>
  <c r="J624" i="7"/>
  <c r="K630" i="8"/>
  <c r="Q147" i="1"/>
  <c r="F169" i="1"/>
  <c r="C1160" i="7"/>
  <c r="D1166" i="8"/>
  <c r="E1159" i="7"/>
  <c r="F1165" i="8"/>
  <c r="CB975" i="1"/>
  <c r="CB959" i="1" s="1"/>
  <c r="P843" i="1"/>
  <c r="C1217" i="7"/>
  <c r="E1216" i="7"/>
  <c r="D1223" i="8"/>
  <c r="F1222" i="8"/>
  <c r="AB762" i="1"/>
  <c r="U1318" i="8"/>
  <c r="U1312" i="7"/>
  <c r="CS963" i="1"/>
  <c r="W894" i="1"/>
  <c r="U858" i="1"/>
  <c r="G18" i="1"/>
  <c r="A1358" i="7"/>
  <c r="A1364" i="8"/>
  <c r="U969" i="1"/>
  <c r="AD963" i="1"/>
  <c r="AB963" i="1" s="1"/>
  <c r="AD850" i="1"/>
  <c r="AB850" i="1" s="1"/>
  <c r="K1171" i="7"/>
  <c r="L1177" i="8"/>
  <c r="J1126" i="7"/>
  <c r="K1132" i="8"/>
  <c r="U1070" i="7"/>
  <c r="U1076" i="8"/>
  <c r="S778" i="1"/>
  <c r="E971" i="7"/>
  <c r="C972" i="7"/>
  <c r="D978" i="8"/>
  <c r="F977" i="8"/>
  <c r="AB752" i="1"/>
  <c r="K767" i="7"/>
  <c r="L773" i="8"/>
  <c r="T560" i="1"/>
  <c r="S443" i="1"/>
  <c r="CY443" i="1" s="1"/>
  <c r="X443" i="1" s="1"/>
  <c r="CT415" i="1"/>
  <c r="S415" i="1" s="1"/>
  <c r="CZ415" i="1" s="1"/>
  <c r="Y415" i="1" s="1"/>
  <c r="S529" i="7"/>
  <c r="Q529" i="7"/>
  <c r="Q535" i="8"/>
  <c r="S535" i="8"/>
  <c r="J431" i="7"/>
  <c r="K437" i="8"/>
  <c r="CS344" i="1"/>
  <c r="R344" i="1" s="1"/>
  <c r="GK344" i="1" s="1"/>
  <c r="K1064" i="8"/>
  <c r="J1058" i="7"/>
  <c r="P971" i="1"/>
  <c r="E1335" i="7"/>
  <c r="F1341" i="8"/>
  <c r="D1342" i="8"/>
  <c r="C1336" i="7"/>
  <c r="C1008" i="7"/>
  <c r="D1014" i="8"/>
  <c r="F1013" i="8"/>
  <c r="E1007" i="7"/>
  <c r="Q1230" i="8"/>
  <c r="S1224" i="7"/>
  <c r="Q1224" i="7"/>
  <c r="S1230" i="8"/>
  <c r="K1020" i="7"/>
  <c r="L1026" i="8"/>
  <c r="U378" i="7"/>
  <c r="U384" i="8"/>
  <c r="CR386" i="1"/>
  <c r="Q386" i="1" s="1"/>
  <c r="AS200" i="1"/>
  <c r="AS189" i="1" s="1"/>
  <c r="CB189" i="1"/>
  <c r="CZ831" i="1"/>
  <c r="Y831" i="1" s="1"/>
  <c r="CY831" i="1"/>
  <c r="X831" i="1" s="1"/>
  <c r="K1085" i="8"/>
  <c r="J1079" i="7"/>
  <c r="CZ539" i="1"/>
  <c r="Y539" i="1" s="1"/>
  <c r="CY539" i="1"/>
  <c r="X539" i="1" s="1"/>
  <c r="AD440" i="1"/>
  <c r="AB440" i="1" s="1"/>
  <c r="CS440" i="1"/>
  <c r="R440" i="1" s="1"/>
  <c r="GK440" i="1" s="1"/>
  <c r="AD386" i="1"/>
  <c r="AB386" i="1" s="1"/>
  <c r="K109" i="7"/>
  <c r="L115" i="8"/>
  <c r="AD892" i="1"/>
  <c r="Q897" i="1"/>
  <c r="Q892" i="1" s="1"/>
  <c r="AD818" i="1"/>
  <c r="AB818" i="1" s="1"/>
  <c r="U1110" i="7"/>
  <c r="U1116" i="8"/>
  <c r="CZ801" i="1"/>
  <c r="Y801" i="1" s="1"/>
  <c r="J1049" i="7"/>
  <c r="K1055" i="8"/>
  <c r="CE897" i="1"/>
  <c r="AC892" i="1"/>
  <c r="P897" i="1"/>
  <c r="F900" i="1" s="1"/>
  <c r="CF897" i="1"/>
  <c r="CF892" i="1" s="1"/>
  <c r="CH897" i="1"/>
  <c r="CH892" i="1" s="1"/>
  <c r="K991" i="7"/>
  <c r="L997" i="8"/>
  <c r="J917" i="7"/>
  <c r="K923" i="8"/>
  <c r="CT768" i="1"/>
  <c r="S768" i="1" s="1"/>
  <c r="Q944" i="7"/>
  <c r="Q950" i="8"/>
  <c r="S944" i="7"/>
  <c r="S950" i="8"/>
  <c r="CT602" i="1"/>
  <c r="S602" i="1" s="1"/>
  <c r="CY602" i="1" s="1"/>
  <c r="X602" i="1" s="1"/>
  <c r="Q756" i="8"/>
  <c r="S750" i="7"/>
  <c r="Q750" i="7"/>
  <c r="S756" i="8"/>
  <c r="Q461" i="7"/>
  <c r="S461" i="7"/>
  <c r="S467" i="8"/>
  <c r="Q467" i="8"/>
  <c r="CT398" i="1"/>
  <c r="S398" i="1" s="1"/>
  <c r="W319" i="1"/>
  <c r="S1048" i="7"/>
  <c r="S1054" i="8"/>
  <c r="Q1054" i="8"/>
  <c r="Q1048" i="7"/>
  <c r="U778" i="1"/>
  <c r="U880" i="7"/>
  <c r="U886" i="8"/>
  <c r="AD750" i="1"/>
  <c r="AB750" i="1" s="1"/>
  <c r="CY765" i="1"/>
  <c r="X765" i="1" s="1"/>
  <c r="CZ765" i="1"/>
  <c r="Y765" i="1" s="1"/>
  <c r="J418" i="7"/>
  <c r="K424" i="8"/>
  <c r="Q65" i="7"/>
  <c r="S65" i="7"/>
  <c r="S71" i="8"/>
  <c r="Q71" i="8"/>
  <c r="CB892" i="1"/>
  <c r="CS849" i="1"/>
  <c r="U1247" i="8"/>
  <c r="U1241" i="7"/>
  <c r="AD849" i="1"/>
  <c r="AB849" i="1" s="1"/>
  <c r="AD968" i="1"/>
  <c r="CR968" i="1"/>
  <c r="Q968" i="1" s="1"/>
  <c r="CS968" i="1"/>
  <c r="R968" i="1" s="1"/>
  <c r="GK968" i="1" s="1"/>
  <c r="CY813" i="1"/>
  <c r="X813" i="1" s="1"/>
  <c r="CZ813" i="1"/>
  <c r="Y813" i="1" s="1"/>
  <c r="V560" i="1"/>
  <c r="T969" i="1"/>
  <c r="R965" i="1"/>
  <c r="GK965" i="1" s="1"/>
  <c r="V1331" i="8"/>
  <c r="V1325" i="7"/>
  <c r="V894" i="1"/>
  <c r="Q858" i="1"/>
  <c r="CP858" i="1" s="1"/>
  <c r="O858" i="1" s="1"/>
  <c r="GM858" i="1" s="1"/>
  <c r="GP858" i="1" s="1"/>
  <c r="CT845" i="1"/>
  <c r="S845" i="1" s="1"/>
  <c r="K1111" i="8"/>
  <c r="J1105" i="7"/>
  <c r="L1067" i="8"/>
  <c r="K1061" i="7"/>
  <c r="K998" i="7"/>
  <c r="L1004" i="8"/>
  <c r="Q778" i="1"/>
  <c r="CY605" i="1"/>
  <c r="X605" i="1" s="1"/>
  <c r="S600" i="1"/>
  <c r="CQ559" i="1"/>
  <c r="P559" i="1" s="1"/>
  <c r="AB559" i="1"/>
  <c r="L714" i="8"/>
  <c r="K708" i="7"/>
  <c r="K687" i="8"/>
  <c r="J681" i="7"/>
  <c r="CP536" i="1"/>
  <c r="O536" i="1" s="1"/>
  <c r="J674" i="7"/>
  <c r="K680" i="8"/>
  <c r="U622" i="7"/>
  <c r="U628" i="8"/>
  <c r="CS515" i="1"/>
  <c r="E567" i="7"/>
  <c r="D574" i="8"/>
  <c r="C568" i="7"/>
  <c r="F573" i="8"/>
  <c r="Q419" i="1"/>
  <c r="CY399" i="1"/>
  <c r="X399" i="1" s="1"/>
  <c r="CZ399" i="1"/>
  <c r="Y399" i="1" s="1"/>
  <c r="CR344" i="1"/>
  <c r="Q344" i="1" s="1"/>
  <c r="CB109" i="1"/>
  <c r="AS115" i="1"/>
  <c r="CT837" i="1"/>
  <c r="S837" i="1" s="1"/>
  <c r="Q1191" i="8"/>
  <c r="Q1185" i="7"/>
  <c r="S1191" i="8"/>
  <c r="S1185" i="7"/>
  <c r="T832" i="1"/>
  <c r="K1124" i="8"/>
  <c r="J1118" i="7"/>
  <c r="L1114" i="8"/>
  <c r="K1108" i="7"/>
  <c r="K1053" i="7"/>
  <c r="L1059" i="8"/>
  <c r="J953" i="7"/>
  <c r="K959" i="8"/>
  <c r="R761" i="1"/>
  <c r="GK761" i="1" s="1"/>
  <c r="U894" i="7"/>
  <c r="U900" i="8"/>
  <c r="C806" i="7"/>
  <c r="F811" i="8"/>
  <c r="D812" i="8"/>
  <c r="E805" i="7"/>
  <c r="S624" i="1"/>
  <c r="GX620" i="1"/>
  <c r="T620" i="1"/>
  <c r="CT609" i="1"/>
  <c r="S609" i="1" s="1"/>
  <c r="S769" i="7"/>
  <c r="Q769" i="7"/>
  <c r="Q775" i="8"/>
  <c r="S775" i="8"/>
  <c r="S549" i="1"/>
  <c r="CY549" i="1" s="1"/>
  <c r="X549" i="1" s="1"/>
  <c r="K670" i="7"/>
  <c r="L676" i="8"/>
  <c r="CR531" i="1"/>
  <c r="Q531" i="1" s="1"/>
  <c r="CP531" i="1" s="1"/>
  <c r="O531" i="1" s="1"/>
  <c r="GM531" i="1" s="1"/>
  <c r="GP531" i="1" s="1"/>
  <c r="CS531" i="1"/>
  <c r="R531" i="1" s="1"/>
  <c r="GK531" i="1" s="1"/>
  <c r="G313" i="1"/>
  <c r="A616" i="7"/>
  <c r="A622" i="8"/>
  <c r="CQ441" i="1"/>
  <c r="P441" i="1" s="1"/>
  <c r="CP441" i="1" s="1"/>
  <c r="O441" i="1" s="1"/>
  <c r="GM441" i="1" s="1"/>
  <c r="GP441" i="1" s="1"/>
  <c r="AB441" i="1"/>
  <c r="K603" i="7"/>
  <c r="L609" i="8"/>
  <c r="U597" i="8"/>
  <c r="U591" i="7"/>
  <c r="T420" i="1"/>
  <c r="K453" i="7"/>
  <c r="L459" i="8"/>
  <c r="L407" i="8"/>
  <c r="K401" i="7"/>
  <c r="CM317" i="1"/>
  <c r="BD349" i="1"/>
  <c r="BD317" i="1" s="1"/>
  <c r="C304" i="7"/>
  <c r="E303" i="7"/>
  <c r="D310" i="8"/>
  <c r="F309" i="8"/>
  <c r="S334" i="1"/>
  <c r="CY334" i="1" s="1"/>
  <c r="X334" i="1" s="1"/>
  <c r="Q58" i="7"/>
  <c r="S58" i="7"/>
  <c r="S64" i="8"/>
  <c r="Q64" i="8"/>
  <c r="CT71" i="1"/>
  <c r="CJ892" i="1"/>
  <c r="BA897" i="1"/>
  <c r="K1316" i="7"/>
  <c r="L1322" i="8"/>
  <c r="T855" i="1"/>
  <c r="U1185" i="7"/>
  <c r="U1191" i="8"/>
  <c r="S832" i="1"/>
  <c r="K1129" i="7"/>
  <c r="L1135" i="8"/>
  <c r="L1091" i="8"/>
  <c r="K1085" i="7"/>
  <c r="CP771" i="1"/>
  <c r="O771" i="1" s="1"/>
  <c r="K912" i="7"/>
  <c r="L918" i="8"/>
  <c r="J898" i="7"/>
  <c r="K904" i="8"/>
  <c r="AD742" i="1"/>
  <c r="AB742" i="1" s="1"/>
  <c r="K852" i="8"/>
  <c r="J846" i="7"/>
  <c r="W738" i="1"/>
  <c r="G595" i="1"/>
  <c r="A801" i="7"/>
  <c r="A807" i="8"/>
  <c r="V610" i="1"/>
  <c r="CS609" i="1"/>
  <c r="U769" i="7"/>
  <c r="U775" i="8"/>
  <c r="CR609" i="1"/>
  <c r="Q609" i="1" s="1"/>
  <c r="AD609" i="1"/>
  <c r="AB609" i="1" s="1"/>
  <c r="AD599" i="1"/>
  <c r="CR599" i="1"/>
  <c r="Q599" i="1" s="1"/>
  <c r="CS549" i="1"/>
  <c r="R549" i="1" s="1"/>
  <c r="GK549" i="1" s="1"/>
  <c r="AD549" i="1"/>
  <c r="AB549" i="1" s="1"/>
  <c r="CR549" i="1"/>
  <c r="Q549" i="1" s="1"/>
  <c r="AD428" i="1"/>
  <c r="AB428" i="1" s="1"/>
  <c r="J450" i="7"/>
  <c r="K456" i="8"/>
  <c r="K428" i="7"/>
  <c r="L434" i="8"/>
  <c r="CS391" i="1"/>
  <c r="U416" i="7"/>
  <c r="U422" i="8"/>
  <c r="R363" i="7"/>
  <c r="J367" i="7" s="1"/>
  <c r="R369" i="8"/>
  <c r="K373" i="8" s="1"/>
  <c r="CY245" i="1"/>
  <c r="X245" i="1" s="1"/>
  <c r="J190" i="7"/>
  <c r="K196" i="8"/>
  <c r="CZ245" i="1"/>
  <c r="Y245" i="1" s="1"/>
  <c r="AD237" i="1"/>
  <c r="AB237" i="1" s="1"/>
  <c r="U124" i="7"/>
  <c r="U130" i="8"/>
  <c r="CS237" i="1"/>
  <c r="U58" i="7"/>
  <c r="U64" i="8"/>
  <c r="AD71" i="1"/>
  <c r="AB71" i="1" s="1"/>
  <c r="CZ966" i="1"/>
  <c r="Y966" i="1" s="1"/>
  <c r="CY966" i="1"/>
  <c r="X966" i="1" s="1"/>
  <c r="GM966" i="1" s="1"/>
  <c r="GP966" i="1" s="1"/>
  <c r="J1320" i="7"/>
  <c r="K1326" i="8"/>
  <c r="L1187" i="8"/>
  <c r="K1181" i="7"/>
  <c r="U1048" i="7"/>
  <c r="U1054" i="8"/>
  <c r="CR801" i="1"/>
  <c r="Q801" i="1" s="1"/>
  <c r="CP801" i="1" s="1"/>
  <c r="O801" i="1" s="1"/>
  <c r="CS801" i="1"/>
  <c r="U758" i="1"/>
  <c r="E906" i="7"/>
  <c r="F912" i="8"/>
  <c r="D913" i="8"/>
  <c r="C907" i="7"/>
  <c r="CT751" i="1"/>
  <c r="S751" i="1" s="1"/>
  <c r="Q887" i="7"/>
  <c r="Q893" i="8"/>
  <c r="S893" i="8"/>
  <c r="S887" i="7"/>
  <c r="K863" i="7"/>
  <c r="L869" i="8"/>
  <c r="CB662" i="1"/>
  <c r="GX559" i="1"/>
  <c r="W559" i="1"/>
  <c r="U544" i="1"/>
  <c r="R424" i="1"/>
  <c r="GK424" i="1" s="1"/>
  <c r="V567" i="7"/>
  <c r="V573" i="8"/>
  <c r="E320" i="7"/>
  <c r="D327" i="8"/>
  <c r="C321" i="7"/>
  <c r="F326" i="8"/>
  <c r="V334" i="1"/>
  <c r="CT241" i="1"/>
  <c r="S241" i="1" s="1"/>
  <c r="CP241" i="1" s="1"/>
  <c r="O241" i="1" s="1"/>
  <c r="Q161" i="7"/>
  <c r="S161" i="7"/>
  <c r="S167" i="8"/>
  <c r="Q167" i="8"/>
  <c r="T154" i="1"/>
  <c r="AQ115" i="1"/>
  <c r="AQ109" i="1" s="1"/>
  <c r="BZ109" i="1"/>
  <c r="U72" i="7"/>
  <c r="U78" i="8"/>
  <c r="CT34" i="1"/>
  <c r="S34" i="1" s="1"/>
  <c r="Q44" i="7"/>
  <c r="S44" i="7"/>
  <c r="S50" i="8"/>
  <c r="Q50" i="8"/>
  <c r="J470" i="7"/>
  <c r="K476" i="8"/>
  <c r="V319" i="1"/>
  <c r="T894" i="1"/>
  <c r="U1230" i="8"/>
  <c r="U1224" i="7"/>
  <c r="J1112" i="7"/>
  <c r="K1118" i="8"/>
  <c r="V790" i="1"/>
  <c r="G511" i="1"/>
  <c r="A725" i="7"/>
  <c r="A731" i="8"/>
  <c r="S555" i="1"/>
  <c r="CZ555" i="1" s="1"/>
  <c r="Y555" i="1" s="1"/>
  <c r="AB544" i="1"/>
  <c r="J656" i="7"/>
  <c r="K662" i="8"/>
  <c r="CS439" i="1"/>
  <c r="R439" i="1" s="1"/>
  <c r="GK439" i="1" s="1"/>
  <c r="AD439" i="1"/>
  <c r="CT425" i="1"/>
  <c r="S425" i="1" s="1"/>
  <c r="Q575" i="7"/>
  <c r="S575" i="7"/>
  <c r="S581" i="8"/>
  <c r="Q581" i="8"/>
  <c r="V419" i="1"/>
  <c r="C293" i="7"/>
  <c r="E292" i="7"/>
  <c r="D299" i="8"/>
  <c r="F298" i="8"/>
  <c r="CS323" i="1"/>
  <c r="U243" i="7"/>
  <c r="U249" i="8"/>
  <c r="AJ251" i="1"/>
  <c r="AJ232" i="1" s="1"/>
  <c r="CK959" i="1"/>
  <c r="BB975" i="1"/>
  <c r="U1350" i="8"/>
  <c r="U1344" i="7"/>
  <c r="AD973" i="1"/>
  <c r="AB973" i="1" s="1"/>
  <c r="S894" i="1"/>
  <c r="U1233" i="7"/>
  <c r="U1239" i="8"/>
  <c r="AD845" i="1"/>
  <c r="AD804" i="1"/>
  <c r="K1037" i="7"/>
  <c r="L1043" i="8"/>
  <c r="Q790" i="1"/>
  <c r="J946" i="7"/>
  <c r="K952" i="8"/>
  <c r="V760" i="1"/>
  <c r="E887" i="7"/>
  <c r="F893" i="8"/>
  <c r="V751" i="1"/>
  <c r="K842" i="7"/>
  <c r="L848" i="8"/>
  <c r="GX624" i="1"/>
  <c r="R621" i="1"/>
  <c r="GK621" i="1" s="1"/>
  <c r="W620" i="1"/>
  <c r="K650" i="7"/>
  <c r="L656" i="8"/>
  <c r="K610" i="7"/>
  <c r="L616" i="8"/>
  <c r="CS428" i="1"/>
  <c r="J405" i="7"/>
  <c r="K411" i="8"/>
  <c r="U334" i="7"/>
  <c r="U340" i="8"/>
  <c r="K178" i="7"/>
  <c r="L184" i="8"/>
  <c r="AB152" i="1"/>
  <c r="CQ152" i="1"/>
  <c r="P152" i="1" s="1"/>
  <c r="CP152" i="1" s="1"/>
  <c r="O152" i="1" s="1"/>
  <c r="GM152" i="1" s="1"/>
  <c r="GP152" i="1" s="1"/>
  <c r="W790" i="1"/>
  <c r="CR428" i="1"/>
  <c r="Q428" i="1" s="1"/>
  <c r="CP428" i="1" s="1"/>
  <c r="O428" i="1" s="1"/>
  <c r="U401" i="1"/>
  <c r="T401" i="1"/>
  <c r="J223" i="7"/>
  <c r="K229" i="8"/>
  <c r="CT319" i="1"/>
  <c r="S319" i="1" s="1"/>
  <c r="Q208" i="7"/>
  <c r="S208" i="7"/>
  <c r="Q214" i="8"/>
  <c r="S214" i="8"/>
  <c r="J126" i="7"/>
  <c r="K132" i="8"/>
  <c r="GX549" i="1"/>
  <c r="W419" i="1"/>
  <c r="CT973" i="1"/>
  <c r="S973" i="1" s="1"/>
  <c r="S1344" i="7"/>
  <c r="S1350" i="8"/>
  <c r="Q1350" i="8"/>
  <c r="Q1344" i="7"/>
  <c r="GX806" i="1"/>
  <c r="W858" i="1"/>
  <c r="K1146" i="8"/>
  <c r="J1140" i="7"/>
  <c r="J1133" i="7"/>
  <c r="K1139" i="8"/>
  <c r="AB804" i="1"/>
  <c r="CQ804" i="1"/>
  <c r="P804" i="1" s="1"/>
  <c r="CP804" i="1" s="1"/>
  <c r="O804" i="1" s="1"/>
  <c r="CP798" i="1"/>
  <c r="O798" i="1" s="1"/>
  <c r="C930" i="7"/>
  <c r="E929" i="7"/>
  <c r="F935" i="8"/>
  <c r="D936" i="8"/>
  <c r="U760" i="1"/>
  <c r="J867" i="7"/>
  <c r="K873" i="8"/>
  <c r="Q621" i="1"/>
  <c r="CT961" i="1"/>
  <c r="S961" i="1" s="1"/>
  <c r="S1308" i="8"/>
  <c r="Q1302" i="7"/>
  <c r="Q1308" i="8"/>
  <c r="S1302" i="7"/>
  <c r="K1242" i="8"/>
  <c r="J1236" i="7"/>
  <c r="CS788" i="1"/>
  <c r="R788" i="1" s="1"/>
  <c r="GK788" i="1" s="1"/>
  <c r="CR788" i="1"/>
  <c r="Q788" i="1" s="1"/>
  <c r="U986" i="7"/>
  <c r="U992" i="8"/>
  <c r="U937" i="7"/>
  <c r="U943" i="8"/>
  <c r="AD767" i="1"/>
  <c r="T760" i="1"/>
  <c r="AD759" i="1"/>
  <c r="CS759" i="1"/>
  <c r="R759" i="1" s="1"/>
  <c r="GK759" i="1" s="1"/>
  <c r="CS742" i="1"/>
  <c r="R742" i="1" s="1"/>
  <c r="GK742" i="1" s="1"/>
  <c r="K849" i="7"/>
  <c r="L855" i="8"/>
  <c r="S740" i="1"/>
  <c r="W621" i="1"/>
  <c r="L800" i="8"/>
  <c r="K794" i="7"/>
  <c r="Q729" i="7"/>
  <c r="S729" i="7"/>
  <c r="S735" i="8"/>
  <c r="Q735" i="8"/>
  <c r="GX560" i="1"/>
  <c r="CS558" i="1"/>
  <c r="R558" i="1" s="1"/>
  <c r="GK558" i="1" s="1"/>
  <c r="T557" i="1"/>
  <c r="C701" i="7"/>
  <c r="E700" i="7"/>
  <c r="D707" i="8"/>
  <c r="F706" i="8"/>
  <c r="J644" i="7"/>
  <c r="K650" i="8"/>
  <c r="W415" i="1"/>
  <c r="S523" i="7"/>
  <c r="S529" i="8"/>
  <c r="Q529" i="8"/>
  <c r="Q523" i="7"/>
  <c r="U402" i="1"/>
  <c r="E468" i="7"/>
  <c r="C469" i="7"/>
  <c r="F474" i="8"/>
  <c r="D475" i="8"/>
  <c r="CR391" i="1"/>
  <c r="Q391" i="1" s="1"/>
  <c r="CP391" i="1" s="1"/>
  <c r="O391" i="1" s="1"/>
  <c r="K265" i="7"/>
  <c r="L271" i="8"/>
  <c r="U208" i="7"/>
  <c r="U214" i="8"/>
  <c r="CR237" i="1"/>
  <c r="Q237" i="1" s="1"/>
  <c r="CM147" i="1"/>
  <c r="BD157" i="1"/>
  <c r="F182" i="1" s="1"/>
  <c r="AD154" i="1"/>
  <c r="AB154" i="1" s="1"/>
  <c r="CR154" i="1"/>
  <c r="Q154" i="1" s="1"/>
  <c r="CS154" i="1"/>
  <c r="R154" i="1" s="1"/>
  <c r="GK154" i="1" s="1"/>
  <c r="CT553" i="1"/>
  <c r="S553" i="1" s="1"/>
  <c r="S700" i="7"/>
  <c r="Q706" i="8"/>
  <c r="Q700" i="7"/>
  <c r="S706" i="8"/>
  <c r="U652" i="7"/>
  <c r="U658" i="8"/>
  <c r="C502" i="7"/>
  <c r="E501" i="7"/>
  <c r="D508" i="8"/>
  <c r="F507" i="8"/>
  <c r="Q403" i="7"/>
  <c r="S403" i="7"/>
  <c r="S409" i="8"/>
  <c r="Q409" i="8"/>
  <c r="CT389" i="1"/>
  <c r="S389" i="1" s="1"/>
  <c r="CP344" i="1"/>
  <c r="O344" i="1" s="1"/>
  <c r="GM344" i="1" s="1"/>
  <c r="GP344" i="1" s="1"/>
  <c r="AD965" i="1"/>
  <c r="AB965" i="1" s="1"/>
  <c r="U1325" i="7"/>
  <c r="U1331" i="8"/>
  <c r="K949" i="7"/>
  <c r="L955" i="8"/>
  <c r="CT781" i="1"/>
  <c r="S781" i="1" s="1"/>
  <c r="S986" i="7"/>
  <c r="S992" i="8"/>
  <c r="Q992" i="8"/>
  <c r="Q986" i="7"/>
  <c r="CT767" i="1"/>
  <c r="S767" i="1" s="1"/>
  <c r="Q937" i="7"/>
  <c r="S937" i="7"/>
  <c r="Q943" i="8"/>
  <c r="S943" i="8"/>
  <c r="T740" i="1"/>
  <c r="R523" i="1"/>
  <c r="V642" i="7"/>
  <c r="J649" i="7" s="1"/>
  <c r="V648" i="8"/>
  <c r="K655" i="8" s="1"/>
  <c r="W969" i="1"/>
  <c r="CY967" i="1"/>
  <c r="X967" i="1" s="1"/>
  <c r="CZ967" i="1"/>
  <c r="Y967" i="1" s="1"/>
  <c r="CS961" i="1"/>
  <c r="U1308" i="8"/>
  <c r="U1302" i="7"/>
  <c r="J1284" i="7"/>
  <c r="K1290" i="8"/>
  <c r="U843" i="1"/>
  <c r="S1209" i="7"/>
  <c r="Q1209" i="7"/>
  <c r="Q1215" i="8"/>
  <c r="S1215" i="8"/>
  <c r="CT842" i="1"/>
  <c r="S842" i="1" s="1"/>
  <c r="CS830" i="1"/>
  <c r="U1152" i="7"/>
  <c r="U1158" i="8"/>
  <c r="CP808" i="1"/>
  <c r="O808" i="1" s="1"/>
  <c r="R791" i="1"/>
  <c r="GK791" i="1" s="1"/>
  <c r="V1015" i="7"/>
  <c r="V1021" i="8"/>
  <c r="U790" i="1"/>
  <c r="CR740" i="1"/>
  <c r="Q740" i="1" s="1"/>
  <c r="CP740" i="1" s="1"/>
  <c r="O740" i="1" s="1"/>
  <c r="CS740" i="1"/>
  <c r="R740" i="1" s="1"/>
  <c r="GK740" i="1" s="1"/>
  <c r="AD740" i="1"/>
  <c r="AB740" i="1" s="1"/>
  <c r="AO666" i="1"/>
  <c r="CG666" i="1"/>
  <c r="CG662" i="1" s="1"/>
  <c r="BX662" i="1"/>
  <c r="CS599" i="1"/>
  <c r="R599" i="1" s="1"/>
  <c r="GK599" i="1" s="1"/>
  <c r="V559" i="1"/>
  <c r="CR558" i="1"/>
  <c r="Q558" i="1" s="1"/>
  <c r="K715" i="7"/>
  <c r="L721" i="8"/>
  <c r="D482" i="8"/>
  <c r="E475" i="7"/>
  <c r="C476" i="7"/>
  <c r="F481" i="8"/>
  <c r="S378" i="7"/>
  <c r="Q378" i="7"/>
  <c r="S384" i="8"/>
  <c r="Q384" i="8"/>
  <c r="CT386" i="1"/>
  <c r="S386" i="1" s="1"/>
  <c r="U171" i="7"/>
  <c r="U177" i="8"/>
  <c r="U111" i="7"/>
  <c r="U117" i="8"/>
  <c r="GX195" i="1"/>
  <c r="GX150" i="1"/>
  <c r="J1267" i="7"/>
  <c r="K1273" i="8"/>
  <c r="W837" i="1"/>
  <c r="J1177" i="7"/>
  <c r="K1183" i="8"/>
  <c r="Q1117" i="7"/>
  <c r="S1123" i="8"/>
  <c r="Q1123" i="8"/>
  <c r="S1117" i="7"/>
  <c r="CT816" i="1"/>
  <c r="S816" i="1" s="1"/>
  <c r="S1103" i="7"/>
  <c r="S1109" i="8"/>
  <c r="Q1103" i="7"/>
  <c r="Q1109" i="8"/>
  <c r="K1078" i="8"/>
  <c r="J1072" i="7"/>
  <c r="Q1000" i="7"/>
  <c r="S1006" i="8"/>
  <c r="S1000" i="7"/>
  <c r="Q1006" i="8"/>
  <c r="Q979" i="7"/>
  <c r="Q985" i="8"/>
  <c r="S979" i="7"/>
  <c r="S985" i="8"/>
  <c r="CT779" i="1"/>
  <c r="S779" i="1" s="1"/>
  <c r="W768" i="1"/>
  <c r="U767" i="1"/>
  <c r="CT766" i="1"/>
  <c r="S929" i="7"/>
  <c r="Q929" i="7"/>
  <c r="S935" i="8"/>
  <c r="Q935" i="8"/>
  <c r="AB758" i="1"/>
  <c r="CQ758" i="1"/>
  <c r="P758" i="1" s="1"/>
  <c r="Q872" i="7"/>
  <c r="S872" i="7"/>
  <c r="Q878" i="8"/>
  <c r="S878" i="8"/>
  <c r="G662" i="1"/>
  <c r="A817" i="7"/>
  <c r="A823" i="8"/>
  <c r="J790" i="7"/>
  <c r="K796" i="8"/>
  <c r="T610" i="1"/>
  <c r="CQ604" i="1"/>
  <c r="P604" i="1" s="1"/>
  <c r="K737" i="7"/>
  <c r="L743" i="8"/>
  <c r="E710" i="7"/>
  <c r="C711" i="7"/>
  <c r="F716" i="8"/>
  <c r="D717" i="8"/>
  <c r="S544" i="1"/>
  <c r="CZ544" i="1" s="1"/>
  <c r="Y544" i="1" s="1"/>
  <c r="R443" i="1"/>
  <c r="GK443" i="1" s="1"/>
  <c r="T395" i="1"/>
  <c r="CT390" i="1"/>
  <c r="S390" i="1" s="1"/>
  <c r="Q410" i="7"/>
  <c r="Q416" i="8"/>
  <c r="S410" i="7"/>
  <c r="S416" i="8"/>
  <c r="CT385" i="1"/>
  <c r="S385" i="1" s="1"/>
  <c r="S372" i="7"/>
  <c r="Q372" i="7"/>
  <c r="S378" i="8"/>
  <c r="Q378" i="8"/>
  <c r="V336" i="1"/>
  <c r="J261" i="7"/>
  <c r="K267" i="8"/>
  <c r="J163" i="7"/>
  <c r="K169" i="8"/>
  <c r="C147" i="7"/>
  <c r="E146" i="7"/>
  <c r="D153" i="8"/>
  <c r="F152" i="8"/>
  <c r="CP234" i="1"/>
  <c r="O234" i="1" s="1"/>
  <c r="CS193" i="1"/>
  <c r="R193" i="1" s="1"/>
  <c r="GK193" i="1" s="1"/>
  <c r="AD193" i="1"/>
  <c r="AB193" i="1" s="1"/>
  <c r="U72" i="1"/>
  <c r="P71" i="1"/>
  <c r="AC77" i="1" s="1"/>
  <c r="P969" i="1"/>
  <c r="CP969" i="1" s="1"/>
  <c r="O969" i="1" s="1"/>
  <c r="S1318" i="7"/>
  <c r="Q1324" i="8"/>
  <c r="S1324" i="8"/>
  <c r="Q1318" i="7"/>
  <c r="Q1216" i="7"/>
  <c r="S1222" i="8"/>
  <c r="Q1222" i="8"/>
  <c r="S1216" i="7"/>
  <c r="CT843" i="1"/>
  <c r="S843" i="1" s="1"/>
  <c r="L1337" i="8"/>
  <c r="K1331" i="7"/>
  <c r="U1318" i="7"/>
  <c r="U1324" i="8"/>
  <c r="S1312" i="7"/>
  <c r="Q1312" i="7"/>
  <c r="S1318" i="8"/>
  <c r="Q1318" i="8"/>
  <c r="U1222" i="8"/>
  <c r="U1216" i="7"/>
  <c r="U1123" i="8"/>
  <c r="U1117" i="7"/>
  <c r="CR816" i="1"/>
  <c r="Q816" i="1" s="1"/>
  <c r="U1103" i="7"/>
  <c r="U1109" i="8"/>
  <c r="R789" i="1"/>
  <c r="GK789" i="1" s="1"/>
  <c r="CS786" i="1"/>
  <c r="U1006" i="8"/>
  <c r="U1000" i="7"/>
  <c r="AD779" i="1"/>
  <c r="AB779" i="1" s="1"/>
  <c r="U979" i="7"/>
  <c r="U985" i="8"/>
  <c r="AD778" i="1"/>
  <c r="AB778" i="1" s="1"/>
  <c r="T767" i="1"/>
  <c r="U929" i="7"/>
  <c r="U935" i="8"/>
  <c r="AD766" i="1"/>
  <c r="S914" i="7"/>
  <c r="Q914" i="7"/>
  <c r="Q920" i="8"/>
  <c r="S920" i="8"/>
  <c r="U751" i="1"/>
  <c r="U878" i="8"/>
  <c r="U872" i="7"/>
  <c r="CR749" i="1"/>
  <c r="Q749" i="1" s="1"/>
  <c r="P740" i="1"/>
  <c r="AB737" i="1"/>
  <c r="CQ737" i="1"/>
  <c r="P737" i="1" s="1"/>
  <c r="CP737" i="1" s="1"/>
  <c r="O737" i="1" s="1"/>
  <c r="GM737" i="1" s="1"/>
  <c r="GP737" i="1" s="1"/>
  <c r="S736" i="1"/>
  <c r="Q620" i="1"/>
  <c r="T619" i="1"/>
  <c r="AD616" i="1"/>
  <c r="AB616" i="1" s="1"/>
  <c r="CR616" i="1"/>
  <c r="Q616" i="1" s="1"/>
  <c r="AD597" i="1"/>
  <c r="AB597" i="1" s="1"/>
  <c r="CR597" i="1"/>
  <c r="Q597" i="1" s="1"/>
  <c r="P549" i="1"/>
  <c r="K630" i="7"/>
  <c r="L636" i="8"/>
  <c r="CR514" i="1"/>
  <c r="Q514" i="1" s="1"/>
  <c r="CS514" i="1"/>
  <c r="R514" i="1" s="1"/>
  <c r="GK514" i="1" s="1"/>
  <c r="CR443" i="1"/>
  <c r="Q443" i="1" s="1"/>
  <c r="CP443" i="1" s="1"/>
  <c r="O443" i="1" s="1"/>
  <c r="C592" i="7"/>
  <c r="F597" i="8"/>
  <c r="E591" i="7"/>
  <c r="D598" i="8"/>
  <c r="C552" i="7"/>
  <c r="E551" i="7"/>
  <c r="D558" i="8"/>
  <c r="F557" i="8"/>
  <c r="C544" i="7"/>
  <c r="E543" i="7"/>
  <c r="D550" i="8"/>
  <c r="F549" i="8"/>
  <c r="L533" i="8"/>
  <c r="K527" i="7"/>
  <c r="CR401" i="1"/>
  <c r="Q401" i="1" s="1"/>
  <c r="CP401" i="1" s="1"/>
  <c r="O401" i="1" s="1"/>
  <c r="GM401" i="1" s="1"/>
  <c r="GP401" i="1" s="1"/>
  <c r="CT395" i="1"/>
  <c r="S395" i="1" s="1"/>
  <c r="Q443" i="7"/>
  <c r="S443" i="7"/>
  <c r="W392" i="1"/>
  <c r="K421" i="7"/>
  <c r="L427" i="8"/>
  <c r="U372" i="7"/>
  <c r="U378" i="8"/>
  <c r="AD385" i="1"/>
  <c r="AB385" i="1" s="1"/>
  <c r="GX334" i="1"/>
  <c r="AD324" i="1"/>
  <c r="AB324" i="1" s="1"/>
  <c r="U259" i="8"/>
  <c r="U253" i="7"/>
  <c r="CS324" i="1"/>
  <c r="T319" i="1"/>
  <c r="J165" i="7"/>
  <c r="K171" i="8"/>
  <c r="T72" i="1"/>
  <c r="G30" i="1"/>
  <c r="A54" i="7"/>
  <c r="A60" i="8"/>
  <c r="F1000" i="1"/>
  <c r="AB892" i="1"/>
  <c r="O897" i="1"/>
  <c r="U856" i="1"/>
  <c r="S1271" i="8"/>
  <c r="Q1271" i="8"/>
  <c r="S1265" i="7"/>
  <c r="Q1265" i="7"/>
  <c r="CT853" i="1"/>
  <c r="S853" i="1" s="1"/>
  <c r="CY853" i="1" s="1"/>
  <c r="X853" i="1" s="1"/>
  <c r="S1257" i="7"/>
  <c r="Q1257" i="7"/>
  <c r="S1263" i="8"/>
  <c r="Q1263" i="8"/>
  <c r="S852" i="1"/>
  <c r="L1245" i="8"/>
  <c r="K1239" i="7"/>
  <c r="K1157" i="7"/>
  <c r="L1163" i="8"/>
  <c r="U1130" i="8"/>
  <c r="U1124" i="7"/>
  <c r="V1089" i="7"/>
  <c r="V1095" i="8"/>
  <c r="CT810" i="1"/>
  <c r="S810" i="1" s="1"/>
  <c r="S1077" i="7"/>
  <c r="Q1077" i="7"/>
  <c r="S1083" i="8"/>
  <c r="Q1083" i="8"/>
  <c r="T805" i="1"/>
  <c r="CT791" i="1"/>
  <c r="Q1015" i="7"/>
  <c r="S1015" i="7"/>
  <c r="Q1021" i="8"/>
  <c r="S1021" i="8"/>
  <c r="CS790" i="1"/>
  <c r="U1013" i="8"/>
  <c r="U1007" i="7"/>
  <c r="CP788" i="1"/>
  <c r="O788" i="1" s="1"/>
  <c r="W775" i="1"/>
  <c r="T773" i="1"/>
  <c r="CQ769" i="1"/>
  <c r="P769" i="1" s="1"/>
  <c r="AB769" i="1"/>
  <c r="GX761" i="1"/>
  <c r="GX749" i="1"/>
  <c r="GX748" i="1"/>
  <c r="R746" i="1"/>
  <c r="GK746" i="1" s="1"/>
  <c r="V865" i="7"/>
  <c r="V871" i="8"/>
  <c r="F834" i="8"/>
  <c r="D835" i="8"/>
  <c r="C829" i="7"/>
  <c r="E828" i="7"/>
  <c r="CS612" i="1"/>
  <c r="R612" i="1" s="1"/>
  <c r="GK612" i="1" s="1"/>
  <c r="U739" i="7"/>
  <c r="U745" i="8"/>
  <c r="S556" i="1"/>
  <c r="W555" i="1"/>
  <c r="W553" i="1"/>
  <c r="AJ563" i="1" s="1"/>
  <c r="S551" i="1"/>
  <c r="CY551" i="1" s="1"/>
  <c r="X551" i="1" s="1"/>
  <c r="CR548" i="1"/>
  <c r="Q548" i="1" s="1"/>
  <c r="U688" i="7"/>
  <c r="U694" i="8"/>
  <c r="CT540" i="1"/>
  <c r="S540" i="1" s="1"/>
  <c r="S679" i="7"/>
  <c r="Q685" i="8"/>
  <c r="S685" i="8"/>
  <c r="Q679" i="7"/>
  <c r="AD532" i="1"/>
  <c r="AB532" i="1" s="1"/>
  <c r="U668" i="8"/>
  <c r="U662" i="7"/>
  <c r="CR532" i="1"/>
  <c r="Q532" i="1" s="1"/>
  <c r="Q424" i="1"/>
  <c r="P420" i="1"/>
  <c r="S468" i="7"/>
  <c r="Q468" i="7"/>
  <c r="S474" i="8"/>
  <c r="Q474" i="8"/>
  <c r="AB401" i="1"/>
  <c r="AD396" i="1"/>
  <c r="AB396" i="1" s="1"/>
  <c r="U454" i="8"/>
  <c r="U448" i="7"/>
  <c r="CR396" i="1"/>
  <c r="Q396" i="1" s="1"/>
  <c r="CP396" i="1" s="1"/>
  <c r="O396" i="1" s="1"/>
  <c r="CS396" i="1"/>
  <c r="T343" i="1"/>
  <c r="L345" i="8"/>
  <c r="K339" i="7"/>
  <c r="T334" i="1"/>
  <c r="CT326" i="1"/>
  <c r="S326" i="1" s="1"/>
  <c r="Q267" i="7"/>
  <c r="S267" i="7"/>
  <c r="S273" i="8"/>
  <c r="Q273" i="8"/>
  <c r="U225" i="8"/>
  <c r="U219" i="7"/>
  <c r="G26" i="1"/>
  <c r="A202" i="7"/>
  <c r="A208" i="8"/>
  <c r="R153" i="7"/>
  <c r="J157" i="7" s="1"/>
  <c r="R159" i="8"/>
  <c r="K163" i="8" s="1"/>
  <c r="J262" i="7"/>
  <c r="K268" i="8"/>
  <c r="K234" i="7"/>
  <c r="L240" i="8"/>
  <c r="K187" i="7"/>
  <c r="L193" i="8"/>
  <c r="CT195" i="1"/>
  <c r="S195" i="1" s="1"/>
  <c r="AB195" i="1"/>
  <c r="E65" i="7"/>
  <c r="C66" i="7"/>
  <c r="D72" i="8"/>
  <c r="F71" i="8"/>
  <c r="V973" i="1"/>
  <c r="CQ894" i="1"/>
  <c r="P894" i="1" s="1"/>
  <c r="AB894" i="1"/>
  <c r="U1265" i="7"/>
  <c r="U1271" i="8"/>
  <c r="CS853" i="1"/>
  <c r="U1257" i="7"/>
  <c r="U1263" i="8"/>
  <c r="S1255" i="8"/>
  <c r="Q1255" i="8"/>
  <c r="Q1249" i="7"/>
  <c r="S1249" i="7"/>
  <c r="F1191" i="8"/>
  <c r="E1185" i="7"/>
  <c r="C1186" i="7"/>
  <c r="D1192" i="8"/>
  <c r="P832" i="1"/>
  <c r="K1136" i="7"/>
  <c r="L1142" i="8"/>
  <c r="CS810" i="1"/>
  <c r="U1083" i="8"/>
  <c r="U1077" i="7"/>
  <c r="S1061" i="8"/>
  <c r="Q1061" i="8"/>
  <c r="S1055" i="7"/>
  <c r="Q1055" i="7"/>
  <c r="CT805" i="1"/>
  <c r="S805" i="1" s="1"/>
  <c r="L1033" i="8"/>
  <c r="K1027" i="7"/>
  <c r="U1021" i="8"/>
  <c r="U1015" i="7"/>
  <c r="AB790" i="1"/>
  <c r="CT773" i="1"/>
  <c r="S773" i="1" s="1"/>
  <c r="S963" i="7"/>
  <c r="Q963" i="7"/>
  <c r="S969" i="8"/>
  <c r="Q969" i="8"/>
  <c r="E944" i="7"/>
  <c r="F950" i="8"/>
  <c r="W756" i="1"/>
  <c r="K902" i="7"/>
  <c r="L908" i="8"/>
  <c r="CT743" i="1"/>
  <c r="S743" i="1" s="1"/>
  <c r="Q851" i="7"/>
  <c r="S851" i="7"/>
  <c r="S857" i="8"/>
  <c r="Q857" i="8"/>
  <c r="GX736" i="1"/>
  <c r="G507" i="1"/>
  <c r="A820" i="7"/>
  <c r="A826" i="8"/>
  <c r="P624" i="1"/>
  <c r="CP624" i="1" s="1"/>
  <c r="O624" i="1" s="1"/>
  <c r="GM624" i="1" s="1"/>
  <c r="GP624" i="1" s="1"/>
  <c r="CT611" i="1"/>
  <c r="S611" i="1" s="1"/>
  <c r="S782" i="8"/>
  <c r="Q782" i="8"/>
  <c r="S776" i="7"/>
  <c r="Q776" i="7"/>
  <c r="P600" i="1"/>
  <c r="P557" i="1"/>
  <c r="CR540" i="1"/>
  <c r="Q540" i="1" s="1"/>
  <c r="U679" i="7"/>
  <c r="U685" i="8"/>
  <c r="AD540" i="1"/>
  <c r="AB540" i="1" s="1"/>
  <c r="Q605" i="7"/>
  <c r="S611" i="8"/>
  <c r="S605" i="7"/>
  <c r="Q611" i="8"/>
  <c r="GX419" i="1"/>
  <c r="J537" i="7"/>
  <c r="K543" i="8"/>
  <c r="AD402" i="1"/>
  <c r="AB402" i="1" s="1"/>
  <c r="U468" i="7"/>
  <c r="U474" i="8"/>
  <c r="V439" i="7"/>
  <c r="V445" i="8"/>
  <c r="R394" i="1"/>
  <c r="GK394" i="1" s="1"/>
  <c r="E423" i="7"/>
  <c r="C424" i="7"/>
  <c r="D430" i="8"/>
  <c r="F429" i="8"/>
  <c r="U388" i="7"/>
  <c r="U394" i="8"/>
  <c r="AD387" i="1"/>
  <c r="AB387" i="1" s="1"/>
  <c r="CS387" i="1"/>
  <c r="S343" i="1"/>
  <c r="J343" i="7"/>
  <c r="K349" i="8"/>
  <c r="U327" i="7"/>
  <c r="U333" i="8"/>
  <c r="CS337" i="1"/>
  <c r="K196" i="7"/>
  <c r="L202" i="8"/>
  <c r="CT244" i="1"/>
  <c r="S244" i="1" s="1"/>
  <c r="S182" i="7"/>
  <c r="Q182" i="7"/>
  <c r="S188" i="8"/>
  <c r="Q188" i="8"/>
  <c r="V154" i="1"/>
  <c r="W150" i="1"/>
  <c r="GX71" i="1"/>
  <c r="CJ77" i="1" s="1"/>
  <c r="CJ69" i="1" s="1"/>
  <c r="GX966" i="1"/>
  <c r="V897" i="1"/>
  <c r="R858" i="1"/>
  <c r="GK858" i="1" s="1"/>
  <c r="CT856" i="1"/>
  <c r="S856" i="1" s="1"/>
  <c r="S1273" i="7"/>
  <c r="Q1279" i="8"/>
  <c r="Q1273" i="7"/>
  <c r="S1279" i="8"/>
  <c r="AD854" i="1"/>
  <c r="AB854" i="1" s="1"/>
  <c r="AD853" i="1"/>
  <c r="AB853" i="1" s="1"/>
  <c r="U1255" i="8"/>
  <c r="U1249" i="7"/>
  <c r="K1247" i="7"/>
  <c r="L1253" i="8"/>
  <c r="S1239" i="8"/>
  <c r="S1233" i="7"/>
  <c r="Q1233" i="7"/>
  <c r="Q1239" i="8"/>
  <c r="S838" i="1"/>
  <c r="CP838" i="1" s="1"/>
  <c r="O838" i="1" s="1"/>
  <c r="GM838" i="1" s="1"/>
  <c r="GP838" i="1" s="1"/>
  <c r="W832" i="1"/>
  <c r="CT830" i="1"/>
  <c r="S830" i="1" s="1"/>
  <c r="CY830" i="1" s="1"/>
  <c r="X830" i="1" s="1"/>
  <c r="S1152" i="7"/>
  <c r="Q1152" i="7"/>
  <c r="Q1158" i="8"/>
  <c r="S1158" i="8"/>
  <c r="K1143" i="7"/>
  <c r="L1149" i="8"/>
  <c r="R824" i="1"/>
  <c r="GK824" i="1" s="1"/>
  <c r="V1131" i="7"/>
  <c r="V1137" i="8"/>
  <c r="AD810" i="1"/>
  <c r="U1055" i="7"/>
  <c r="U1061" i="8"/>
  <c r="CR805" i="1"/>
  <c r="Q805" i="1" s="1"/>
  <c r="CS805" i="1"/>
  <c r="P790" i="1"/>
  <c r="Q784" i="1"/>
  <c r="K1001" i="8"/>
  <c r="J995" i="7"/>
  <c r="CB860" i="1"/>
  <c r="CB732" i="1" s="1"/>
  <c r="CR773" i="1"/>
  <c r="Q773" i="1" s="1"/>
  <c r="U963" i="7"/>
  <c r="U969" i="8"/>
  <c r="V756" i="1"/>
  <c r="U851" i="7"/>
  <c r="U857" i="8"/>
  <c r="CR611" i="1"/>
  <c r="Q611" i="1" s="1"/>
  <c r="U776" i="7"/>
  <c r="U782" i="8"/>
  <c r="CS611" i="1"/>
  <c r="W557" i="1"/>
  <c r="W554" i="1"/>
  <c r="T434" i="1"/>
  <c r="AD433" i="1"/>
  <c r="U605" i="7"/>
  <c r="U611" i="8"/>
  <c r="S428" i="1"/>
  <c r="P403" i="1"/>
  <c r="J390" i="7"/>
  <c r="K396" i="8"/>
  <c r="R339" i="1"/>
  <c r="GK339" i="1" s="1"/>
  <c r="V341" i="7"/>
  <c r="V347" i="8"/>
  <c r="AD337" i="1"/>
  <c r="AB337" i="1" s="1"/>
  <c r="R334" i="1"/>
  <c r="GK334" i="1" s="1"/>
  <c r="V309" i="8"/>
  <c r="V303" i="7"/>
  <c r="K241" i="7"/>
  <c r="L247" i="8"/>
  <c r="AD321" i="1"/>
  <c r="U228" i="7"/>
  <c r="U234" i="8"/>
  <c r="CS321" i="1"/>
  <c r="U182" i="7"/>
  <c r="U188" i="8"/>
  <c r="S239" i="1"/>
  <c r="U237" i="1"/>
  <c r="V152" i="1"/>
  <c r="P150" i="1"/>
  <c r="CR74" i="1"/>
  <c r="Q74" i="1" s="1"/>
  <c r="CP74" i="1" s="1"/>
  <c r="O74" i="1" s="1"/>
  <c r="AD74" i="1"/>
  <c r="AB74" i="1" s="1"/>
  <c r="R152" i="1"/>
  <c r="GK152" i="1" s="1"/>
  <c r="U87" i="7"/>
  <c r="U93" i="8"/>
  <c r="CC69" i="1"/>
  <c r="AT77" i="1"/>
  <c r="A1295" i="7"/>
  <c r="A1301" i="8"/>
  <c r="S1165" i="8"/>
  <c r="Q1159" i="7"/>
  <c r="Q1165" i="8"/>
  <c r="S1159" i="7"/>
  <c r="E1055" i="7"/>
  <c r="C1056" i="7"/>
  <c r="F1061" i="8"/>
  <c r="D1062" i="8"/>
  <c r="K1037" i="8"/>
  <c r="J1031" i="7"/>
  <c r="C964" i="7"/>
  <c r="E963" i="7"/>
  <c r="D970" i="8"/>
  <c r="F969" i="8"/>
  <c r="J955" i="7"/>
  <c r="K961" i="8"/>
  <c r="U906" i="7"/>
  <c r="U912" i="8"/>
  <c r="CS756" i="1"/>
  <c r="CR756" i="1"/>
  <c r="Q756" i="1" s="1"/>
  <c r="GX740" i="1"/>
  <c r="GX619" i="1"/>
  <c r="T616" i="1"/>
  <c r="K794" i="8"/>
  <c r="J788" i="7"/>
  <c r="R604" i="1"/>
  <c r="V759" i="7"/>
  <c r="J766" i="7" s="1"/>
  <c r="V765" i="8"/>
  <c r="K772" i="8" s="1"/>
  <c r="W560" i="1"/>
  <c r="Q559" i="1"/>
  <c r="CT554" i="1"/>
  <c r="S554" i="1" s="1"/>
  <c r="S710" i="7"/>
  <c r="S716" i="8"/>
  <c r="Q716" i="8"/>
  <c r="Q710" i="7"/>
  <c r="U700" i="7"/>
  <c r="U706" i="8"/>
  <c r="K587" i="7"/>
  <c r="L593" i="8"/>
  <c r="GX402" i="1"/>
  <c r="GX401" i="1"/>
  <c r="CT394" i="1"/>
  <c r="S439" i="7"/>
  <c r="S445" i="8"/>
  <c r="Q439" i="7"/>
  <c r="Q445" i="8"/>
  <c r="Q430" i="7"/>
  <c r="S436" i="8"/>
  <c r="S430" i="7"/>
  <c r="Q436" i="8"/>
  <c r="CR388" i="1"/>
  <c r="Q388" i="1" s="1"/>
  <c r="U395" i="7"/>
  <c r="U401" i="8"/>
  <c r="AD345" i="1"/>
  <c r="AB345" i="1" s="1"/>
  <c r="CR345" i="1"/>
  <c r="Q345" i="1" s="1"/>
  <c r="K346" i="7"/>
  <c r="L352" i="8"/>
  <c r="U334" i="1"/>
  <c r="U277" i="7"/>
  <c r="U283" i="8"/>
  <c r="K258" i="7"/>
  <c r="L264" i="8"/>
  <c r="J238" i="7"/>
  <c r="K244" i="8"/>
  <c r="P154" i="1"/>
  <c r="CP154" i="1" s="1"/>
  <c r="O154" i="1" s="1"/>
  <c r="T150" i="1"/>
  <c r="AD111" i="1"/>
  <c r="AB111" i="1" s="1"/>
  <c r="AQ77" i="1"/>
  <c r="AQ69" i="1" s="1"/>
  <c r="BZ69" i="1"/>
  <c r="AQ897" i="1"/>
  <c r="AQ892" i="1" s="1"/>
  <c r="BZ892" i="1"/>
  <c r="P851" i="1"/>
  <c r="C1250" i="7"/>
  <c r="E1249" i="7"/>
  <c r="D1256" i="8"/>
  <c r="F1255" i="8"/>
  <c r="K774" i="7"/>
  <c r="L780" i="8"/>
  <c r="CT857" i="1"/>
  <c r="S857" i="1" s="1"/>
  <c r="S1287" i="8"/>
  <c r="S1281" i="7"/>
  <c r="Q1287" i="8"/>
  <c r="Q1281" i="7"/>
  <c r="U1159" i="7"/>
  <c r="U1165" i="8"/>
  <c r="GX790" i="1"/>
  <c r="CT783" i="1"/>
  <c r="S783" i="1" s="1"/>
  <c r="Q993" i="7"/>
  <c r="S993" i="7"/>
  <c r="S999" i="8"/>
  <c r="Q999" i="8"/>
  <c r="CS778" i="1"/>
  <c r="R778" i="1" s="1"/>
  <c r="GK778" i="1" s="1"/>
  <c r="AD756" i="1"/>
  <c r="AB756" i="1" s="1"/>
  <c r="CS737" i="1"/>
  <c r="R737" i="1" s="1"/>
  <c r="GK737" i="1" s="1"/>
  <c r="BD662" i="1"/>
  <c r="F691" i="1"/>
  <c r="V627" i="1"/>
  <c r="AD624" i="1"/>
  <c r="AB624" i="1" s="1"/>
  <c r="CS624" i="1"/>
  <c r="R624" i="1" s="1"/>
  <c r="GK624" i="1" s="1"/>
  <c r="CB630" i="1"/>
  <c r="AS630" i="1" s="1"/>
  <c r="U710" i="7"/>
  <c r="U716" i="8"/>
  <c r="CR554" i="1"/>
  <c r="Q554" i="1" s="1"/>
  <c r="CS554" i="1"/>
  <c r="CR333" i="1"/>
  <c r="Q333" i="1" s="1"/>
  <c r="CS333" i="1"/>
  <c r="R333" i="1" s="1"/>
  <c r="GK333" i="1" s="1"/>
  <c r="AD333" i="1"/>
  <c r="AB333" i="1" s="1"/>
  <c r="K251" i="7"/>
  <c r="L257" i="8"/>
  <c r="K159" i="7"/>
  <c r="L165" i="8"/>
  <c r="S150" i="1"/>
  <c r="CZ150" i="1" s="1"/>
  <c r="Y150" i="1" s="1"/>
  <c r="AB825" i="1"/>
  <c r="S1063" i="7"/>
  <c r="Q1063" i="7"/>
  <c r="S1069" i="8"/>
  <c r="Q1069" i="8"/>
  <c r="CR962" i="1"/>
  <c r="Q962" i="1" s="1"/>
  <c r="V858" i="1"/>
  <c r="GX856" i="1"/>
  <c r="C1274" i="7"/>
  <c r="D1280" i="8"/>
  <c r="F1279" i="8"/>
  <c r="E1273" i="7"/>
  <c r="F1271" i="8"/>
  <c r="E1265" i="7"/>
  <c r="D1272" i="8"/>
  <c r="C1266" i="7"/>
  <c r="K1217" i="8"/>
  <c r="J1211" i="7"/>
  <c r="Q1201" i="8"/>
  <c r="S1195" i="7"/>
  <c r="S1201" i="8"/>
  <c r="Q1195" i="7"/>
  <c r="R820" i="1"/>
  <c r="GK820" i="1" s="1"/>
  <c r="V1117" i="7"/>
  <c r="V1123" i="8"/>
  <c r="U1063" i="7"/>
  <c r="U1069" i="8"/>
  <c r="CT519" i="1"/>
  <c r="S519" i="1" s="1"/>
  <c r="S632" i="7"/>
  <c r="Q632" i="7"/>
  <c r="S638" i="8"/>
  <c r="Q638" i="8"/>
  <c r="CY438" i="1"/>
  <c r="X438" i="1" s="1"/>
  <c r="CZ438" i="1"/>
  <c r="Y438" i="1" s="1"/>
  <c r="P424" i="1"/>
  <c r="P423" i="1"/>
  <c r="CP423" i="1" s="1"/>
  <c r="O423" i="1" s="1"/>
  <c r="K549" i="7"/>
  <c r="L555" i="8"/>
  <c r="CT411" i="1"/>
  <c r="S411" i="1" s="1"/>
  <c r="S508" i="7"/>
  <c r="Q514" i="8"/>
  <c r="S514" i="8"/>
  <c r="Q508" i="7"/>
  <c r="U455" i="7"/>
  <c r="U461" i="8"/>
  <c r="U439" i="7"/>
  <c r="U445" i="8"/>
  <c r="J398" i="7"/>
  <c r="K404" i="8"/>
  <c r="CT964" i="1"/>
  <c r="S964" i="1" s="1"/>
  <c r="CT963" i="1"/>
  <c r="S963" i="1" s="1"/>
  <c r="G728" i="1"/>
  <c r="A1304" i="8"/>
  <c r="A1298" i="7"/>
  <c r="CG897" i="1"/>
  <c r="CG892" i="1" s="1"/>
  <c r="CS857" i="1"/>
  <c r="U1287" i="8"/>
  <c r="U1281" i="7"/>
  <c r="E1257" i="7"/>
  <c r="D1264" i="8"/>
  <c r="C1258" i="7"/>
  <c r="F1263" i="8"/>
  <c r="GX848" i="1"/>
  <c r="D1240" i="8"/>
  <c r="E1233" i="7"/>
  <c r="F1239" i="8"/>
  <c r="C1234" i="7"/>
  <c r="W843" i="1"/>
  <c r="CT841" i="1"/>
  <c r="S841" i="1" s="1"/>
  <c r="S1202" i="7"/>
  <c r="Q1208" i="8"/>
  <c r="S1208" i="8"/>
  <c r="Q1202" i="7"/>
  <c r="U1195" i="7"/>
  <c r="U1201" i="8"/>
  <c r="U1137" i="8"/>
  <c r="U1131" i="7"/>
  <c r="CR820" i="1"/>
  <c r="Q820" i="1" s="1"/>
  <c r="CP820" i="1" s="1"/>
  <c r="O820" i="1" s="1"/>
  <c r="CR819" i="1"/>
  <c r="Q819" i="1" s="1"/>
  <c r="CP819" i="1" s="1"/>
  <c r="O819" i="1" s="1"/>
  <c r="GM819" i="1" s="1"/>
  <c r="GP819" i="1" s="1"/>
  <c r="CR815" i="1"/>
  <c r="Q815" i="1" s="1"/>
  <c r="GX804" i="1"/>
  <c r="W802" i="1"/>
  <c r="F1028" i="8"/>
  <c r="E1022" i="7"/>
  <c r="CT786" i="1"/>
  <c r="S786" i="1" s="1"/>
  <c r="U993" i="7"/>
  <c r="U999" i="8"/>
  <c r="CS779" i="1"/>
  <c r="CS766" i="1"/>
  <c r="W765" i="1"/>
  <c r="R764" i="1"/>
  <c r="GK764" i="1" s="1"/>
  <c r="V758" i="1"/>
  <c r="U757" i="1"/>
  <c r="P756" i="1"/>
  <c r="CP756" i="1" s="1"/>
  <c r="O756" i="1" s="1"/>
  <c r="U752" i="1"/>
  <c r="CT749" i="1"/>
  <c r="S749" i="1" s="1"/>
  <c r="CR737" i="1"/>
  <c r="Q737" i="1" s="1"/>
  <c r="W736" i="1"/>
  <c r="BC666" i="1"/>
  <c r="CL662" i="1"/>
  <c r="U627" i="1"/>
  <c r="CS616" i="1"/>
  <c r="R616" i="1" s="1"/>
  <c r="GK616" i="1" s="1"/>
  <c r="BZ630" i="1"/>
  <c r="CS597" i="1"/>
  <c r="R597" i="1" s="1"/>
  <c r="GK597" i="1" s="1"/>
  <c r="R560" i="1"/>
  <c r="GK560" i="1" s="1"/>
  <c r="T555" i="1"/>
  <c r="AD554" i="1"/>
  <c r="R544" i="1"/>
  <c r="GK544" i="1" s="1"/>
  <c r="CZ537" i="1"/>
  <c r="Y537" i="1" s="1"/>
  <c r="CT536" i="1"/>
  <c r="S536" i="1" s="1"/>
  <c r="S672" i="7"/>
  <c r="S678" i="8"/>
  <c r="Q672" i="7"/>
  <c r="Q678" i="8"/>
  <c r="U632" i="7"/>
  <c r="U638" i="8"/>
  <c r="AD435" i="1"/>
  <c r="AB435" i="1" s="1"/>
  <c r="CS435" i="1"/>
  <c r="R435" i="1" s="1"/>
  <c r="GK435" i="1" s="1"/>
  <c r="U428" i="1"/>
  <c r="C576" i="7"/>
  <c r="F581" i="8"/>
  <c r="E575" i="7"/>
  <c r="D582" i="8"/>
  <c r="GX420" i="1"/>
  <c r="P419" i="1"/>
  <c r="U418" i="1"/>
  <c r="AD416" i="1"/>
  <c r="AB416" i="1" s="1"/>
  <c r="U536" i="7"/>
  <c r="U542" i="8"/>
  <c r="CR416" i="1"/>
  <c r="Q416" i="1" s="1"/>
  <c r="CP416" i="1" s="1"/>
  <c r="O416" i="1" s="1"/>
  <c r="CS416" i="1"/>
  <c r="L527" i="8"/>
  <c r="K521" i="7"/>
  <c r="CS411" i="1"/>
  <c r="U508" i="7"/>
  <c r="U514" i="8"/>
  <c r="BY445" i="1"/>
  <c r="BY381" i="1" s="1"/>
  <c r="K414" i="7"/>
  <c r="L420" i="8"/>
  <c r="K408" i="7"/>
  <c r="L414" i="8"/>
  <c r="T344" i="1"/>
  <c r="V344" i="1"/>
  <c r="U344" i="1"/>
  <c r="Q341" i="7"/>
  <c r="S341" i="7"/>
  <c r="S347" i="8"/>
  <c r="Q347" i="8"/>
  <c r="CR324" i="1"/>
  <c r="Q324" i="1" s="1"/>
  <c r="K169" i="7"/>
  <c r="L175" i="8"/>
  <c r="J140" i="7"/>
  <c r="K146" i="8"/>
  <c r="E124" i="7"/>
  <c r="C125" i="7"/>
  <c r="F130" i="8"/>
  <c r="D131" i="8"/>
  <c r="CR193" i="1"/>
  <c r="Q193" i="1" s="1"/>
  <c r="CP193" i="1" s="1"/>
  <c r="O193" i="1" s="1"/>
  <c r="S153" i="1"/>
  <c r="U152" i="1"/>
  <c r="A1352" i="7"/>
  <c r="A1358" i="8"/>
  <c r="C1345" i="7"/>
  <c r="D1351" i="8"/>
  <c r="E1344" i="7"/>
  <c r="F1350" i="8"/>
  <c r="AB857" i="1"/>
  <c r="U1202" i="7"/>
  <c r="U1208" i="8"/>
  <c r="U1144" i="8"/>
  <c r="U1138" i="7"/>
  <c r="K1101" i="7"/>
  <c r="L1107" i="8"/>
  <c r="K1046" i="7"/>
  <c r="L1052" i="8"/>
  <c r="BY860" i="1"/>
  <c r="AP860" i="1" s="1"/>
  <c r="V765" i="1"/>
  <c r="S760" i="1"/>
  <c r="CY760" i="1" s="1"/>
  <c r="X760" i="1" s="1"/>
  <c r="R749" i="1"/>
  <c r="GK749" i="1" s="1"/>
  <c r="V872" i="7"/>
  <c r="V878" i="8"/>
  <c r="L840" i="8"/>
  <c r="K834" i="7"/>
  <c r="P616" i="1"/>
  <c r="CP597" i="1"/>
  <c r="O597" i="1" s="1"/>
  <c r="GM597" i="1" s="1"/>
  <c r="GP597" i="1" s="1"/>
  <c r="U559" i="1"/>
  <c r="Q717" i="7"/>
  <c r="S717" i="7"/>
  <c r="S723" i="8"/>
  <c r="Q723" i="8"/>
  <c r="Q544" i="1"/>
  <c r="CS536" i="1"/>
  <c r="U678" i="8"/>
  <c r="U672" i="7"/>
  <c r="CR536" i="1"/>
  <c r="Q536" i="1" s="1"/>
  <c r="L666" i="8"/>
  <c r="K660" i="7"/>
  <c r="GX443" i="1"/>
  <c r="J538" i="7"/>
  <c r="K544" i="8"/>
  <c r="K376" i="7"/>
  <c r="L382" i="8"/>
  <c r="K370" i="7"/>
  <c r="L376" i="8"/>
  <c r="J255" i="7"/>
  <c r="K261" i="8"/>
  <c r="CT323" i="1"/>
  <c r="S323" i="1" s="1"/>
  <c r="S243" i="7"/>
  <c r="Q243" i="7"/>
  <c r="S249" i="8"/>
  <c r="Q249" i="8"/>
  <c r="AD239" i="1"/>
  <c r="AB239" i="1" s="1"/>
  <c r="U146" i="7"/>
  <c r="U152" i="8"/>
  <c r="CS239" i="1"/>
  <c r="AD198" i="1"/>
  <c r="AB198" i="1" s="1"/>
  <c r="CS198" i="1"/>
  <c r="R198" i="1" s="1"/>
  <c r="GK198" i="1" s="1"/>
  <c r="CR198" i="1"/>
  <c r="Q198" i="1" s="1"/>
  <c r="CP198" i="1" s="1"/>
  <c r="O198" i="1" s="1"/>
  <c r="CR153" i="1"/>
  <c r="Q153" i="1" s="1"/>
  <c r="CS153" i="1"/>
  <c r="R153" i="1" s="1"/>
  <c r="GK153" i="1" s="1"/>
  <c r="AD153" i="1"/>
  <c r="AB153" i="1" s="1"/>
  <c r="BY77" i="1"/>
  <c r="CT197" i="1"/>
  <c r="S197" i="1" s="1"/>
  <c r="Q111" i="7"/>
  <c r="S111" i="7"/>
  <c r="S117" i="8"/>
  <c r="Q117" i="8"/>
  <c r="U150" i="1"/>
  <c r="J771" i="7"/>
  <c r="K777" i="8"/>
  <c r="CS602" i="1"/>
  <c r="U750" i="7"/>
  <c r="U756" i="8"/>
  <c r="CQ532" i="1"/>
  <c r="P532" i="1" s="1"/>
  <c r="CQ522" i="1"/>
  <c r="P522" i="1" s="1"/>
  <c r="K640" i="7"/>
  <c r="L646" i="8"/>
  <c r="CS517" i="1"/>
  <c r="R517" i="1" s="1"/>
  <c r="GK517" i="1" s="1"/>
  <c r="CR517" i="1"/>
  <c r="Q517" i="1" s="1"/>
  <c r="CP517" i="1" s="1"/>
  <c r="O517" i="1" s="1"/>
  <c r="GM517" i="1" s="1"/>
  <c r="GP517" i="1" s="1"/>
  <c r="W443" i="1"/>
  <c r="U419" i="1"/>
  <c r="CT418" i="1"/>
  <c r="S418" i="1" s="1"/>
  <c r="S551" i="7"/>
  <c r="Q551" i="7"/>
  <c r="Q557" i="8"/>
  <c r="S557" i="8"/>
  <c r="U403" i="1"/>
  <c r="J382" i="7"/>
  <c r="K388" i="8"/>
  <c r="P343" i="1"/>
  <c r="AD336" i="1"/>
  <c r="U320" i="7"/>
  <c r="U326" i="8"/>
  <c r="CR336" i="1"/>
  <c r="Q336" i="1" s="1"/>
  <c r="CS336" i="1"/>
  <c r="J254" i="7"/>
  <c r="K260" i="8"/>
  <c r="U626" i="1"/>
  <c r="T623" i="1"/>
  <c r="AB555" i="1"/>
  <c r="AB548" i="1"/>
  <c r="S688" i="7"/>
  <c r="S694" i="8"/>
  <c r="Q694" i="8"/>
  <c r="Q688" i="7"/>
  <c r="AD533" i="1"/>
  <c r="AB533" i="1" s="1"/>
  <c r="AD516" i="1"/>
  <c r="V442" i="1"/>
  <c r="W441" i="1"/>
  <c r="W424" i="1"/>
  <c r="V420" i="1"/>
  <c r="T419" i="1"/>
  <c r="CT387" i="1"/>
  <c r="S387" i="1" s="1"/>
  <c r="Q388" i="7"/>
  <c r="S388" i="7"/>
  <c r="S394" i="8"/>
  <c r="Q394" i="8"/>
  <c r="L338" i="8"/>
  <c r="K332" i="7"/>
  <c r="Q236" i="7"/>
  <c r="S236" i="7"/>
  <c r="S242" i="8"/>
  <c r="Q242" i="8"/>
  <c r="E219" i="7"/>
  <c r="C220" i="7"/>
  <c r="D226" i="8"/>
  <c r="F225" i="8"/>
  <c r="Q171" i="7"/>
  <c r="S171" i="7"/>
  <c r="S177" i="8"/>
  <c r="Q177" i="8"/>
  <c r="C112" i="7"/>
  <c r="E111" i="7"/>
  <c r="D118" i="8"/>
  <c r="F117" i="8"/>
  <c r="GX153" i="1"/>
  <c r="V71" i="1"/>
  <c r="W624" i="1"/>
  <c r="S621" i="1"/>
  <c r="CY621" i="1" s="1"/>
  <c r="X621" i="1" s="1"/>
  <c r="W619" i="1"/>
  <c r="S561" i="1"/>
  <c r="CY561" i="1" s="1"/>
  <c r="X561" i="1" s="1"/>
  <c r="T556" i="1"/>
  <c r="GX544" i="1"/>
  <c r="K684" i="7"/>
  <c r="L690" i="8"/>
  <c r="W428" i="1"/>
  <c r="U425" i="1"/>
  <c r="W423" i="1"/>
  <c r="S562" i="7"/>
  <c r="S568" i="8"/>
  <c r="Q562" i="7"/>
  <c r="Q568" i="8"/>
  <c r="CT420" i="1"/>
  <c r="S420" i="1" s="1"/>
  <c r="CT405" i="1"/>
  <c r="S484" i="7"/>
  <c r="S490" i="8"/>
  <c r="Q490" i="8"/>
  <c r="Q484" i="7"/>
  <c r="P395" i="1"/>
  <c r="CP395" i="1" s="1"/>
  <c r="O395" i="1" s="1"/>
  <c r="C396" i="7"/>
  <c r="F401" i="8"/>
  <c r="E395" i="7"/>
  <c r="D402" i="8"/>
  <c r="T363" i="7"/>
  <c r="J368" i="7" s="1"/>
  <c r="T369" i="8"/>
  <c r="K374" i="8" s="1"/>
  <c r="K354" i="7"/>
  <c r="L360" i="8"/>
  <c r="C335" i="7"/>
  <c r="E334" i="7"/>
  <c r="F340" i="8"/>
  <c r="D341" i="8"/>
  <c r="E327" i="7"/>
  <c r="C328" i="7"/>
  <c r="D334" i="8"/>
  <c r="F333" i="8"/>
  <c r="U332" i="1"/>
  <c r="S253" i="7"/>
  <c r="S259" i="8"/>
  <c r="Q253" i="7"/>
  <c r="Q259" i="8"/>
  <c r="GX111" i="1"/>
  <c r="CJ115" i="1" s="1"/>
  <c r="C88" i="7"/>
  <c r="E87" i="7"/>
  <c r="D94" i="8"/>
  <c r="F93" i="8"/>
  <c r="CK69" i="1"/>
  <c r="BB77" i="1"/>
  <c r="F90" i="1" s="1"/>
  <c r="S74" i="1"/>
  <c r="CZ74" i="1" s="1"/>
  <c r="Y74" i="1" s="1"/>
  <c r="CT73" i="1"/>
  <c r="S73" i="1" s="1"/>
  <c r="Q72" i="7"/>
  <c r="S72" i="7"/>
  <c r="Q78" i="8"/>
  <c r="S78" i="8"/>
  <c r="K499" i="7"/>
  <c r="L505" i="8"/>
  <c r="V392" i="1"/>
  <c r="CT340" i="1"/>
  <c r="S340" i="1" s="1"/>
  <c r="S348" i="7"/>
  <c r="Q348" i="7"/>
  <c r="S354" i="8"/>
  <c r="Q354" i="8"/>
  <c r="CR339" i="1"/>
  <c r="Q339" i="1" s="1"/>
  <c r="U341" i="7"/>
  <c r="U347" i="8"/>
  <c r="GX336" i="1"/>
  <c r="J271" i="7"/>
  <c r="K277" i="8"/>
  <c r="CQ249" i="1"/>
  <c r="P249" i="1" s="1"/>
  <c r="CP249" i="1" s="1"/>
  <c r="O249" i="1" s="1"/>
  <c r="GM249" i="1" s="1"/>
  <c r="GP249" i="1" s="1"/>
  <c r="AB249" i="1"/>
  <c r="CP246" i="1"/>
  <c r="O246" i="1" s="1"/>
  <c r="R240" i="1"/>
  <c r="GK240" i="1" s="1"/>
  <c r="V153" i="7"/>
  <c r="V159" i="8"/>
  <c r="AJ200" i="1"/>
  <c r="P195" i="1"/>
  <c r="CP195" i="1" s="1"/>
  <c r="O195" i="1" s="1"/>
  <c r="GM195" i="1" s="1"/>
  <c r="GP195" i="1" s="1"/>
  <c r="W154" i="1"/>
  <c r="W153" i="1"/>
  <c r="V626" i="1"/>
  <c r="S619" i="1"/>
  <c r="V557" i="1"/>
  <c r="U555" i="1"/>
  <c r="Q597" i="8"/>
  <c r="S591" i="7"/>
  <c r="S597" i="8"/>
  <c r="Q591" i="7"/>
  <c r="CT426" i="1"/>
  <c r="S426" i="1" s="1"/>
  <c r="Q582" i="7"/>
  <c r="S582" i="7"/>
  <c r="S588" i="8"/>
  <c r="Q588" i="8"/>
  <c r="V415" i="1"/>
  <c r="V407" i="1"/>
  <c r="Q491" i="7"/>
  <c r="Q497" i="8"/>
  <c r="S491" i="7"/>
  <c r="S497" i="8"/>
  <c r="CT406" i="1"/>
  <c r="S406" i="1" s="1"/>
  <c r="P405" i="1"/>
  <c r="E484" i="7"/>
  <c r="C485" i="7"/>
  <c r="F490" i="8"/>
  <c r="D491" i="8"/>
  <c r="T392" i="1"/>
  <c r="CT391" i="1"/>
  <c r="S391" i="1" s="1"/>
  <c r="Q416" i="7"/>
  <c r="S416" i="7"/>
  <c r="S422" i="8"/>
  <c r="Q422" i="8"/>
  <c r="U410" i="7"/>
  <c r="U416" i="8"/>
  <c r="J364" i="7"/>
  <c r="K370" i="8"/>
  <c r="J351" i="7"/>
  <c r="K357" i="8"/>
  <c r="S260" i="7"/>
  <c r="S266" i="8"/>
  <c r="Q266" i="8"/>
  <c r="Q260" i="7"/>
  <c r="U319" i="1"/>
  <c r="G232" i="1"/>
  <c r="A199" i="7"/>
  <c r="A205" i="8"/>
  <c r="V247" i="1"/>
  <c r="U189" i="7"/>
  <c r="U195" i="8"/>
  <c r="AD194" i="1"/>
  <c r="AB194" i="1" s="1"/>
  <c r="CR194" i="1"/>
  <c r="Q194" i="1" s="1"/>
  <c r="CS194" i="1"/>
  <c r="R194" i="1" s="1"/>
  <c r="GK194" i="1" s="1"/>
  <c r="V149" i="1"/>
  <c r="G69" i="1"/>
  <c r="A83" i="7"/>
  <c r="A89" i="8"/>
  <c r="E72" i="7"/>
  <c r="C73" i="7"/>
  <c r="D79" i="8"/>
  <c r="F78" i="8"/>
  <c r="CT32" i="1"/>
  <c r="S32" i="1" s="1"/>
  <c r="Q37" i="7"/>
  <c r="Q43" i="8"/>
  <c r="S37" i="7"/>
  <c r="S43" i="8"/>
  <c r="G732" i="1"/>
  <c r="A1296" i="8"/>
  <c r="A1290" i="7"/>
  <c r="U803" i="1"/>
  <c r="T778" i="1"/>
  <c r="U951" i="7"/>
  <c r="U957" i="8"/>
  <c r="U893" i="8"/>
  <c r="U887" i="7"/>
  <c r="AB749" i="1"/>
  <c r="CQ749" i="1"/>
  <c r="P749" i="1" s="1"/>
  <c r="T738" i="1"/>
  <c r="T735" i="1"/>
  <c r="CR602" i="1"/>
  <c r="Q602" i="1" s="1"/>
  <c r="U729" i="7"/>
  <c r="U735" i="8"/>
  <c r="S560" i="1"/>
  <c r="V549" i="1"/>
  <c r="CT548" i="1"/>
  <c r="S548" i="1" s="1"/>
  <c r="CR525" i="1"/>
  <c r="Q525" i="1" s="1"/>
  <c r="CP525" i="1" s="1"/>
  <c r="O525" i="1" s="1"/>
  <c r="GM525" i="1" s="1"/>
  <c r="GP525" i="1" s="1"/>
  <c r="CR516" i="1"/>
  <c r="Q516" i="1" s="1"/>
  <c r="CP516" i="1" s="1"/>
  <c r="O516" i="1" s="1"/>
  <c r="W434" i="1"/>
  <c r="U604" i="8"/>
  <c r="U598" i="7"/>
  <c r="GX424" i="1"/>
  <c r="U535" i="8"/>
  <c r="U529" i="7"/>
  <c r="U501" i="7"/>
  <c r="U507" i="8"/>
  <c r="GX395" i="1"/>
  <c r="CJ445" i="1" s="1"/>
  <c r="U342" i="1"/>
  <c r="C349" i="7"/>
  <c r="E348" i="7"/>
  <c r="D355" i="8"/>
  <c r="F354" i="8"/>
  <c r="GX338" i="1"/>
  <c r="U311" i="7"/>
  <c r="U317" i="8"/>
  <c r="CS328" i="1"/>
  <c r="R328" i="1" s="1"/>
  <c r="GK328" i="1" s="1"/>
  <c r="V320" i="1"/>
  <c r="P319" i="1"/>
  <c r="CS241" i="1"/>
  <c r="U161" i="7"/>
  <c r="U167" i="8"/>
  <c r="T239" i="1"/>
  <c r="CT238" i="1"/>
  <c r="Q135" i="7"/>
  <c r="S135" i="7"/>
  <c r="S141" i="8"/>
  <c r="Q141" i="8"/>
  <c r="T237" i="1"/>
  <c r="Q104" i="7"/>
  <c r="S104" i="7"/>
  <c r="Q110" i="8"/>
  <c r="S110" i="8"/>
  <c r="CT196" i="1"/>
  <c r="S196" i="1" s="1"/>
  <c r="GX155" i="1"/>
  <c r="CM892" i="1"/>
  <c r="BD897" i="1"/>
  <c r="J1204" i="7"/>
  <c r="K1210" i="8"/>
  <c r="GX838" i="1"/>
  <c r="CT833" i="1"/>
  <c r="S833" i="1" s="1"/>
  <c r="S1173" i="8"/>
  <c r="Q1173" i="8"/>
  <c r="S1167" i="7"/>
  <c r="Q1167" i="7"/>
  <c r="AB784" i="1"/>
  <c r="Q777" i="1"/>
  <c r="AB771" i="1"/>
  <c r="GX767" i="1"/>
  <c r="S738" i="1"/>
  <c r="CZ738" i="1" s="1"/>
  <c r="Y738" i="1" s="1"/>
  <c r="V736" i="1"/>
  <c r="S735" i="1"/>
  <c r="S739" i="7"/>
  <c r="Q745" i="8"/>
  <c r="S745" i="8"/>
  <c r="Q739" i="7"/>
  <c r="J733" i="7"/>
  <c r="K739" i="8"/>
  <c r="BD563" i="1"/>
  <c r="BD511" i="1" s="1"/>
  <c r="Q561" i="1"/>
  <c r="T554" i="1"/>
  <c r="V553" i="1"/>
  <c r="W544" i="1"/>
  <c r="AD530" i="1"/>
  <c r="AB530" i="1" s="1"/>
  <c r="CR530" i="1"/>
  <c r="Q530" i="1" s="1"/>
  <c r="CS530" i="1"/>
  <c r="R530" i="1" s="1"/>
  <c r="GK530" i="1" s="1"/>
  <c r="S642" i="7"/>
  <c r="S648" i="8"/>
  <c r="Q642" i="7"/>
  <c r="Q648" i="8"/>
  <c r="CT523" i="1"/>
  <c r="S523" i="1" s="1"/>
  <c r="CP523" i="1" s="1"/>
  <c r="O523" i="1" s="1"/>
  <c r="CT515" i="1"/>
  <c r="S515" i="1" s="1"/>
  <c r="CP515" i="1" s="1"/>
  <c r="O515" i="1" s="1"/>
  <c r="S622" i="7"/>
  <c r="Q628" i="8"/>
  <c r="S628" i="8"/>
  <c r="Q622" i="7"/>
  <c r="V434" i="1"/>
  <c r="T417" i="1"/>
  <c r="Q455" i="7"/>
  <c r="Q461" i="8"/>
  <c r="S461" i="8"/>
  <c r="S455" i="7"/>
  <c r="CT397" i="1"/>
  <c r="S397" i="1" s="1"/>
  <c r="K386" i="7"/>
  <c r="L392" i="8"/>
  <c r="U343" i="1"/>
  <c r="T342" i="1"/>
  <c r="BY349" i="1"/>
  <c r="W336" i="1"/>
  <c r="AJ349" i="1" s="1"/>
  <c r="CT322" i="1"/>
  <c r="S322" i="1" s="1"/>
  <c r="U320" i="1"/>
  <c r="GX249" i="1"/>
  <c r="U153" i="7"/>
  <c r="U159" i="8"/>
  <c r="Q146" i="7"/>
  <c r="S146" i="7"/>
  <c r="Q152" i="8"/>
  <c r="S152" i="8"/>
  <c r="U135" i="7"/>
  <c r="U141" i="8"/>
  <c r="Q124" i="7"/>
  <c r="S124" i="7"/>
  <c r="Q130" i="8"/>
  <c r="S130" i="8"/>
  <c r="T197" i="1"/>
  <c r="AG200" i="1" s="1"/>
  <c r="U104" i="7"/>
  <c r="U110" i="8"/>
  <c r="AD196" i="1"/>
  <c r="W152" i="1"/>
  <c r="K51" i="7"/>
  <c r="L57" i="8"/>
  <c r="S442" i="1"/>
  <c r="U562" i="7"/>
  <c r="U568" i="8"/>
  <c r="CS395" i="1"/>
  <c r="U443" i="7"/>
  <c r="U449" i="8"/>
  <c r="R389" i="1"/>
  <c r="GK389" i="1" s="1"/>
  <c r="V403" i="7"/>
  <c r="V409" i="8"/>
  <c r="T340" i="1"/>
  <c r="CT338" i="1"/>
  <c r="S338" i="1" s="1"/>
  <c r="CZ338" i="1" s="1"/>
  <c r="Y338" i="1" s="1"/>
  <c r="Q334" i="7"/>
  <c r="S334" i="7"/>
  <c r="Q340" i="8"/>
  <c r="S340" i="8"/>
  <c r="U336" i="1"/>
  <c r="J280" i="7"/>
  <c r="K286" i="8"/>
  <c r="G147" i="1"/>
  <c r="A100" i="7"/>
  <c r="A106" i="8"/>
  <c r="V74" i="1"/>
  <c r="CT332" i="1"/>
  <c r="S332" i="1" s="1"/>
  <c r="S292" i="7"/>
  <c r="S298" i="8"/>
  <c r="Q292" i="7"/>
  <c r="Q298" i="8"/>
  <c r="W234" i="1"/>
  <c r="R195" i="1"/>
  <c r="GK195" i="1" s="1"/>
  <c r="GX154" i="1"/>
  <c r="U74" i="1"/>
  <c r="P72" i="1"/>
  <c r="CP72" i="1" s="1"/>
  <c r="O72" i="1" s="1"/>
  <c r="AH37" i="1"/>
  <c r="L48" i="8"/>
  <c r="K42" i="7"/>
  <c r="A613" i="7"/>
  <c r="A619" i="8"/>
  <c r="AF613" i="7"/>
  <c r="AF619" i="8"/>
  <c r="P440" i="1"/>
  <c r="CP440" i="1" s="1"/>
  <c r="O440" i="1" s="1"/>
  <c r="E582" i="7"/>
  <c r="C583" i="7"/>
  <c r="D589" i="8"/>
  <c r="F588" i="8"/>
  <c r="L519" i="8"/>
  <c r="K513" i="7"/>
  <c r="CT407" i="1"/>
  <c r="S407" i="1" s="1"/>
  <c r="S501" i="7"/>
  <c r="Q501" i="7"/>
  <c r="S507" i="8"/>
  <c r="Q507" i="8"/>
  <c r="AD405" i="1"/>
  <c r="AB405" i="1" s="1"/>
  <c r="U484" i="7"/>
  <c r="U490" i="8"/>
  <c r="K466" i="7"/>
  <c r="L472" i="8"/>
  <c r="Q448" i="7"/>
  <c r="S448" i="7"/>
  <c r="S454" i="8"/>
  <c r="Q454" i="8"/>
  <c r="U348" i="7"/>
  <c r="U354" i="8"/>
  <c r="CT337" i="1"/>
  <c r="S337" i="1" s="1"/>
  <c r="Q327" i="7"/>
  <c r="S327" i="7"/>
  <c r="Q333" i="8"/>
  <c r="S333" i="8"/>
  <c r="S320" i="7"/>
  <c r="Q320" i="7"/>
  <c r="S326" i="8"/>
  <c r="Q326" i="8"/>
  <c r="AD332" i="1"/>
  <c r="AB332" i="1" s="1"/>
  <c r="U292" i="7"/>
  <c r="U298" i="8"/>
  <c r="Q285" i="7"/>
  <c r="S285" i="7"/>
  <c r="Q291" i="8"/>
  <c r="S291" i="8"/>
  <c r="E277" i="7"/>
  <c r="C278" i="7"/>
  <c r="F283" i="8"/>
  <c r="D284" i="8"/>
  <c r="AD247" i="1"/>
  <c r="AB247" i="1" s="1"/>
  <c r="CZ240" i="1"/>
  <c r="Y240" i="1" s="1"/>
  <c r="J155" i="7"/>
  <c r="K161" i="8"/>
  <c r="V234" i="1"/>
  <c r="Q195" i="1"/>
  <c r="T74" i="1"/>
  <c r="W72" i="1"/>
  <c r="AG37" i="1"/>
  <c r="AD523" i="1"/>
  <c r="U642" i="7"/>
  <c r="U648" i="8"/>
  <c r="S436" i="1"/>
  <c r="CY436" i="1" s="1"/>
  <c r="X436" i="1" s="1"/>
  <c r="S434" i="1"/>
  <c r="CY434" i="1" s="1"/>
  <c r="X434" i="1" s="1"/>
  <c r="T432" i="1"/>
  <c r="T424" i="1"/>
  <c r="U415" i="1"/>
  <c r="U523" i="7"/>
  <c r="U529" i="8"/>
  <c r="C492" i="7"/>
  <c r="E491" i="7"/>
  <c r="F497" i="8"/>
  <c r="D498" i="8"/>
  <c r="V402" i="1"/>
  <c r="R393" i="1"/>
  <c r="V430" i="7"/>
  <c r="J436" i="7" s="1"/>
  <c r="V436" i="8"/>
  <c r="K442" i="8" s="1"/>
  <c r="CT392" i="1"/>
  <c r="S392" i="1" s="1"/>
  <c r="S423" i="7"/>
  <c r="Q423" i="7"/>
  <c r="S429" i="8"/>
  <c r="Q429" i="8"/>
  <c r="AD389" i="1"/>
  <c r="U403" i="7"/>
  <c r="U409" i="8"/>
  <c r="S363" i="7"/>
  <c r="Q363" i="7"/>
  <c r="Q369" i="8"/>
  <c r="S369" i="8"/>
  <c r="P345" i="1"/>
  <c r="C342" i="7"/>
  <c r="E341" i="7"/>
  <c r="F347" i="8"/>
  <c r="D348" i="8"/>
  <c r="E285" i="7"/>
  <c r="C286" i="7"/>
  <c r="D292" i="8"/>
  <c r="F291" i="8"/>
  <c r="S228" i="7"/>
  <c r="Q228" i="7"/>
  <c r="Q234" i="8"/>
  <c r="S234" i="8"/>
  <c r="CT320" i="1"/>
  <c r="S320" i="1" s="1"/>
  <c r="Q225" i="8"/>
  <c r="Q219" i="7"/>
  <c r="S225" i="8"/>
  <c r="S219" i="7"/>
  <c r="Q153" i="7"/>
  <c r="S159" i="8"/>
  <c r="Q159" i="8"/>
  <c r="S153" i="7"/>
  <c r="P237" i="1"/>
  <c r="BD200" i="1"/>
  <c r="T151" i="1"/>
  <c r="A95" i="7"/>
  <c r="A101" i="8"/>
  <c r="CT111" i="1"/>
  <c r="Q87" i="7"/>
  <c r="Q93" i="8"/>
  <c r="S93" i="8"/>
  <c r="S87" i="7"/>
  <c r="G109" i="1"/>
  <c r="U44" i="7"/>
  <c r="U50" i="8"/>
  <c r="AB33" i="1"/>
  <c r="GX847" i="1"/>
  <c r="GX832" i="1"/>
  <c r="CT812" i="1"/>
  <c r="S812" i="1" s="1"/>
  <c r="CY812" i="1" s="1"/>
  <c r="X812" i="1" s="1"/>
  <c r="Q1089" i="7"/>
  <c r="S1089" i="7"/>
  <c r="Q1095" i="8"/>
  <c r="S1095" i="8"/>
  <c r="W804" i="1"/>
  <c r="T803" i="1"/>
  <c r="AB789" i="1"/>
  <c r="U774" i="1"/>
  <c r="CT745" i="1"/>
  <c r="S745" i="1" s="1"/>
  <c r="Q864" i="8"/>
  <c r="Q858" i="7"/>
  <c r="S864" i="8"/>
  <c r="S858" i="7"/>
  <c r="W626" i="1"/>
  <c r="AB619" i="1"/>
  <c r="AB617" i="1"/>
  <c r="S759" i="7"/>
  <c r="Q759" i="7"/>
  <c r="S765" i="8"/>
  <c r="Q765" i="8"/>
  <c r="P560" i="1"/>
  <c r="U558" i="1"/>
  <c r="S557" i="1"/>
  <c r="CY557" i="1" s="1"/>
  <c r="X557" i="1" s="1"/>
  <c r="V443" i="1"/>
  <c r="W442" i="1"/>
  <c r="AB431" i="1"/>
  <c r="U582" i="7"/>
  <c r="U588" i="8"/>
  <c r="U575" i="7"/>
  <c r="U581" i="8"/>
  <c r="U423" i="1"/>
  <c r="CT419" i="1"/>
  <c r="S419" i="1" s="1"/>
  <c r="S558" i="7"/>
  <c r="Q558" i="7"/>
  <c r="Q564" i="8"/>
  <c r="S564" i="8"/>
  <c r="U551" i="7"/>
  <c r="U557" i="8"/>
  <c r="K541" i="7"/>
  <c r="L547" i="8"/>
  <c r="T403" i="1"/>
  <c r="V401" i="1"/>
  <c r="CT396" i="1"/>
  <c r="S396" i="1" s="1"/>
  <c r="CR393" i="1"/>
  <c r="Q393" i="1" s="1"/>
  <c r="U430" i="7"/>
  <c r="U436" i="8"/>
  <c r="CS341" i="1"/>
  <c r="R341" i="1" s="1"/>
  <c r="GK341" i="1" s="1"/>
  <c r="W338" i="1"/>
  <c r="CT336" i="1"/>
  <c r="S336" i="1" s="1"/>
  <c r="K318" i="7"/>
  <c r="L324" i="8"/>
  <c r="CS332" i="1"/>
  <c r="CR326" i="1"/>
  <c r="Q326" i="1" s="1"/>
  <c r="U267" i="7"/>
  <c r="U273" i="8"/>
  <c r="CS247" i="1"/>
  <c r="R247" i="1" s="1"/>
  <c r="GK247" i="1" s="1"/>
  <c r="C154" i="7"/>
  <c r="E153" i="7"/>
  <c r="F159" i="8"/>
  <c r="D160" i="8"/>
  <c r="F93" i="1"/>
  <c r="CB37" i="1"/>
  <c r="C1326" i="7"/>
  <c r="E1325" i="7"/>
  <c r="D1332" i="8"/>
  <c r="F1331" i="8"/>
  <c r="C1282" i="7"/>
  <c r="D1288" i="8"/>
  <c r="F1287" i="8"/>
  <c r="E1281" i="7"/>
  <c r="GX965" i="1"/>
  <c r="GX858" i="1"/>
  <c r="D1248" i="8"/>
  <c r="F1247" i="8"/>
  <c r="E1241" i="7"/>
  <c r="C1242" i="7"/>
  <c r="L1206" i="8"/>
  <c r="K1200" i="7"/>
  <c r="AB838" i="1"/>
  <c r="U1095" i="8"/>
  <c r="U1089" i="7"/>
  <c r="V804" i="1"/>
  <c r="S803" i="1"/>
  <c r="CY803" i="1" s="1"/>
  <c r="X803" i="1" s="1"/>
  <c r="CT797" i="1"/>
  <c r="S797" i="1" s="1"/>
  <c r="S1041" i="7"/>
  <c r="S1047" i="8"/>
  <c r="Q1047" i="8"/>
  <c r="Q1041" i="7"/>
  <c r="S1029" i="7"/>
  <c r="Q1035" i="8"/>
  <c r="Q1029" i="7"/>
  <c r="S1035" i="8"/>
  <c r="C1016" i="7"/>
  <c r="E1015" i="7"/>
  <c r="F1021" i="8"/>
  <c r="D1022" i="8"/>
  <c r="CT777" i="1"/>
  <c r="S971" i="7"/>
  <c r="Q977" i="8"/>
  <c r="Q971" i="7"/>
  <c r="S977" i="8"/>
  <c r="AD775" i="1"/>
  <c r="AB775" i="1" s="1"/>
  <c r="U748" i="1"/>
  <c r="S865" i="7"/>
  <c r="S871" i="8"/>
  <c r="Q871" i="8"/>
  <c r="Q865" i="7"/>
  <c r="U864" i="8"/>
  <c r="U858" i="7"/>
  <c r="C837" i="7"/>
  <c r="F842" i="8"/>
  <c r="D843" i="8"/>
  <c r="E836" i="7"/>
  <c r="S828" i="7"/>
  <c r="Q828" i="7"/>
  <c r="S834" i="8"/>
  <c r="Q834" i="8"/>
  <c r="CT664" i="1"/>
  <c r="S805" i="7"/>
  <c r="S811" i="8"/>
  <c r="Q811" i="8"/>
  <c r="Q805" i="7"/>
  <c r="V624" i="1"/>
  <c r="CT613" i="1"/>
  <c r="S613" i="1" s="1"/>
  <c r="CZ613" i="1" s="1"/>
  <c r="Y613" i="1" s="1"/>
  <c r="Q786" i="7"/>
  <c r="S786" i="7"/>
  <c r="S792" i="8"/>
  <c r="Q792" i="8"/>
  <c r="U759" i="7"/>
  <c r="U765" i="8"/>
  <c r="E750" i="7"/>
  <c r="F756" i="8"/>
  <c r="T558" i="1"/>
  <c r="AD527" i="1"/>
  <c r="AB527" i="1" s="1"/>
  <c r="C599" i="7"/>
  <c r="D605" i="8"/>
  <c r="F604" i="8"/>
  <c r="E598" i="7"/>
  <c r="AD426" i="1"/>
  <c r="S567" i="7"/>
  <c r="S573" i="8"/>
  <c r="Q573" i="8"/>
  <c r="Q567" i="7"/>
  <c r="W420" i="1"/>
  <c r="CS419" i="1"/>
  <c r="U558" i="7"/>
  <c r="U564" i="8"/>
  <c r="CT417" i="1"/>
  <c r="S417" i="1" s="1"/>
  <c r="S543" i="7"/>
  <c r="Q543" i="7"/>
  <c r="S549" i="8"/>
  <c r="Q549" i="8"/>
  <c r="CR405" i="1"/>
  <c r="Q405" i="1" s="1"/>
  <c r="CP405" i="1" s="1"/>
  <c r="O405" i="1" s="1"/>
  <c r="CT403" i="1"/>
  <c r="S403" i="1" s="1"/>
  <c r="CY403" i="1" s="1"/>
  <c r="X403" i="1" s="1"/>
  <c r="Q475" i="7"/>
  <c r="S475" i="7"/>
  <c r="S481" i="8"/>
  <c r="Q481" i="8"/>
  <c r="Q303" i="7"/>
  <c r="S303" i="7"/>
  <c r="S309" i="8"/>
  <c r="Q309" i="8"/>
  <c r="CR332" i="1"/>
  <c r="CC251" i="1"/>
  <c r="E135" i="7"/>
  <c r="C136" i="7"/>
  <c r="D142" i="8"/>
  <c r="F141" i="8"/>
  <c r="GX197" i="1"/>
  <c r="CJ200" i="1" s="1"/>
  <c r="P149" i="1"/>
  <c r="CB77" i="1"/>
  <c r="GX849" i="1"/>
  <c r="K1207" i="7"/>
  <c r="L1213" i="8"/>
  <c r="CT826" i="1"/>
  <c r="S826" i="1" s="1"/>
  <c r="CY826" i="1" s="1"/>
  <c r="X826" i="1" s="1"/>
  <c r="Q1138" i="7"/>
  <c r="S1138" i="7"/>
  <c r="S1144" i="8"/>
  <c r="Q1144" i="8"/>
  <c r="CT824" i="1"/>
  <c r="S824" i="1" s="1"/>
  <c r="S1137" i="8"/>
  <c r="S1131" i="7"/>
  <c r="Q1131" i="7"/>
  <c r="Q1137" i="8"/>
  <c r="AD812" i="1"/>
  <c r="AB812" i="1" s="1"/>
  <c r="U804" i="1"/>
  <c r="U1041" i="7"/>
  <c r="U1047" i="8"/>
  <c r="U1035" i="8"/>
  <c r="U1029" i="7"/>
  <c r="CS777" i="1"/>
  <c r="U977" i="8"/>
  <c r="U971" i="7"/>
  <c r="P775" i="1"/>
  <c r="AD764" i="1"/>
  <c r="AB764" i="1" s="1"/>
  <c r="U761" i="1"/>
  <c r="W749" i="1"/>
  <c r="T748" i="1"/>
  <c r="AD746" i="1"/>
  <c r="AB746" i="1" s="1"/>
  <c r="U865" i="7"/>
  <c r="U871" i="8"/>
  <c r="AD745" i="1"/>
  <c r="CS735" i="1"/>
  <c r="U828" i="7"/>
  <c r="U834" i="8"/>
  <c r="U805" i="7"/>
  <c r="U811" i="8"/>
  <c r="AB622" i="1"/>
  <c r="S620" i="1"/>
  <c r="Q615" i="1"/>
  <c r="CS613" i="1"/>
  <c r="U786" i="7"/>
  <c r="U792" i="8"/>
  <c r="GX610" i="1"/>
  <c r="AD604" i="1"/>
  <c r="AB604" i="1" s="1"/>
  <c r="S558" i="1"/>
  <c r="CY558" i="1" s="1"/>
  <c r="X558" i="1" s="1"/>
  <c r="T443" i="1"/>
  <c r="AB426" i="1"/>
  <c r="AD424" i="1"/>
  <c r="AB424" i="1" s="1"/>
  <c r="U567" i="7"/>
  <c r="U573" i="8"/>
  <c r="U543" i="7"/>
  <c r="U549" i="8"/>
  <c r="Q536" i="7"/>
  <c r="Q542" i="8"/>
  <c r="S536" i="7"/>
  <c r="S542" i="8"/>
  <c r="U475" i="7"/>
  <c r="U481" i="8"/>
  <c r="I395" i="1"/>
  <c r="E439" i="7"/>
  <c r="D446" i="8"/>
  <c r="C440" i="7"/>
  <c r="F445" i="8"/>
  <c r="CT335" i="1"/>
  <c r="S335" i="1" s="1"/>
  <c r="S311" i="7"/>
  <c r="S317" i="8"/>
  <c r="Q311" i="7"/>
  <c r="Q317" i="8"/>
  <c r="AD334" i="1"/>
  <c r="AB334" i="1" s="1"/>
  <c r="U303" i="7"/>
  <c r="U309" i="8"/>
  <c r="C229" i="7"/>
  <c r="D235" i="8"/>
  <c r="E228" i="7"/>
  <c r="F234" i="8"/>
  <c r="S189" i="7"/>
  <c r="S195" i="8"/>
  <c r="Q195" i="8"/>
  <c r="Q189" i="7"/>
  <c r="GX192" i="1"/>
  <c r="BY37" i="1"/>
  <c r="T892" i="1"/>
  <c r="F918" i="1"/>
  <c r="GX971" i="1"/>
  <c r="AW897" i="1"/>
  <c r="CY844" i="1"/>
  <c r="X844" i="1" s="1"/>
  <c r="CZ844" i="1"/>
  <c r="Y844" i="1" s="1"/>
  <c r="CZ842" i="1"/>
  <c r="Y842" i="1" s="1"/>
  <c r="CY842" i="1"/>
  <c r="X842" i="1" s="1"/>
  <c r="CC732" i="1"/>
  <c r="AT860" i="1"/>
  <c r="CP962" i="1"/>
  <c r="O962" i="1" s="1"/>
  <c r="CI892" i="1"/>
  <c r="AZ897" i="1"/>
  <c r="CQ828" i="1"/>
  <c r="P828" i="1" s="1"/>
  <c r="AB828" i="1"/>
  <c r="AP959" i="1"/>
  <c r="F984" i="1"/>
  <c r="CQ855" i="1"/>
  <c r="P855" i="1" s="1"/>
  <c r="CZ837" i="1"/>
  <c r="Y837" i="1" s="1"/>
  <c r="CY837" i="1"/>
  <c r="X837" i="1" s="1"/>
  <c r="CZ818" i="1"/>
  <c r="Y818" i="1" s="1"/>
  <c r="CY818" i="1"/>
  <c r="X818" i="1" s="1"/>
  <c r="CZ964" i="1"/>
  <c r="Y964" i="1" s="1"/>
  <c r="CY964" i="1"/>
  <c r="X964" i="1" s="1"/>
  <c r="CY789" i="1"/>
  <c r="X789" i="1" s="1"/>
  <c r="CZ789" i="1"/>
  <c r="Y789" i="1" s="1"/>
  <c r="CQ840" i="1"/>
  <c r="P840" i="1" s="1"/>
  <c r="AB840" i="1"/>
  <c r="GM808" i="1"/>
  <c r="GP808" i="1" s="1"/>
  <c r="BY732" i="1"/>
  <c r="CI860" i="1"/>
  <c r="W971" i="1"/>
  <c r="AJ975" i="1" s="1"/>
  <c r="CY968" i="1"/>
  <c r="X968" i="1" s="1"/>
  <c r="CZ968" i="1"/>
  <c r="Y968" i="1" s="1"/>
  <c r="CQ812" i="1"/>
  <c r="P812" i="1" s="1"/>
  <c r="BZ860" i="1"/>
  <c r="CP961" i="1"/>
  <c r="O961" i="1" s="1"/>
  <c r="GM804" i="1"/>
  <c r="GP804" i="1" s="1"/>
  <c r="CY849" i="1"/>
  <c r="X849" i="1" s="1"/>
  <c r="CZ849" i="1"/>
  <c r="Y849" i="1" s="1"/>
  <c r="CY841" i="1"/>
  <c r="X841" i="1" s="1"/>
  <c r="CZ841" i="1"/>
  <c r="Y841" i="1" s="1"/>
  <c r="CP789" i="1"/>
  <c r="O789" i="1" s="1"/>
  <c r="GM789" i="1" s="1"/>
  <c r="GP789" i="1" s="1"/>
  <c r="CR823" i="1"/>
  <c r="Q823" i="1" s="1"/>
  <c r="CP823" i="1" s="1"/>
  <c r="O823" i="1" s="1"/>
  <c r="GM823" i="1" s="1"/>
  <c r="GP823" i="1" s="1"/>
  <c r="CS823" i="1"/>
  <c r="R823" i="1" s="1"/>
  <c r="GK823" i="1" s="1"/>
  <c r="AD823" i="1"/>
  <c r="AB823" i="1" s="1"/>
  <c r="CY895" i="1"/>
  <c r="X895" i="1" s="1"/>
  <c r="CZ895" i="1"/>
  <c r="Y895" i="1" s="1"/>
  <c r="CZ973" i="1"/>
  <c r="Y973" i="1" s="1"/>
  <c r="CY973" i="1"/>
  <c r="X973" i="1" s="1"/>
  <c r="U971" i="1"/>
  <c r="CZ850" i="1"/>
  <c r="Y850" i="1" s="1"/>
  <c r="CY850" i="1"/>
  <c r="X850" i="1" s="1"/>
  <c r="T971" i="1"/>
  <c r="AG975" i="1" s="1"/>
  <c r="CY962" i="1"/>
  <c r="X962" i="1" s="1"/>
  <c r="CZ962" i="1"/>
  <c r="Y962" i="1" s="1"/>
  <c r="AP732" i="1"/>
  <c r="F869" i="1"/>
  <c r="AP927" i="1"/>
  <c r="CZ969" i="1"/>
  <c r="Y969" i="1" s="1"/>
  <c r="CY969" i="1"/>
  <c r="X969" i="1" s="1"/>
  <c r="CP850" i="1"/>
  <c r="O850" i="1" s="1"/>
  <c r="CP841" i="1"/>
  <c r="O841" i="1" s="1"/>
  <c r="F906" i="1"/>
  <c r="AP892" i="1"/>
  <c r="CQ967" i="1"/>
  <c r="P967" i="1" s="1"/>
  <c r="CP967" i="1" s="1"/>
  <c r="O967" i="1" s="1"/>
  <c r="AB967" i="1"/>
  <c r="S971" i="1"/>
  <c r="AB968" i="1"/>
  <c r="CQ968" i="1"/>
  <c r="P968" i="1" s="1"/>
  <c r="CP968" i="1" s="1"/>
  <c r="O968" i="1" s="1"/>
  <c r="CZ854" i="1"/>
  <c r="Y854" i="1" s="1"/>
  <c r="CY854" i="1"/>
  <c r="X854" i="1" s="1"/>
  <c r="CP844" i="1"/>
  <c r="O844" i="1" s="1"/>
  <c r="CZ834" i="1"/>
  <c r="Y834" i="1" s="1"/>
  <c r="F919" i="1"/>
  <c r="AY897" i="1"/>
  <c r="CR894" i="1"/>
  <c r="Q894" i="1" s="1"/>
  <c r="CP894" i="1" s="1"/>
  <c r="O894" i="1" s="1"/>
  <c r="CS894" i="1"/>
  <c r="R894" i="1" s="1"/>
  <c r="GK894" i="1" s="1"/>
  <c r="CR844" i="1"/>
  <c r="Q844" i="1" s="1"/>
  <c r="AD844" i="1"/>
  <c r="AB844" i="1" s="1"/>
  <c r="AB797" i="1"/>
  <c r="CQ797" i="1"/>
  <c r="P797" i="1" s="1"/>
  <c r="CQ793" i="1"/>
  <c r="P793" i="1" s="1"/>
  <c r="AB793" i="1"/>
  <c r="AD783" i="1"/>
  <c r="AB783" i="1" s="1"/>
  <c r="CR783" i="1"/>
  <c r="Q783" i="1" s="1"/>
  <c r="CP783" i="1" s="1"/>
  <c r="O783" i="1" s="1"/>
  <c r="CS783" i="1"/>
  <c r="U766" i="1"/>
  <c r="V766" i="1"/>
  <c r="S747" i="1"/>
  <c r="CR895" i="1"/>
  <c r="Q895" i="1" s="1"/>
  <c r="CS895" i="1"/>
  <c r="R895" i="1" s="1"/>
  <c r="GK895" i="1" s="1"/>
  <c r="AD895" i="1"/>
  <c r="AB895" i="1" s="1"/>
  <c r="CR855" i="1"/>
  <c r="Q855" i="1" s="1"/>
  <c r="CS855" i="1"/>
  <c r="R855" i="1" s="1"/>
  <c r="GK855" i="1" s="1"/>
  <c r="CR840" i="1"/>
  <c r="Q840" i="1" s="1"/>
  <c r="CS840" i="1"/>
  <c r="CR806" i="1"/>
  <c r="Q806" i="1" s="1"/>
  <c r="CS806" i="1"/>
  <c r="AD806" i="1"/>
  <c r="AB806" i="1" s="1"/>
  <c r="CY787" i="1"/>
  <c r="X787" i="1" s="1"/>
  <c r="CZ787" i="1"/>
  <c r="Y787" i="1" s="1"/>
  <c r="CZ769" i="1"/>
  <c r="Y769" i="1" s="1"/>
  <c r="CY769" i="1"/>
  <c r="X769" i="1" s="1"/>
  <c r="CP758" i="1"/>
  <c r="O758" i="1" s="1"/>
  <c r="CR973" i="1"/>
  <c r="Q973" i="1" s="1"/>
  <c r="CS973" i="1"/>
  <c r="AD855" i="1"/>
  <c r="AB855" i="1" s="1"/>
  <c r="V851" i="1"/>
  <c r="W848" i="1"/>
  <c r="V843" i="1"/>
  <c r="AD840" i="1"/>
  <c r="CZ825" i="1"/>
  <c r="Y825" i="1" s="1"/>
  <c r="CY825" i="1"/>
  <c r="X825" i="1" s="1"/>
  <c r="CQ806" i="1"/>
  <c r="P806" i="1" s="1"/>
  <c r="CP805" i="1"/>
  <c r="O805" i="1" s="1"/>
  <c r="CZ803" i="1"/>
  <c r="Y803" i="1" s="1"/>
  <c r="CY794" i="1"/>
  <c r="X794" i="1" s="1"/>
  <c r="CZ794" i="1"/>
  <c r="Y794" i="1" s="1"/>
  <c r="CQ747" i="1"/>
  <c r="P747" i="1" s="1"/>
  <c r="CZ740" i="1"/>
  <c r="Y740" i="1" s="1"/>
  <c r="CY740" i="1"/>
  <c r="X740" i="1" s="1"/>
  <c r="F901" i="1"/>
  <c r="AO892" i="1"/>
  <c r="T851" i="1"/>
  <c r="CR799" i="1"/>
  <c r="Q799" i="1" s="1"/>
  <c r="CS799" i="1"/>
  <c r="R799" i="1" s="1"/>
  <c r="GK799" i="1" s="1"/>
  <c r="AD799" i="1"/>
  <c r="AB799" i="1" s="1"/>
  <c r="CP784" i="1"/>
  <c r="O784" i="1" s="1"/>
  <c r="CY526" i="1"/>
  <c r="X526" i="1" s="1"/>
  <c r="CZ526" i="1"/>
  <c r="Y526" i="1" s="1"/>
  <c r="S892" i="1"/>
  <c r="CY819" i="1"/>
  <c r="X819" i="1" s="1"/>
  <c r="CZ759" i="1"/>
  <c r="Y759" i="1" s="1"/>
  <c r="CY759" i="1"/>
  <c r="X759" i="1" s="1"/>
  <c r="AB966" i="1"/>
  <c r="R897" i="1"/>
  <c r="CG860" i="1"/>
  <c r="CR856" i="1"/>
  <c r="Q856" i="1" s="1"/>
  <c r="CS856" i="1"/>
  <c r="S851" i="1"/>
  <c r="V848" i="1"/>
  <c r="CR847" i="1"/>
  <c r="Q847" i="1" s="1"/>
  <c r="CP847" i="1" s="1"/>
  <c r="O847" i="1" s="1"/>
  <c r="CS847" i="1"/>
  <c r="CR837" i="1"/>
  <c r="Q837" i="1" s="1"/>
  <c r="CS837" i="1"/>
  <c r="AD837" i="1"/>
  <c r="AB833" i="1"/>
  <c r="CR831" i="1"/>
  <c r="Q831" i="1" s="1"/>
  <c r="CS831" i="1"/>
  <c r="R831" i="1" s="1"/>
  <c r="GK831" i="1" s="1"/>
  <c r="CY827" i="1"/>
  <c r="X827" i="1" s="1"/>
  <c r="CZ827" i="1"/>
  <c r="Y827" i="1" s="1"/>
  <c r="CQ785" i="1"/>
  <c r="P785" i="1" s="1"/>
  <c r="AB785" i="1"/>
  <c r="CQ744" i="1"/>
  <c r="P744" i="1" s="1"/>
  <c r="U848" i="1"/>
  <c r="CS827" i="1"/>
  <c r="R827" i="1" s="1"/>
  <c r="GK827" i="1" s="1"/>
  <c r="CR827" i="1"/>
  <c r="Q827" i="1" s="1"/>
  <c r="CP827" i="1" s="1"/>
  <c r="O827" i="1" s="1"/>
  <c r="AD827" i="1"/>
  <c r="AB827" i="1" s="1"/>
  <c r="AJ892" i="1"/>
  <c r="W897" i="1"/>
  <c r="P892" i="1"/>
  <c r="AB856" i="1"/>
  <c r="AB845" i="1"/>
  <c r="CQ831" i="1"/>
  <c r="P831" i="1" s="1"/>
  <c r="AB831" i="1"/>
  <c r="CP825" i="1"/>
  <c r="O825" i="1" s="1"/>
  <c r="GM825" i="1" s="1"/>
  <c r="GP825" i="1" s="1"/>
  <c r="AD822" i="1"/>
  <c r="AB822" i="1" s="1"/>
  <c r="CR822" i="1"/>
  <c r="Q822" i="1" s="1"/>
  <c r="CP822" i="1" s="1"/>
  <c r="O822" i="1" s="1"/>
  <c r="CS822" i="1"/>
  <c r="CY814" i="1"/>
  <c r="X814" i="1" s="1"/>
  <c r="CZ814" i="1"/>
  <c r="Y814" i="1" s="1"/>
  <c r="W806" i="1"/>
  <c r="CY748" i="1"/>
  <c r="X748" i="1" s="1"/>
  <c r="CZ748" i="1"/>
  <c r="Y748" i="1" s="1"/>
  <c r="CC975" i="1"/>
  <c r="BX892" i="1"/>
  <c r="W852" i="1"/>
  <c r="S848" i="1"/>
  <c r="AB847" i="1"/>
  <c r="CY845" i="1"/>
  <c r="X845" i="1" s="1"/>
  <c r="CR834" i="1"/>
  <c r="Q834" i="1" s="1"/>
  <c r="AD834" i="1"/>
  <c r="AB834" i="1" s="1"/>
  <c r="CQ795" i="1"/>
  <c r="P795" i="1" s="1"/>
  <c r="AB795" i="1"/>
  <c r="CY779" i="1"/>
  <c r="X779" i="1" s="1"/>
  <c r="CZ779" i="1"/>
  <c r="Y779" i="1" s="1"/>
  <c r="CY761" i="1"/>
  <c r="X761" i="1" s="1"/>
  <c r="CZ761" i="1"/>
  <c r="Y761" i="1" s="1"/>
  <c r="CR601" i="1"/>
  <c r="Q601" i="1" s="1"/>
  <c r="AD601" i="1"/>
  <c r="AB601" i="1" s="1"/>
  <c r="CS601" i="1"/>
  <c r="R601" i="1" s="1"/>
  <c r="GK601" i="1" s="1"/>
  <c r="CY545" i="1"/>
  <c r="X545" i="1" s="1"/>
  <c r="CZ545" i="1"/>
  <c r="Y545" i="1" s="1"/>
  <c r="BC975" i="1"/>
  <c r="U973" i="1"/>
  <c r="F907" i="1"/>
  <c r="AB858" i="1"/>
  <c r="CQ852" i="1"/>
  <c r="P852" i="1" s="1"/>
  <c r="GX851" i="1"/>
  <c r="CR848" i="1"/>
  <c r="Q848" i="1" s="1"/>
  <c r="CP848" i="1" s="1"/>
  <c r="O848" i="1" s="1"/>
  <c r="CS848" i="1"/>
  <c r="R848" i="1" s="1"/>
  <c r="GK848" i="1" s="1"/>
  <c r="CS844" i="1"/>
  <c r="R844" i="1" s="1"/>
  <c r="GK844" i="1" s="1"/>
  <c r="GX843" i="1"/>
  <c r="CR832" i="1"/>
  <c r="Q832" i="1" s="1"/>
  <c r="CS832" i="1"/>
  <c r="AD832" i="1"/>
  <c r="AB832" i="1" s="1"/>
  <c r="CP829" i="1"/>
  <c r="O829" i="1" s="1"/>
  <c r="CS826" i="1"/>
  <c r="AD826" i="1"/>
  <c r="AB826" i="1" s="1"/>
  <c r="CR826" i="1"/>
  <c r="Q826" i="1" s="1"/>
  <c r="CR824" i="1"/>
  <c r="Q824" i="1" s="1"/>
  <c r="AD824" i="1"/>
  <c r="AB824" i="1" s="1"/>
  <c r="V971" i="1"/>
  <c r="AI975" i="1" s="1"/>
  <c r="CR964" i="1"/>
  <c r="Q964" i="1" s="1"/>
  <c r="CP964" i="1" s="1"/>
  <c r="O964" i="1" s="1"/>
  <c r="CS964" i="1"/>
  <c r="CQ895" i="1"/>
  <c r="P895" i="1" s="1"/>
  <c r="CP895" i="1" s="1"/>
  <c r="O895" i="1" s="1"/>
  <c r="GM895" i="1" s="1"/>
  <c r="GP895" i="1" s="1"/>
  <c r="CY858" i="1"/>
  <c r="X858" i="1" s="1"/>
  <c r="CZ838" i="1"/>
  <c r="Y838" i="1" s="1"/>
  <c r="CY838" i="1"/>
  <c r="X838" i="1" s="1"/>
  <c r="CY807" i="1"/>
  <c r="X807" i="1" s="1"/>
  <c r="T806" i="1"/>
  <c r="S776" i="1"/>
  <c r="CZ763" i="1"/>
  <c r="Y763" i="1" s="1"/>
  <c r="CY763" i="1"/>
  <c r="X763" i="1" s="1"/>
  <c r="AK892" i="1"/>
  <c r="X897" i="1"/>
  <c r="CR841" i="1"/>
  <c r="Q841" i="1" s="1"/>
  <c r="AD841" i="1"/>
  <c r="AB841" i="1" s="1"/>
  <c r="AB837" i="1"/>
  <c r="CY822" i="1"/>
  <c r="X822" i="1" s="1"/>
  <c r="CZ822" i="1"/>
  <c r="Y822" i="1" s="1"/>
  <c r="CP799" i="1"/>
  <c r="O799" i="1" s="1"/>
  <c r="CQ738" i="1"/>
  <c r="P738" i="1" s="1"/>
  <c r="AB738" i="1"/>
  <c r="BA666" i="1"/>
  <c r="CJ662" i="1"/>
  <c r="CQ973" i="1"/>
  <c r="P973" i="1" s="1"/>
  <c r="AD964" i="1"/>
  <c r="AB964" i="1" s="1"/>
  <c r="BD892" i="1"/>
  <c r="F922" i="1"/>
  <c r="S855" i="1"/>
  <c r="V852" i="1"/>
  <c r="CR851" i="1"/>
  <c r="Q851" i="1" s="1"/>
  <c r="CS851" i="1"/>
  <c r="AB848" i="1"/>
  <c r="CR843" i="1"/>
  <c r="Q843" i="1" s="1"/>
  <c r="CS843" i="1"/>
  <c r="CZ829" i="1"/>
  <c r="Y829" i="1" s="1"/>
  <c r="CY821" i="1"/>
  <c r="X821" i="1" s="1"/>
  <c r="CZ821" i="1"/>
  <c r="Y821" i="1" s="1"/>
  <c r="CR809" i="1"/>
  <c r="Q809" i="1" s="1"/>
  <c r="CS809" i="1"/>
  <c r="R809" i="1" s="1"/>
  <c r="GK809" i="1" s="1"/>
  <c r="AD809" i="1"/>
  <c r="AB809" i="1" s="1"/>
  <c r="CR807" i="1"/>
  <c r="Q807" i="1" s="1"/>
  <c r="CP807" i="1" s="1"/>
  <c r="O807" i="1" s="1"/>
  <c r="AD807" i="1"/>
  <c r="AB807" i="1" s="1"/>
  <c r="CS807" i="1"/>
  <c r="S806" i="1"/>
  <c r="CP794" i="1"/>
  <c r="O794" i="1" s="1"/>
  <c r="CY792" i="1"/>
  <c r="X792" i="1" s="1"/>
  <c r="CZ792" i="1"/>
  <c r="Y792" i="1" s="1"/>
  <c r="CY782" i="1"/>
  <c r="X782" i="1" s="1"/>
  <c r="CZ782" i="1"/>
  <c r="Y782" i="1" s="1"/>
  <c r="GM782" i="1" s="1"/>
  <c r="GP782" i="1" s="1"/>
  <c r="T848" i="1"/>
  <c r="CY820" i="1"/>
  <c r="X820" i="1" s="1"/>
  <c r="CZ820" i="1"/>
  <c r="Y820" i="1" s="1"/>
  <c r="CQ809" i="1"/>
  <c r="P809" i="1" s="1"/>
  <c r="CY804" i="1"/>
  <c r="X804" i="1" s="1"/>
  <c r="CZ804" i="1"/>
  <c r="Y804" i="1" s="1"/>
  <c r="CY780" i="1"/>
  <c r="X780" i="1" s="1"/>
  <c r="CZ780" i="1"/>
  <c r="Y780" i="1" s="1"/>
  <c r="CR753" i="1"/>
  <c r="Q753" i="1" s="1"/>
  <c r="CP753" i="1" s="1"/>
  <c r="O753" i="1" s="1"/>
  <c r="AD753" i="1"/>
  <c r="AB753" i="1" s="1"/>
  <c r="CS753" i="1"/>
  <c r="R753" i="1" s="1"/>
  <c r="GK753" i="1" s="1"/>
  <c r="GM752" i="1"/>
  <c r="GP752" i="1" s="1"/>
  <c r="GX973" i="1"/>
  <c r="CJ975" i="1" s="1"/>
  <c r="CP963" i="1"/>
  <c r="O963" i="1" s="1"/>
  <c r="AB962" i="1"/>
  <c r="BZ975" i="1"/>
  <c r="V895" i="1"/>
  <c r="GX894" i="1"/>
  <c r="CY801" i="1"/>
  <c r="X801" i="1" s="1"/>
  <c r="CY790" i="1"/>
  <c r="X790" i="1" s="1"/>
  <c r="CZ790" i="1"/>
  <c r="Y790" i="1" s="1"/>
  <c r="V785" i="1"/>
  <c r="CS780" i="1"/>
  <c r="R780" i="1" s="1"/>
  <c r="GK780" i="1" s="1"/>
  <c r="CR780" i="1"/>
  <c r="Q780" i="1" s="1"/>
  <c r="AD780" i="1"/>
  <c r="V776" i="1"/>
  <c r="P750" i="1"/>
  <c r="CY607" i="1"/>
  <c r="X607" i="1" s="1"/>
  <c r="CZ607" i="1"/>
  <c r="Y607" i="1" s="1"/>
  <c r="AH563" i="1"/>
  <c r="CY522" i="1"/>
  <c r="X522" i="1" s="1"/>
  <c r="CZ522" i="1"/>
  <c r="Y522" i="1" s="1"/>
  <c r="CP817" i="1"/>
  <c r="O817" i="1" s="1"/>
  <c r="GM817" i="1" s="1"/>
  <c r="GP817" i="1" s="1"/>
  <c r="GX766" i="1"/>
  <c r="F979" i="1"/>
  <c r="AO959" i="1"/>
  <c r="CY965" i="1"/>
  <c r="X965" i="1" s="1"/>
  <c r="CZ965" i="1"/>
  <c r="Y965" i="1" s="1"/>
  <c r="F917" i="1"/>
  <c r="BA892" i="1"/>
  <c r="CY800" i="1"/>
  <c r="X800" i="1" s="1"/>
  <c r="CZ800" i="1"/>
  <c r="Y800" i="1" s="1"/>
  <c r="CQ781" i="1"/>
  <c r="P781" i="1" s="1"/>
  <c r="F864" i="1"/>
  <c r="CQ856" i="1"/>
  <c r="P856" i="1" s="1"/>
  <c r="GX855" i="1"/>
  <c r="CR852" i="1"/>
  <c r="Q852" i="1" s="1"/>
  <c r="CS852" i="1"/>
  <c r="R852" i="1" s="1"/>
  <c r="GK852" i="1" s="1"/>
  <c r="S847" i="1"/>
  <c r="CS841" i="1"/>
  <c r="CQ837" i="1"/>
  <c r="P837" i="1" s="1"/>
  <c r="CP816" i="1"/>
  <c r="O816" i="1" s="1"/>
  <c r="CZ805" i="1"/>
  <c r="Y805" i="1" s="1"/>
  <c r="CY805" i="1"/>
  <c r="X805" i="1" s="1"/>
  <c r="AB802" i="1"/>
  <c r="CY798" i="1"/>
  <c r="X798" i="1" s="1"/>
  <c r="CZ798" i="1"/>
  <c r="Y798" i="1" s="1"/>
  <c r="W785" i="1"/>
  <c r="CP818" i="1"/>
  <c r="O818" i="1" s="1"/>
  <c r="CR797" i="1"/>
  <c r="Q797" i="1" s="1"/>
  <c r="CS797" i="1"/>
  <c r="CR793" i="1"/>
  <c r="Q793" i="1" s="1"/>
  <c r="CS793" i="1"/>
  <c r="R793" i="1" s="1"/>
  <c r="GK793" i="1" s="1"/>
  <c r="CZ753" i="1"/>
  <c r="Y753" i="1" s="1"/>
  <c r="CY753" i="1"/>
  <c r="X753" i="1" s="1"/>
  <c r="CR738" i="1"/>
  <c r="Q738" i="1" s="1"/>
  <c r="CS738" i="1"/>
  <c r="R738" i="1" s="1"/>
  <c r="GK738" i="1" s="1"/>
  <c r="AD738" i="1"/>
  <c r="CY600" i="1"/>
  <c r="X600" i="1" s="1"/>
  <c r="CZ600" i="1"/>
  <c r="Y600" i="1" s="1"/>
  <c r="CY521" i="1"/>
  <c r="X521" i="1" s="1"/>
  <c r="CZ521" i="1"/>
  <c r="Y521" i="1" s="1"/>
  <c r="CR803" i="1"/>
  <c r="Q803" i="1" s="1"/>
  <c r="CS803" i="1"/>
  <c r="R803" i="1" s="1"/>
  <c r="GK803" i="1" s="1"/>
  <c r="CY795" i="1"/>
  <c r="X795" i="1" s="1"/>
  <c r="CZ795" i="1"/>
  <c r="Y795" i="1" s="1"/>
  <c r="V788" i="1"/>
  <c r="CR787" i="1"/>
  <c r="Q787" i="1" s="1"/>
  <c r="CS787" i="1"/>
  <c r="R787" i="1" s="1"/>
  <c r="GK787" i="1" s="1"/>
  <c r="GX776" i="1"/>
  <c r="CM595" i="1"/>
  <c r="BD630" i="1"/>
  <c r="AB810" i="1"/>
  <c r="AB803" i="1"/>
  <c r="T788" i="1"/>
  <c r="AB787" i="1"/>
  <c r="CQ787" i="1"/>
  <c r="P787" i="1" s="1"/>
  <c r="CP787" i="1" s="1"/>
  <c r="O787" i="1" s="1"/>
  <c r="CY786" i="1"/>
  <c r="X786" i="1" s="1"/>
  <c r="CZ786" i="1"/>
  <c r="Y786" i="1" s="1"/>
  <c r="U785" i="1"/>
  <c r="CZ767" i="1"/>
  <c r="Y767" i="1" s="1"/>
  <c r="CY767" i="1"/>
  <c r="X767" i="1" s="1"/>
  <c r="CP763" i="1"/>
  <c r="O763" i="1" s="1"/>
  <c r="Q759" i="1"/>
  <c r="AB751" i="1"/>
  <c r="CQ751" i="1"/>
  <c r="P751" i="1" s="1"/>
  <c r="U750" i="1"/>
  <c r="AD744" i="1"/>
  <c r="AB744" i="1" s="1"/>
  <c r="CR744" i="1"/>
  <c r="Q744" i="1" s="1"/>
  <c r="CS744" i="1"/>
  <c r="R744" i="1" s="1"/>
  <c r="GK744" i="1" s="1"/>
  <c r="CB511" i="1"/>
  <c r="AS563" i="1"/>
  <c r="BD860" i="1"/>
  <c r="CR821" i="1"/>
  <c r="Q821" i="1" s="1"/>
  <c r="CP821" i="1" s="1"/>
  <c r="O821" i="1" s="1"/>
  <c r="CS821" i="1"/>
  <c r="R821" i="1" s="1"/>
  <c r="GK821" i="1" s="1"/>
  <c r="V806" i="1"/>
  <c r="V791" i="1"/>
  <c r="GX788" i="1"/>
  <c r="W777" i="1"/>
  <c r="Q766" i="1"/>
  <c r="W759" i="1"/>
  <c r="W750" i="1"/>
  <c r="W628" i="1"/>
  <c r="V628" i="1"/>
  <c r="CQ627" i="1"/>
  <c r="P627" i="1" s="1"/>
  <c r="CP627" i="1" s="1"/>
  <c r="O627" i="1" s="1"/>
  <c r="BD696" i="1"/>
  <c r="AD521" i="1"/>
  <c r="AB521" i="1" s="1"/>
  <c r="CS521" i="1"/>
  <c r="R521" i="1" s="1"/>
  <c r="GK521" i="1" s="1"/>
  <c r="CR521" i="1"/>
  <c r="Q521" i="1" s="1"/>
  <c r="CP521" i="1" s="1"/>
  <c r="O521" i="1" s="1"/>
  <c r="S513" i="1"/>
  <c r="U513" i="1"/>
  <c r="GX513" i="1"/>
  <c r="BC860" i="1"/>
  <c r="AD821" i="1"/>
  <c r="AB821" i="1" s="1"/>
  <c r="AB816" i="1"/>
  <c r="U806" i="1"/>
  <c r="CQ792" i="1"/>
  <c r="P792" i="1" s="1"/>
  <c r="AD788" i="1"/>
  <c r="AB788" i="1" s="1"/>
  <c r="V777" i="1"/>
  <c r="V775" i="1"/>
  <c r="CT774" i="1"/>
  <c r="S774" i="1" s="1"/>
  <c r="AB774" i="1"/>
  <c r="R773" i="1"/>
  <c r="GK773" i="1" s="1"/>
  <c r="W766" i="1"/>
  <c r="V759" i="1"/>
  <c r="CR748" i="1"/>
  <c r="Q748" i="1" s="1"/>
  <c r="CS748" i="1"/>
  <c r="R748" i="1" s="1"/>
  <c r="GK748" i="1" s="1"/>
  <c r="AD748" i="1"/>
  <c r="AB748" i="1" s="1"/>
  <c r="V747" i="1"/>
  <c r="BC595" i="1"/>
  <c r="BC696" i="1"/>
  <c r="F646" i="1"/>
  <c r="CQ546" i="1"/>
  <c r="P546" i="1" s="1"/>
  <c r="CP546" i="1" s="1"/>
  <c r="O546" i="1" s="1"/>
  <c r="GM546" i="1" s="1"/>
  <c r="GP546" i="1" s="1"/>
  <c r="AB546" i="1"/>
  <c r="BB860" i="1"/>
  <c r="CZ815" i="1"/>
  <c r="Y815" i="1" s="1"/>
  <c r="T791" i="1"/>
  <c r="T785" i="1"/>
  <c r="U777" i="1"/>
  <c r="S775" i="1"/>
  <c r="GX775" i="1"/>
  <c r="P773" i="1"/>
  <c r="U759" i="1"/>
  <c r="CZ756" i="1"/>
  <c r="Y756" i="1" s="1"/>
  <c r="CY756" i="1"/>
  <c r="X756" i="1" s="1"/>
  <c r="CP754" i="1"/>
  <c r="O754" i="1" s="1"/>
  <c r="CQ748" i="1"/>
  <c r="P748" i="1" s="1"/>
  <c r="CP748" i="1" s="1"/>
  <c r="O748" i="1" s="1"/>
  <c r="CY746" i="1"/>
  <c r="X746" i="1" s="1"/>
  <c r="CZ746" i="1"/>
  <c r="Y746" i="1" s="1"/>
  <c r="CY741" i="1"/>
  <c r="X741" i="1" s="1"/>
  <c r="CZ741" i="1"/>
  <c r="Y741" i="1" s="1"/>
  <c r="AD606" i="1"/>
  <c r="AB606" i="1" s="1"/>
  <c r="CR606" i="1"/>
  <c r="Q606" i="1" s="1"/>
  <c r="CP606" i="1" s="1"/>
  <c r="O606" i="1" s="1"/>
  <c r="CS606" i="1"/>
  <c r="R606" i="1" s="1"/>
  <c r="GK606" i="1" s="1"/>
  <c r="CZ552" i="1"/>
  <c r="Y552" i="1" s="1"/>
  <c r="CY552" i="1"/>
  <c r="X552" i="1" s="1"/>
  <c r="CZ799" i="1"/>
  <c r="Y799" i="1" s="1"/>
  <c r="S791" i="1"/>
  <c r="CP790" i="1"/>
  <c r="O790" i="1" s="1"/>
  <c r="S785" i="1"/>
  <c r="CZ778" i="1"/>
  <c r="Y778" i="1" s="1"/>
  <c r="CY778" i="1"/>
  <c r="X778" i="1" s="1"/>
  <c r="T777" i="1"/>
  <c r="T775" i="1"/>
  <c r="W773" i="1"/>
  <c r="T750" i="1"/>
  <c r="CY737" i="1"/>
  <c r="X737" i="1" s="1"/>
  <c r="CZ737" i="1"/>
  <c r="Y737" i="1" s="1"/>
  <c r="F634" i="1"/>
  <c r="AO595" i="1"/>
  <c r="CR800" i="1"/>
  <c r="Q800" i="1" s="1"/>
  <c r="CP800" i="1" s="1"/>
  <c r="O800" i="1" s="1"/>
  <c r="AD800" i="1"/>
  <c r="AB800" i="1" s="1"/>
  <c r="GX791" i="1"/>
  <c r="CR791" i="1"/>
  <c r="Q791" i="1" s="1"/>
  <c r="AD791" i="1"/>
  <c r="AB791" i="1" s="1"/>
  <c r="GX785" i="1"/>
  <c r="CR785" i="1"/>
  <c r="Q785" i="1" s="1"/>
  <c r="CS785" i="1"/>
  <c r="R785" i="1" s="1"/>
  <c r="GK785" i="1" s="1"/>
  <c r="S777" i="1"/>
  <c r="W776" i="1"/>
  <c r="CP774" i="1"/>
  <c r="O774" i="1" s="1"/>
  <c r="V773" i="1"/>
  <c r="T766" i="1"/>
  <c r="W552" i="1"/>
  <c r="V552" i="1"/>
  <c r="GX552" i="1"/>
  <c r="CQ810" i="1"/>
  <c r="P810" i="1" s="1"/>
  <c r="W803" i="1"/>
  <c r="AD785" i="1"/>
  <c r="CZ784" i="1"/>
  <c r="Y784" i="1" s="1"/>
  <c r="AD781" i="1"/>
  <c r="AB781" i="1" s="1"/>
  <c r="CR781" i="1"/>
  <c r="Q781" i="1" s="1"/>
  <c r="CS781" i="1"/>
  <c r="T776" i="1"/>
  <c r="U773" i="1"/>
  <c r="AD768" i="1"/>
  <c r="AB768" i="1" s="1"/>
  <c r="CR768" i="1"/>
  <c r="Q768" i="1" s="1"/>
  <c r="CP768" i="1" s="1"/>
  <c r="O768" i="1" s="1"/>
  <c r="CS768" i="1"/>
  <c r="S766" i="1"/>
  <c r="CY758" i="1"/>
  <c r="X758" i="1" s="1"/>
  <c r="CZ758" i="1"/>
  <c r="Y758" i="1" s="1"/>
  <c r="CR747" i="1"/>
  <c r="Q747" i="1" s="1"/>
  <c r="CS747" i="1"/>
  <c r="R747" i="1" s="1"/>
  <c r="GK747" i="1" s="1"/>
  <c r="AD747" i="1"/>
  <c r="AB747" i="1" s="1"/>
  <c r="CP741" i="1"/>
  <c r="O741" i="1" s="1"/>
  <c r="AB819" i="1"/>
  <c r="CS816" i="1"/>
  <c r="CZ788" i="1"/>
  <c r="Y788" i="1" s="1"/>
  <c r="CZ783" i="1"/>
  <c r="Y783" i="1" s="1"/>
  <c r="GX777" i="1"/>
  <c r="BC662" i="1"/>
  <c r="F682" i="1"/>
  <c r="CY610" i="1"/>
  <c r="X610" i="1" s="1"/>
  <c r="CZ610" i="1"/>
  <c r="Y610" i="1" s="1"/>
  <c r="GM610" i="1" s="1"/>
  <c r="GP610" i="1" s="1"/>
  <c r="CY609" i="1"/>
  <c r="X609" i="1" s="1"/>
  <c r="CZ609" i="1"/>
  <c r="Y609" i="1" s="1"/>
  <c r="AI630" i="1"/>
  <c r="AD835" i="1"/>
  <c r="AB835" i="1" s="1"/>
  <c r="AD829" i="1"/>
  <c r="AB829" i="1" s="1"/>
  <c r="CR813" i="1"/>
  <c r="Q813" i="1" s="1"/>
  <c r="CP813" i="1" s="1"/>
  <c r="O813" i="1" s="1"/>
  <c r="CS813" i="1"/>
  <c r="R813" i="1" s="1"/>
  <c r="GK813" i="1" s="1"/>
  <c r="V803" i="1"/>
  <c r="CR802" i="1"/>
  <c r="Q802" i="1" s="1"/>
  <c r="CP802" i="1" s="1"/>
  <c r="O802" i="1" s="1"/>
  <c r="CS802" i="1"/>
  <c r="R802" i="1" s="1"/>
  <c r="GK802" i="1" s="1"/>
  <c r="T761" i="1"/>
  <c r="W761" i="1"/>
  <c r="GX759" i="1"/>
  <c r="CP746" i="1"/>
  <c r="O746" i="1" s="1"/>
  <c r="Q775" i="1"/>
  <c r="R766" i="1"/>
  <c r="GK766" i="1" s="1"/>
  <c r="CP757" i="1"/>
  <c r="O757" i="1" s="1"/>
  <c r="GM757" i="1" s="1"/>
  <c r="GP757" i="1" s="1"/>
  <c r="CR751" i="1"/>
  <c r="Q751" i="1" s="1"/>
  <c r="CS751" i="1"/>
  <c r="F684" i="1"/>
  <c r="AT662" i="1"/>
  <c r="BY595" i="1"/>
  <c r="AP630" i="1"/>
  <c r="CI630" i="1"/>
  <c r="GX628" i="1"/>
  <c r="AD628" i="1"/>
  <c r="AB628" i="1" s="1"/>
  <c r="CR628" i="1"/>
  <c r="Q628" i="1" s="1"/>
  <c r="CS628" i="1"/>
  <c r="R628" i="1" s="1"/>
  <c r="GK628" i="1" s="1"/>
  <c r="P622" i="1"/>
  <c r="CZ598" i="1"/>
  <c r="Y598" i="1" s="1"/>
  <c r="CY598" i="1"/>
  <c r="X598" i="1" s="1"/>
  <c r="CQ539" i="1"/>
  <c r="P539" i="1" s="1"/>
  <c r="CP539" i="1" s="1"/>
  <c r="O539" i="1" s="1"/>
  <c r="AB539" i="1"/>
  <c r="AG563" i="1"/>
  <c r="CZ514" i="1"/>
  <c r="Y514" i="1" s="1"/>
  <c r="CY514" i="1"/>
  <c r="X514" i="1" s="1"/>
  <c r="CY620" i="1"/>
  <c r="X620" i="1" s="1"/>
  <c r="CZ620" i="1"/>
  <c r="Y620" i="1" s="1"/>
  <c r="U600" i="1"/>
  <c r="CZ557" i="1"/>
  <c r="Y557" i="1" s="1"/>
  <c r="CZ541" i="1"/>
  <c r="Y541" i="1" s="1"/>
  <c r="CY541" i="1"/>
  <c r="X541" i="1" s="1"/>
  <c r="CY528" i="1"/>
  <c r="X528" i="1" s="1"/>
  <c r="CZ528" i="1"/>
  <c r="Y528" i="1" s="1"/>
  <c r="CK662" i="1"/>
  <c r="BB666" i="1"/>
  <c r="Q664" i="1"/>
  <c r="W664" i="1"/>
  <c r="AJ666" i="1" s="1"/>
  <c r="CY616" i="1"/>
  <c r="X616" i="1" s="1"/>
  <c r="CZ616" i="1"/>
  <c r="Y616" i="1" s="1"/>
  <c r="V600" i="1"/>
  <c r="CZ554" i="1"/>
  <c r="Y554" i="1" s="1"/>
  <c r="CY554" i="1"/>
  <c r="X554" i="1" s="1"/>
  <c r="CY530" i="1"/>
  <c r="X530" i="1" s="1"/>
  <c r="CZ530" i="1"/>
  <c r="Y530" i="1" s="1"/>
  <c r="CP530" i="1"/>
  <c r="O530" i="1" s="1"/>
  <c r="V513" i="1"/>
  <c r="BD381" i="1"/>
  <c r="F470" i="1"/>
  <c r="BD475" i="1"/>
  <c r="AB780" i="1"/>
  <c r="CQ778" i="1"/>
  <c r="P778" i="1" s="1"/>
  <c r="CP778" i="1" s="1"/>
  <c r="O778" i="1" s="1"/>
  <c r="AB777" i="1"/>
  <c r="U776" i="1"/>
  <c r="T759" i="1"/>
  <c r="CZ752" i="1"/>
  <c r="Y752" i="1" s="1"/>
  <c r="CY752" i="1"/>
  <c r="X752" i="1" s="1"/>
  <c r="V750" i="1"/>
  <c r="T664" i="1"/>
  <c r="AG666" i="1" s="1"/>
  <c r="CY624" i="1"/>
  <c r="X624" i="1" s="1"/>
  <c r="CZ624" i="1"/>
  <c r="Y624" i="1" s="1"/>
  <c r="W623" i="1"/>
  <c r="U552" i="1"/>
  <c r="AD794" i="1"/>
  <c r="AB794" i="1" s="1"/>
  <c r="CS775" i="1"/>
  <c r="R775" i="1" s="1"/>
  <c r="GK775" i="1" s="1"/>
  <c r="AB767" i="1"/>
  <c r="GX764" i="1"/>
  <c r="W747" i="1"/>
  <c r="AB745" i="1"/>
  <c r="R664" i="1"/>
  <c r="AB612" i="1"/>
  <c r="CQ612" i="1"/>
  <c r="P612" i="1" s="1"/>
  <c r="CP612" i="1" s="1"/>
  <c r="O612" i="1" s="1"/>
  <c r="CP559" i="1"/>
  <c r="O559" i="1" s="1"/>
  <c r="AB553" i="1"/>
  <c r="CQ553" i="1"/>
  <c r="P553" i="1" s="1"/>
  <c r="CZ546" i="1"/>
  <c r="Y546" i="1" s="1"/>
  <c r="CY402" i="1"/>
  <c r="X402" i="1" s="1"/>
  <c r="CZ402" i="1"/>
  <c r="Y402" i="1" s="1"/>
  <c r="P766" i="1"/>
  <c r="CR761" i="1"/>
  <c r="Q761" i="1" s="1"/>
  <c r="CP761" i="1" s="1"/>
  <c r="O761" i="1" s="1"/>
  <c r="AD761" i="1"/>
  <c r="AB761" i="1" s="1"/>
  <c r="S628" i="1"/>
  <c r="AD626" i="1"/>
  <c r="CR626" i="1"/>
  <c r="Q626" i="1" s="1"/>
  <c r="CS626" i="1"/>
  <c r="R626" i="1" s="1"/>
  <c r="GK626" i="1" s="1"/>
  <c r="U623" i="1"/>
  <c r="CZ604" i="1"/>
  <c r="Y604" i="1" s="1"/>
  <c r="CY604" i="1"/>
  <c r="X604" i="1" s="1"/>
  <c r="CP537" i="1"/>
  <c r="O537" i="1" s="1"/>
  <c r="GM537" i="1" s="1"/>
  <c r="GP537" i="1" s="1"/>
  <c r="CP534" i="1"/>
  <c r="O534" i="1" s="1"/>
  <c r="AD786" i="1"/>
  <c r="AB786" i="1" s="1"/>
  <c r="CR776" i="1"/>
  <c r="Q776" i="1" s="1"/>
  <c r="CP776" i="1" s="1"/>
  <c r="O776" i="1" s="1"/>
  <c r="CS776" i="1"/>
  <c r="R776" i="1" s="1"/>
  <c r="GK776" i="1" s="1"/>
  <c r="AB773" i="1"/>
  <c r="AB766" i="1"/>
  <c r="T764" i="1"/>
  <c r="AD757" i="1"/>
  <c r="AB757" i="1" s="1"/>
  <c r="CR754" i="1"/>
  <c r="Q754" i="1" s="1"/>
  <c r="CS754" i="1"/>
  <c r="GX750" i="1"/>
  <c r="CR739" i="1"/>
  <c r="Q739" i="1" s="1"/>
  <c r="CS739" i="1"/>
  <c r="CR736" i="1"/>
  <c r="Q736" i="1" s="1"/>
  <c r="AD736" i="1"/>
  <c r="AB736" i="1" s="1"/>
  <c r="P664" i="1"/>
  <c r="CP616" i="1"/>
  <c r="O616" i="1" s="1"/>
  <c r="AB603" i="1"/>
  <c r="CQ603" i="1"/>
  <c r="P603" i="1" s="1"/>
  <c r="GX600" i="1"/>
  <c r="CJ630" i="1" s="1"/>
  <c r="AD556" i="1"/>
  <c r="AB556" i="1" s="1"/>
  <c r="CR556" i="1"/>
  <c r="Q556" i="1" s="1"/>
  <c r="CP556" i="1" s="1"/>
  <c r="O556" i="1" s="1"/>
  <c r="P552" i="1"/>
  <c r="CP552" i="1" s="1"/>
  <c r="O552" i="1" s="1"/>
  <c r="CZ533" i="1"/>
  <c r="Y533" i="1" s="1"/>
  <c r="CY533" i="1"/>
  <c r="X533" i="1" s="1"/>
  <c r="CY527" i="1"/>
  <c r="X527" i="1" s="1"/>
  <c r="CZ527" i="1"/>
  <c r="Y527" i="1" s="1"/>
  <c r="CR432" i="1"/>
  <c r="Q432" i="1" s="1"/>
  <c r="CS432" i="1"/>
  <c r="R432" i="1" s="1"/>
  <c r="GK432" i="1" s="1"/>
  <c r="AD432" i="1"/>
  <c r="AB432" i="1" s="1"/>
  <c r="AD782" i="1"/>
  <c r="AB782" i="1" s="1"/>
  <c r="CP779" i="1"/>
  <c r="O779" i="1" s="1"/>
  <c r="AD776" i="1"/>
  <c r="AB776" i="1" s="1"/>
  <c r="AD754" i="1"/>
  <c r="AB754" i="1" s="1"/>
  <c r="CP742" i="1"/>
  <c r="O742" i="1" s="1"/>
  <c r="GM742" i="1" s="1"/>
  <c r="GP742" i="1" s="1"/>
  <c r="AD739" i="1"/>
  <c r="AB739" i="1" s="1"/>
  <c r="U622" i="1"/>
  <c r="CR770" i="1"/>
  <c r="Q770" i="1" s="1"/>
  <c r="CP770" i="1" s="1"/>
  <c r="O770" i="1" s="1"/>
  <c r="GM770" i="1" s="1"/>
  <c r="GP770" i="1" s="1"/>
  <c r="AD770" i="1"/>
  <c r="AB770" i="1" s="1"/>
  <c r="Q764" i="1"/>
  <c r="CP764" i="1" s="1"/>
  <c r="O764" i="1" s="1"/>
  <c r="CS743" i="1"/>
  <c r="CR743" i="1"/>
  <c r="Q743" i="1" s="1"/>
  <c r="CQ739" i="1"/>
  <c r="P739" i="1" s="1"/>
  <c r="AQ666" i="1"/>
  <c r="BZ662" i="1"/>
  <c r="V664" i="1"/>
  <c r="AI666" i="1" s="1"/>
  <c r="GX623" i="1"/>
  <c r="AD623" i="1"/>
  <c r="AB623" i="1" s="1"/>
  <c r="CR623" i="1"/>
  <c r="Q623" i="1" s="1"/>
  <c r="CP623" i="1" s="1"/>
  <c r="O623" i="1" s="1"/>
  <c r="CS623" i="1"/>
  <c r="R623" i="1" s="1"/>
  <c r="GK623" i="1" s="1"/>
  <c r="CR618" i="1"/>
  <c r="Q618" i="1" s="1"/>
  <c r="AD618" i="1"/>
  <c r="AB618" i="1" s="1"/>
  <c r="CY603" i="1"/>
  <c r="X603" i="1" s="1"/>
  <c r="CZ603" i="1"/>
  <c r="Y603" i="1" s="1"/>
  <c r="CZ559" i="1"/>
  <c r="Y559" i="1" s="1"/>
  <c r="CY559" i="1"/>
  <c r="X559" i="1" s="1"/>
  <c r="CP541" i="1"/>
  <c r="O541" i="1" s="1"/>
  <c r="CS794" i="1"/>
  <c r="R794" i="1" s="1"/>
  <c r="GK794" i="1" s="1"/>
  <c r="CQ780" i="1"/>
  <c r="P780" i="1" s="1"/>
  <c r="CP780" i="1" s="1"/>
  <c r="O780" i="1" s="1"/>
  <c r="CQ777" i="1"/>
  <c r="P777" i="1" s="1"/>
  <c r="CR769" i="1"/>
  <c r="Q769" i="1" s="1"/>
  <c r="CP769" i="1" s="1"/>
  <c r="O769" i="1" s="1"/>
  <c r="CS769" i="1"/>
  <c r="R769" i="1" s="1"/>
  <c r="GK769" i="1" s="1"/>
  <c r="AB743" i="1"/>
  <c r="CQ743" i="1"/>
  <c r="P743" i="1" s="1"/>
  <c r="V623" i="1"/>
  <c r="CQ535" i="1"/>
  <c r="P535" i="1" s="1"/>
  <c r="AI563" i="1"/>
  <c r="CQ791" i="1"/>
  <c r="P791" i="1" s="1"/>
  <c r="GX747" i="1"/>
  <c r="T747" i="1"/>
  <c r="CK595" i="1"/>
  <c r="BB630" i="1"/>
  <c r="CY612" i="1"/>
  <c r="X612" i="1" s="1"/>
  <c r="CZ612" i="1"/>
  <c r="Y612" i="1" s="1"/>
  <c r="AB558" i="1"/>
  <c r="BY563" i="1"/>
  <c r="CY520" i="1"/>
  <c r="X520" i="1" s="1"/>
  <c r="CZ520" i="1"/>
  <c r="Y520" i="1" s="1"/>
  <c r="W751" i="1"/>
  <c r="CR750" i="1"/>
  <c r="Q750" i="1" s="1"/>
  <c r="CS750" i="1"/>
  <c r="CQ745" i="1"/>
  <c r="P745" i="1" s="1"/>
  <c r="CY618" i="1"/>
  <c r="X618" i="1" s="1"/>
  <c r="CZ618" i="1"/>
  <c r="Y618" i="1" s="1"/>
  <c r="V615" i="1"/>
  <c r="CR598" i="1"/>
  <c r="Q598" i="1" s="1"/>
  <c r="CS598" i="1"/>
  <c r="AD598" i="1"/>
  <c r="AB598" i="1" s="1"/>
  <c r="CP549" i="1"/>
  <c r="O549" i="1" s="1"/>
  <c r="AB759" i="1"/>
  <c r="S664" i="1"/>
  <c r="CQ618" i="1"/>
  <c r="P618" i="1" s="1"/>
  <c r="AD608" i="1"/>
  <c r="AB608" i="1" s="1"/>
  <c r="CR608" i="1"/>
  <c r="Q608" i="1" s="1"/>
  <c r="CP608" i="1" s="1"/>
  <c r="O608" i="1" s="1"/>
  <c r="U601" i="1"/>
  <c r="CR600" i="1"/>
  <c r="Q600" i="1" s="1"/>
  <c r="CS600" i="1"/>
  <c r="AD600" i="1"/>
  <c r="CR543" i="1"/>
  <c r="Q543" i="1" s="1"/>
  <c r="AD543" i="1"/>
  <c r="AB543" i="1" s="1"/>
  <c r="CS543" i="1"/>
  <c r="R543" i="1" s="1"/>
  <c r="GK543" i="1" s="1"/>
  <c r="CY529" i="1"/>
  <c r="X529" i="1" s="1"/>
  <c r="CZ529" i="1"/>
  <c r="Y529" i="1" s="1"/>
  <c r="CY329" i="1"/>
  <c r="X329" i="1" s="1"/>
  <c r="CZ329" i="1"/>
  <c r="Y329" i="1" s="1"/>
  <c r="U628" i="1"/>
  <c r="CS627" i="1"/>
  <c r="R627" i="1" s="1"/>
  <c r="GK627" i="1" s="1"/>
  <c r="AD627" i="1"/>
  <c r="AB627" i="1" s="1"/>
  <c r="CQ620" i="1"/>
  <c r="P620" i="1" s="1"/>
  <c r="CP620" i="1" s="1"/>
  <c r="O620" i="1" s="1"/>
  <c r="AB620" i="1"/>
  <c r="S615" i="1"/>
  <c r="P601" i="1"/>
  <c r="CQ524" i="1"/>
  <c r="P524" i="1" s="1"/>
  <c r="CR758" i="1"/>
  <c r="Q758" i="1" s="1"/>
  <c r="CS758" i="1"/>
  <c r="R758" i="1" s="1"/>
  <c r="GK758" i="1" s="1"/>
  <c r="W748" i="1"/>
  <c r="U747" i="1"/>
  <c r="T736" i="1"/>
  <c r="AB664" i="1"/>
  <c r="CG630" i="1"/>
  <c r="BX595" i="1"/>
  <c r="W622" i="1"/>
  <c r="W617" i="1"/>
  <c r="AD610" i="1"/>
  <c r="AB610" i="1" s="1"/>
  <c r="CS610" i="1"/>
  <c r="R610" i="1" s="1"/>
  <c r="GK610" i="1" s="1"/>
  <c r="CY608" i="1"/>
  <c r="X608" i="1" s="1"/>
  <c r="CZ608" i="1"/>
  <c r="Y608" i="1" s="1"/>
  <c r="T552" i="1"/>
  <c r="CZ549" i="1"/>
  <c r="Y549" i="1" s="1"/>
  <c r="CS745" i="1"/>
  <c r="CR745" i="1"/>
  <c r="Q745" i="1" s="1"/>
  <c r="U738" i="1"/>
  <c r="CI666" i="1"/>
  <c r="P628" i="1"/>
  <c r="V622" i="1"/>
  <c r="V601" i="1"/>
  <c r="CB595" i="1"/>
  <c r="CR537" i="1"/>
  <c r="Q537" i="1" s="1"/>
  <c r="CS537" i="1"/>
  <c r="R537" i="1" s="1"/>
  <c r="GK537" i="1" s="1"/>
  <c r="AD537" i="1"/>
  <c r="AB537" i="1" s="1"/>
  <c r="CS607" i="1"/>
  <c r="R607" i="1" s="1"/>
  <c r="GK607" i="1" s="1"/>
  <c r="AD607" i="1"/>
  <c r="AB607" i="1" s="1"/>
  <c r="CR607" i="1"/>
  <c r="Q607" i="1" s="1"/>
  <c r="CR605" i="1"/>
  <c r="Q605" i="1" s="1"/>
  <c r="CP605" i="1" s="1"/>
  <c r="O605" i="1" s="1"/>
  <c r="GM605" i="1" s="1"/>
  <c r="GP605" i="1" s="1"/>
  <c r="AD605" i="1"/>
  <c r="AB605" i="1" s="1"/>
  <c r="CQ407" i="1"/>
  <c r="P407" i="1" s="1"/>
  <c r="CP407" i="1" s="1"/>
  <c r="O407" i="1" s="1"/>
  <c r="AB407" i="1"/>
  <c r="CQ759" i="1"/>
  <c r="P759" i="1" s="1"/>
  <c r="V739" i="1"/>
  <c r="AD735" i="1"/>
  <c r="AB735" i="1" s="1"/>
  <c r="S622" i="1"/>
  <c r="CY619" i="1"/>
  <c r="X619" i="1" s="1"/>
  <c r="CZ619" i="1"/>
  <c r="Y619" i="1" s="1"/>
  <c r="S601" i="1"/>
  <c r="W600" i="1"/>
  <c r="AJ630" i="1" s="1"/>
  <c r="CR560" i="1"/>
  <c r="Q560" i="1" s="1"/>
  <c r="AD560" i="1"/>
  <c r="AB560" i="1" s="1"/>
  <c r="CY544" i="1"/>
  <c r="X544" i="1" s="1"/>
  <c r="CQ436" i="1"/>
  <c r="P436" i="1" s="1"/>
  <c r="AB436" i="1"/>
  <c r="S626" i="1"/>
  <c r="T621" i="1"/>
  <c r="U602" i="1"/>
  <c r="AB554" i="1"/>
  <c r="CQ554" i="1"/>
  <c r="P554" i="1" s="1"/>
  <c r="CP554" i="1" s="1"/>
  <c r="O554" i="1" s="1"/>
  <c r="CP543" i="1"/>
  <c r="O543" i="1" s="1"/>
  <c r="GM543" i="1" s="1"/>
  <c r="GP543" i="1" s="1"/>
  <c r="CR524" i="1"/>
  <c r="Q524" i="1" s="1"/>
  <c r="CS524" i="1"/>
  <c r="R524" i="1" s="1"/>
  <c r="GK524" i="1" s="1"/>
  <c r="AD524" i="1"/>
  <c r="AB524" i="1" s="1"/>
  <c r="CR436" i="1"/>
  <c r="Q436" i="1" s="1"/>
  <c r="CS436" i="1"/>
  <c r="R436" i="1" s="1"/>
  <c r="GK436" i="1" s="1"/>
  <c r="CQ432" i="1"/>
  <c r="P432" i="1" s="1"/>
  <c r="CY401" i="1"/>
  <c r="X401" i="1" s="1"/>
  <c r="CZ401" i="1"/>
  <c r="Y401" i="1" s="1"/>
  <c r="CY437" i="1"/>
  <c r="X437" i="1" s="1"/>
  <c r="GM437" i="1" s="1"/>
  <c r="GP437" i="1" s="1"/>
  <c r="CZ437" i="1"/>
  <c r="Y437" i="1" s="1"/>
  <c r="CY435" i="1"/>
  <c r="X435" i="1" s="1"/>
  <c r="CZ435" i="1"/>
  <c r="Y435" i="1" s="1"/>
  <c r="T622" i="1"/>
  <c r="BX511" i="1"/>
  <c r="CG563" i="1"/>
  <c r="CR557" i="1"/>
  <c r="Q557" i="1" s="1"/>
  <c r="CS557" i="1"/>
  <c r="R557" i="1" s="1"/>
  <c r="GK557" i="1" s="1"/>
  <c r="AD557" i="1"/>
  <c r="AB557" i="1" s="1"/>
  <c r="R552" i="1"/>
  <c r="GK552" i="1" s="1"/>
  <c r="CY540" i="1"/>
  <c r="X540" i="1" s="1"/>
  <c r="CZ540" i="1"/>
  <c r="Y540" i="1" s="1"/>
  <c r="W513" i="1"/>
  <c r="CQ438" i="1"/>
  <c r="P438" i="1" s="1"/>
  <c r="CP431" i="1"/>
  <c r="O431" i="1" s="1"/>
  <c r="GM431" i="1" s="1"/>
  <c r="GN431" i="1" s="1"/>
  <c r="CC630" i="1"/>
  <c r="AB561" i="1"/>
  <c r="CP526" i="1"/>
  <c r="O526" i="1" s="1"/>
  <c r="GM526" i="1" s="1"/>
  <c r="GP526" i="1" s="1"/>
  <c r="CQ520" i="1"/>
  <c r="P520" i="1" s="1"/>
  <c r="CP520" i="1" s="1"/>
  <c r="O520" i="1" s="1"/>
  <c r="AB520" i="1"/>
  <c r="CY518" i="1"/>
  <c r="X518" i="1" s="1"/>
  <c r="CZ518" i="1"/>
  <c r="Y518" i="1" s="1"/>
  <c r="T513" i="1"/>
  <c r="CR420" i="1"/>
  <c r="Q420" i="1" s="1"/>
  <c r="CP420" i="1" s="1"/>
  <c r="O420" i="1" s="1"/>
  <c r="CS420" i="1"/>
  <c r="AD420" i="1"/>
  <c r="AB420" i="1" s="1"/>
  <c r="CP613" i="1"/>
  <c r="O613" i="1" s="1"/>
  <c r="CQ607" i="1"/>
  <c r="P607" i="1" s="1"/>
  <c r="CZ606" i="1"/>
  <c r="Y606" i="1" s="1"/>
  <c r="CR542" i="1"/>
  <c r="Q542" i="1" s="1"/>
  <c r="CP542" i="1" s="1"/>
  <c r="O542" i="1" s="1"/>
  <c r="CS542" i="1"/>
  <c r="R542" i="1" s="1"/>
  <c r="GK542" i="1" s="1"/>
  <c r="CQ527" i="1"/>
  <c r="P527" i="1" s="1"/>
  <c r="CP527" i="1" s="1"/>
  <c r="O527" i="1" s="1"/>
  <c r="CZ524" i="1"/>
  <c r="Y524" i="1" s="1"/>
  <c r="R513" i="1"/>
  <c r="GK513" i="1" s="1"/>
  <c r="CY439" i="1"/>
  <c r="X439" i="1" s="1"/>
  <c r="CZ439" i="1"/>
  <c r="Y439" i="1" s="1"/>
  <c r="CY420" i="1"/>
  <c r="X420" i="1" s="1"/>
  <c r="CZ420" i="1"/>
  <c r="Y420" i="1" s="1"/>
  <c r="CP609" i="1"/>
  <c r="O609" i="1" s="1"/>
  <c r="AB600" i="1"/>
  <c r="CQ551" i="1"/>
  <c r="P551" i="1" s="1"/>
  <c r="AB551" i="1"/>
  <c r="AB542" i="1"/>
  <c r="CY515" i="1"/>
  <c r="X515" i="1" s="1"/>
  <c r="AF563" i="1"/>
  <c r="AO381" i="1"/>
  <c r="F449" i="1"/>
  <c r="P626" i="1"/>
  <c r="CS619" i="1"/>
  <c r="R619" i="1" s="1"/>
  <c r="GK619" i="1" s="1"/>
  <c r="CS615" i="1"/>
  <c r="R615" i="1" s="1"/>
  <c r="GK615" i="1" s="1"/>
  <c r="AD611" i="1"/>
  <c r="AB611" i="1" s="1"/>
  <c r="CQ602" i="1"/>
  <c r="P602" i="1" s="1"/>
  <c r="CZ599" i="1"/>
  <c r="Y599" i="1" s="1"/>
  <c r="CS519" i="1"/>
  <c r="AD519" i="1"/>
  <c r="CR519" i="1"/>
  <c r="Q519" i="1" s="1"/>
  <c r="CP518" i="1"/>
  <c r="O518" i="1" s="1"/>
  <c r="CY408" i="1"/>
  <c r="X408" i="1" s="1"/>
  <c r="CZ408" i="1"/>
  <c r="Y408" i="1" s="1"/>
  <c r="AB626" i="1"/>
  <c r="P621" i="1"/>
  <c r="CP621" i="1" s="1"/>
  <c r="O621" i="1" s="1"/>
  <c r="CR619" i="1"/>
  <c r="Q619" i="1" s="1"/>
  <c r="CP619" i="1" s="1"/>
  <c r="O619" i="1" s="1"/>
  <c r="CQ611" i="1"/>
  <c r="P611" i="1" s="1"/>
  <c r="AB552" i="1"/>
  <c r="AD545" i="1"/>
  <c r="AB545" i="1" s="1"/>
  <c r="CR545" i="1"/>
  <c r="Q545" i="1" s="1"/>
  <c r="CP545" i="1" s="1"/>
  <c r="O545" i="1" s="1"/>
  <c r="CS545" i="1"/>
  <c r="R545" i="1" s="1"/>
  <c r="GK545" i="1" s="1"/>
  <c r="CY534" i="1"/>
  <c r="X534" i="1" s="1"/>
  <c r="CZ534" i="1"/>
  <c r="Y534" i="1" s="1"/>
  <c r="AD526" i="1"/>
  <c r="CR526" i="1"/>
  <c r="Q526" i="1" s="1"/>
  <c r="CS526" i="1"/>
  <c r="R526" i="1" s="1"/>
  <c r="GK526" i="1" s="1"/>
  <c r="AB437" i="1"/>
  <c r="CQ409" i="1"/>
  <c r="P409" i="1" s="1"/>
  <c r="CP409" i="1" s="1"/>
  <c r="O409" i="1" s="1"/>
  <c r="GM409" i="1" s="1"/>
  <c r="GN409" i="1" s="1"/>
  <c r="AB409" i="1"/>
  <c r="AB621" i="1"/>
  <c r="P617" i="1"/>
  <c r="CP617" i="1" s="1"/>
  <c r="O617" i="1" s="1"/>
  <c r="GM617" i="1" s="1"/>
  <c r="GP617" i="1" s="1"/>
  <c r="CK511" i="1"/>
  <c r="BB563" i="1"/>
  <c r="AO563" i="1"/>
  <c r="U557" i="1"/>
  <c r="CR553" i="1"/>
  <c r="Q553" i="1" s="1"/>
  <c r="CS553" i="1"/>
  <c r="AD553" i="1"/>
  <c r="CP544" i="1"/>
  <c r="O544" i="1" s="1"/>
  <c r="CC563" i="1"/>
  <c r="CY516" i="1"/>
  <c r="X516" i="1" s="1"/>
  <c r="CZ516" i="1"/>
  <c r="Y516" i="1" s="1"/>
  <c r="CQ408" i="1"/>
  <c r="P408" i="1" s="1"/>
  <c r="CC445" i="1"/>
  <c r="CS622" i="1"/>
  <c r="R622" i="1" s="1"/>
  <c r="GK622" i="1" s="1"/>
  <c r="W615" i="1"/>
  <c r="W601" i="1"/>
  <c r="CS535" i="1"/>
  <c r="R535" i="1" s="1"/>
  <c r="GK535" i="1" s="1"/>
  <c r="CR535" i="1"/>
  <c r="Q535" i="1" s="1"/>
  <c r="AD535" i="1"/>
  <c r="AB535" i="1" s="1"/>
  <c r="CS528" i="1"/>
  <c r="R528" i="1" s="1"/>
  <c r="GK528" i="1" s="1"/>
  <c r="AD528" i="1"/>
  <c r="AB528" i="1" s="1"/>
  <c r="CR528" i="1"/>
  <c r="Q528" i="1" s="1"/>
  <c r="CP528" i="1" s="1"/>
  <c r="O528" i="1" s="1"/>
  <c r="AB599" i="1"/>
  <c r="CP514" i="1"/>
  <c r="O514" i="1" s="1"/>
  <c r="CY440" i="1"/>
  <c r="X440" i="1" s="1"/>
  <c r="GM440" i="1" s="1"/>
  <c r="GP440" i="1" s="1"/>
  <c r="CZ440" i="1"/>
  <c r="Y440" i="1" s="1"/>
  <c r="CP430" i="1"/>
  <c r="O430" i="1" s="1"/>
  <c r="GM430" i="1" s="1"/>
  <c r="GP430" i="1" s="1"/>
  <c r="CQ421" i="1"/>
  <c r="P421" i="1" s="1"/>
  <c r="CZ531" i="1"/>
  <c r="Y531" i="1" s="1"/>
  <c r="BZ563" i="1"/>
  <c r="CZ392" i="1"/>
  <c r="Y392" i="1" s="1"/>
  <c r="CY392" i="1"/>
  <c r="X392" i="1" s="1"/>
  <c r="CR390" i="1"/>
  <c r="Q390" i="1" s="1"/>
  <c r="CP390" i="1" s="1"/>
  <c r="O390" i="1" s="1"/>
  <c r="CS390" i="1"/>
  <c r="AD390" i="1"/>
  <c r="AB390" i="1" s="1"/>
  <c r="AB541" i="1"/>
  <c r="AB519" i="1"/>
  <c r="P513" i="1"/>
  <c r="AB439" i="1"/>
  <c r="U438" i="1"/>
  <c r="CP403" i="1"/>
  <c r="O403" i="1" s="1"/>
  <c r="AB615" i="1"/>
  <c r="Q552" i="1"/>
  <c r="CZ542" i="1"/>
  <c r="Y542" i="1" s="1"/>
  <c r="CR533" i="1"/>
  <c r="Q533" i="1" s="1"/>
  <c r="CP533" i="1" s="1"/>
  <c r="O533" i="1" s="1"/>
  <c r="AD529" i="1"/>
  <c r="AB529" i="1" s="1"/>
  <c r="CR529" i="1"/>
  <c r="Q529" i="1" s="1"/>
  <c r="CS529" i="1"/>
  <c r="CZ430" i="1"/>
  <c r="Y430" i="1" s="1"/>
  <c r="CY430" i="1"/>
  <c r="X430" i="1" s="1"/>
  <c r="AD552" i="1"/>
  <c r="CZ519" i="1"/>
  <c r="Y519" i="1" s="1"/>
  <c r="CY411" i="1"/>
  <c r="X411" i="1" s="1"/>
  <c r="CZ411" i="1"/>
  <c r="Y411" i="1" s="1"/>
  <c r="CY236" i="1"/>
  <c r="X236" i="1" s="1"/>
  <c r="CZ236" i="1"/>
  <c r="Y236" i="1" s="1"/>
  <c r="CP540" i="1"/>
  <c r="O540" i="1" s="1"/>
  <c r="AD513" i="1"/>
  <c r="AB513" i="1" s="1"/>
  <c r="CR513" i="1"/>
  <c r="Q513" i="1" s="1"/>
  <c r="CY429" i="1"/>
  <c r="X429" i="1" s="1"/>
  <c r="CZ429" i="1"/>
  <c r="Y429" i="1" s="1"/>
  <c r="CS603" i="1"/>
  <c r="R603" i="1" s="1"/>
  <c r="GK603" i="1" s="1"/>
  <c r="GX553" i="1"/>
  <c r="CJ563" i="1" s="1"/>
  <c r="CL381" i="1"/>
  <c r="BC445" i="1"/>
  <c r="CP422" i="1"/>
  <c r="O422" i="1" s="1"/>
  <c r="GM422" i="1" s="1"/>
  <c r="GN422" i="1" s="1"/>
  <c r="CS415" i="1"/>
  <c r="CR415" i="1"/>
  <c r="Q415" i="1" s="1"/>
  <c r="AD415" i="1"/>
  <c r="AB415" i="1" s="1"/>
  <c r="CY328" i="1"/>
  <c r="X328" i="1" s="1"/>
  <c r="CZ328" i="1"/>
  <c r="Y328" i="1" s="1"/>
  <c r="CR603" i="1"/>
  <c r="Q603" i="1" s="1"/>
  <c r="AD602" i="1"/>
  <c r="AB602" i="1" s="1"/>
  <c r="CS540" i="1"/>
  <c r="AD531" i="1"/>
  <c r="AB531" i="1" s="1"/>
  <c r="CQ519" i="1"/>
  <c r="P519" i="1" s="1"/>
  <c r="CK381" i="1"/>
  <c r="BB445" i="1"/>
  <c r="AD438" i="1"/>
  <c r="AB438" i="1" s="1"/>
  <c r="CR438" i="1"/>
  <c r="Q438" i="1" s="1"/>
  <c r="CS438" i="1"/>
  <c r="R438" i="1" s="1"/>
  <c r="GK438" i="1" s="1"/>
  <c r="CY416" i="1"/>
  <c r="X416" i="1" s="1"/>
  <c r="CZ416" i="1"/>
  <c r="Y416" i="1" s="1"/>
  <c r="CR407" i="1"/>
  <c r="Q407" i="1" s="1"/>
  <c r="CS407" i="1"/>
  <c r="CY344" i="1"/>
  <c r="X344" i="1" s="1"/>
  <c r="CZ344" i="1"/>
  <c r="Y344" i="1" s="1"/>
  <c r="CY347" i="1"/>
  <c r="X347" i="1" s="1"/>
  <c r="CZ347" i="1"/>
  <c r="Y347" i="1" s="1"/>
  <c r="BY317" i="1"/>
  <c r="CI349" i="1"/>
  <c r="AP349" i="1"/>
  <c r="CZ247" i="1"/>
  <c r="Y247" i="1" s="1"/>
  <c r="CY247" i="1"/>
  <c r="X247" i="1" s="1"/>
  <c r="CP387" i="1"/>
  <c r="O387" i="1" s="1"/>
  <c r="CZ345" i="1"/>
  <c r="Y345" i="1" s="1"/>
  <c r="CY345" i="1"/>
  <c r="X345" i="1" s="1"/>
  <c r="CC349" i="1"/>
  <c r="AB433" i="1"/>
  <c r="CR429" i="1"/>
  <c r="Q429" i="1" s="1"/>
  <c r="CS429" i="1"/>
  <c r="Q402" i="1"/>
  <c r="CY340" i="1"/>
  <c r="X340" i="1" s="1"/>
  <c r="CZ340" i="1"/>
  <c r="Y340" i="1" s="1"/>
  <c r="CP328" i="1"/>
  <c r="O328" i="1" s="1"/>
  <c r="CY248" i="1"/>
  <c r="X248" i="1" s="1"/>
  <c r="CZ248" i="1"/>
  <c r="Y248" i="1" s="1"/>
  <c r="AB516" i="1"/>
  <c r="CZ432" i="1"/>
  <c r="Y432" i="1" s="1"/>
  <c r="AD429" i="1"/>
  <c r="AB429" i="1" s="1"/>
  <c r="CZ428" i="1"/>
  <c r="Y428" i="1" s="1"/>
  <c r="CY428" i="1"/>
  <c r="X428" i="1" s="1"/>
  <c r="CY414" i="1"/>
  <c r="X414" i="1" s="1"/>
  <c r="CZ414" i="1"/>
  <c r="Y414" i="1" s="1"/>
  <c r="CY395" i="1"/>
  <c r="X395" i="1" s="1"/>
  <c r="CZ395" i="1"/>
  <c r="Y395" i="1" s="1"/>
  <c r="CP435" i="1"/>
  <c r="O435" i="1" s="1"/>
  <c r="CP429" i="1"/>
  <c r="O429" i="1" s="1"/>
  <c r="CR421" i="1"/>
  <c r="Q421" i="1" s="1"/>
  <c r="CS421" i="1"/>
  <c r="R421" i="1" s="1"/>
  <c r="GK421" i="1" s="1"/>
  <c r="CR408" i="1"/>
  <c r="Q408" i="1" s="1"/>
  <c r="CS408" i="1"/>
  <c r="R408" i="1" s="1"/>
  <c r="GK408" i="1" s="1"/>
  <c r="CY398" i="1"/>
  <c r="X398" i="1" s="1"/>
  <c r="CZ398" i="1"/>
  <c r="Y398" i="1" s="1"/>
  <c r="CY397" i="1"/>
  <c r="X397" i="1" s="1"/>
  <c r="CZ397" i="1"/>
  <c r="Y397" i="1" s="1"/>
  <c r="CB445" i="1"/>
  <c r="CP386" i="1"/>
  <c r="O386" i="1" s="1"/>
  <c r="CP345" i="1"/>
  <c r="O345" i="1" s="1"/>
  <c r="T438" i="1"/>
  <c r="AD421" i="1"/>
  <c r="AB421" i="1" s="1"/>
  <c r="CY413" i="1"/>
  <c r="X413" i="1" s="1"/>
  <c r="CZ413" i="1"/>
  <c r="Y413" i="1" s="1"/>
  <c r="AD408" i="1"/>
  <c r="AB408" i="1" s="1"/>
  <c r="AB526" i="1"/>
  <c r="AB515" i="1"/>
  <c r="BX381" i="1"/>
  <c r="GX442" i="1"/>
  <c r="T442" i="1"/>
  <c r="P439" i="1"/>
  <c r="CP439" i="1" s="1"/>
  <c r="O439" i="1" s="1"/>
  <c r="V436" i="1"/>
  <c r="CQ434" i="1"/>
  <c r="P434" i="1" s="1"/>
  <c r="CP434" i="1" s="1"/>
  <c r="O434" i="1" s="1"/>
  <c r="AB434" i="1"/>
  <c r="W405" i="1"/>
  <c r="CP400" i="1"/>
  <c r="O400" i="1" s="1"/>
  <c r="GM400" i="1" s="1"/>
  <c r="GN400" i="1" s="1"/>
  <c r="CY393" i="1"/>
  <c r="X393" i="1" s="1"/>
  <c r="CZ393" i="1"/>
  <c r="Y393" i="1" s="1"/>
  <c r="S410" i="1"/>
  <c r="V405" i="1"/>
  <c r="CZ333" i="1"/>
  <c r="Y333" i="1" s="1"/>
  <c r="CY333" i="1"/>
  <c r="X333" i="1" s="1"/>
  <c r="AI251" i="1"/>
  <c r="AB518" i="1"/>
  <c r="CR442" i="1"/>
  <c r="Q442" i="1" s="1"/>
  <c r="CP442" i="1" s="1"/>
  <c r="O442" i="1" s="1"/>
  <c r="CS442" i="1"/>
  <c r="R442" i="1" s="1"/>
  <c r="GK442" i="1" s="1"/>
  <c r="W439" i="1"/>
  <c r="R410" i="1"/>
  <c r="GK410" i="1" s="1"/>
  <c r="U405" i="1"/>
  <c r="CY239" i="1"/>
  <c r="X239" i="1" s="1"/>
  <c r="CZ239" i="1"/>
  <c r="Y239" i="1" s="1"/>
  <c r="CP236" i="1"/>
  <c r="O236" i="1" s="1"/>
  <c r="GM236" i="1" s="1"/>
  <c r="GP236" i="1" s="1"/>
  <c r="CS548" i="1"/>
  <c r="AB534" i="1"/>
  <c r="AD442" i="1"/>
  <c r="AB442" i="1" s="1"/>
  <c r="V439" i="1"/>
  <c r="GX438" i="1"/>
  <c r="U436" i="1"/>
  <c r="CR417" i="1"/>
  <c r="Q417" i="1" s="1"/>
  <c r="CP417" i="1" s="1"/>
  <c r="O417" i="1" s="1"/>
  <c r="CS417" i="1"/>
  <c r="GX415" i="1"/>
  <c r="Q410" i="1"/>
  <c r="T405" i="1"/>
  <c r="CZ237" i="1"/>
  <c r="Y237" i="1" s="1"/>
  <c r="CY237" i="1"/>
  <c r="X237" i="1" s="1"/>
  <c r="AD525" i="1"/>
  <c r="AB525" i="1" s="1"/>
  <c r="AB523" i="1"/>
  <c r="AD517" i="1"/>
  <c r="AB517" i="1" s="1"/>
  <c r="AD514" i="1"/>
  <c r="AB514" i="1" s="1"/>
  <c r="AB443" i="1"/>
  <c r="GX439" i="1"/>
  <c r="T436" i="1"/>
  <c r="CQ433" i="1"/>
  <c r="P433" i="1" s="1"/>
  <c r="CR426" i="1"/>
  <c r="Q426" i="1" s="1"/>
  <c r="CP426" i="1" s="1"/>
  <c r="O426" i="1" s="1"/>
  <c r="CS426" i="1"/>
  <c r="AD417" i="1"/>
  <c r="AB417" i="1" s="1"/>
  <c r="S405" i="1"/>
  <c r="W403" i="1"/>
  <c r="CQ337" i="1"/>
  <c r="P337" i="1" s="1"/>
  <c r="CP337" i="1" s="1"/>
  <c r="O337" i="1" s="1"/>
  <c r="CQ394" i="1"/>
  <c r="P394" i="1" s="1"/>
  <c r="CP384" i="1"/>
  <c r="O384" i="1" s="1"/>
  <c r="CY327" i="1"/>
  <c r="X327" i="1" s="1"/>
  <c r="CZ327" i="1"/>
  <c r="Y327" i="1" s="1"/>
  <c r="CC232" i="1"/>
  <c r="AT251" i="1"/>
  <c r="W200" i="1"/>
  <c r="AJ189" i="1"/>
  <c r="CQ191" i="1"/>
  <c r="P191" i="1" s="1"/>
  <c r="AB191" i="1"/>
  <c r="CP393" i="1"/>
  <c r="O393" i="1" s="1"/>
  <c r="CR392" i="1"/>
  <c r="Q392" i="1" s="1"/>
  <c r="CP392" i="1" s="1"/>
  <c r="O392" i="1" s="1"/>
  <c r="CS392" i="1"/>
  <c r="CZ390" i="1"/>
  <c r="Y390" i="1" s="1"/>
  <c r="CR340" i="1"/>
  <c r="Q340" i="1" s="1"/>
  <c r="CS340" i="1"/>
  <c r="CR329" i="1"/>
  <c r="Q329" i="1" s="1"/>
  <c r="CP329" i="1" s="1"/>
  <c r="O329" i="1" s="1"/>
  <c r="CS329" i="1"/>
  <c r="R329" i="1" s="1"/>
  <c r="GK329" i="1" s="1"/>
  <c r="AD329" i="1"/>
  <c r="CR425" i="1"/>
  <c r="Q425" i="1" s="1"/>
  <c r="CS425" i="1"/>
  <c r="CR414" i="1"/>
  <c r="Q414" i="1" s="1"/>
  <c r="CP414" i="1" s="1"/>
  <c r="O414" i="1" s="1"/>
  <c r="CS414" i="1"/>
  <c r="CR403" i="1"/>
  <c r="Q403" i="1" s="1"/>
  <c r="CS403" i="1"/>
  <c r="AD395" i="1"/>
  <c r="AB395" i="1" s="1"/>
  <c r="AD392" i="1"/>
  <c r="AB392" i="1" s="1"/>
  <c r="AB342" i="1"/>
  <c r="AD340" i="1"/>
  <c r="AB340" i="1" s="1"/>
  <c r="CR338" i="1"/>
  <c r="Q338" i="1" s="1"/>
  <c r="CS338" i="1"/>
  <c r="CP330" i="1"/>
  <c r="O330" i="1" s="1"/>
  <c r="GM330" i="1" s="1"/>
  <c r="GN330" i="1" s="1"/>
  <c r="CY326" i="1"/>
  <c r="X326" i="1" s="1"/>
  <c r="CY325" i="1"/>
  <c r="X325" i="1" s="1"/>
  <c r="CZ325" i="1"/>
  <c r="Y325" i="1" s="1"/>
  <c r="AD425" i="1"/>
  <c r="AB425" i="1" s="1"/>
  <c r="AB423" i="1"/>
  <c r="AD414" i="1"/>
  <c r="AD403" i="1"/>
  <c r="AB403" i="1" s="1"/>
  <c r="CP340" i="1"/>
  <c r="O340" i="1" s="1"/>
  <c r="AD338" i="1"/>
  <c r="AB338" i="1" s="1"/>
  <c r="AB330" i="1"/>
  <c r="CY249" i="1"/>
  <c r="X249" i="1" s="1"/>
  <c r="CZ249" i="1"/>
  <c r="Y249" i="1" s="1"/>
  <c r="AD419" i="1"/>
  <c r="AB419" i="1" s="1"/>
  <c r="CQ338" i="1"/>
  <c r="P338" i="1" s="1"/>
  <c r="AB336" i="1"/>
  <c r="CR335" i="1"/>
  <c r="Q335" i="1" s="1"/>
  <c r="CS335" i="1"/>
  <c r="GX332" i="1"/>
  <c r="CY324" i="1"/>
  <c r="X324" i="1" s="1"/>
  <c r="CZ324" i="1"/>
  <c r="Y324" i="1" s="1"/>
  <c r="CY321" i="1"/>
  <c r="X321" i="1" s="1"/>
  <c r="CZ321" i="1"/>
  <c r="Y321" i="1" s="1"/>
  <c r="CY112" i="1"/>
  <c r="X112" i="1" s="1"/>
  <c r="CZ112" i="1"/>
  <c r="Y112" i="1" s="1"/>
  <c r="AB414" i="1"/>
  <c r="AD411" i="1"/>
  <c r="AB411" i="1" s="1"/>
  <c r="P402" i="1"/>
  <c r="CP402" i="1" s="1"/>
  <c r="O402" i="1" s="1"/>
  <c r="CS397" i="1"/>
  <c r="CR397" i="1"/>
  <c r="Q397" i="1" s="1"/>
  <c r="CP397" i="1" s="1"/>
  <c r="O397" i="1" s="1"/>
  <c r="W394" i="1"/>
  <c r="AD388" i="1"/>
  <c r="CY339" i="1"/>
  <c r="X339" i="1" s="1"/>
  <c r="CZ339" i="1"/>
  <c r="Y339" i="1" s="1"/>
  <c r="AD335" i="1"/>
  <c r="AB335" i="1" s="1"/>
  <c r="CR418" i="1"/>
  <c r="Q418" i="1" s="1"/>
  <c r="CS418" i="1"/>
  <c r="AD397" i="1"/>
  <c r="AB397" i="1" s="1"/>
  <c r="W395" i="1"/>
  <c r="V394" i="1"/>
  <c r="AB343" i="1"/>
  <c r="CQ335" i="1"/>
  <c r="P335" i="1" s="1"/>
  <c r="CP326" i="1"/>
  <c r="O326" i="1" s="1"/>
  <c r="CY320" i="1"/>
  <c r="X320" i="1" s="1"/>
  <c r="CZ320" i="1"/>
  <c r="Y320" i="1" s="1"/>
  <c r="AD418" i="1"/>
  <c r="P410" i="1"/>
  <c r="U395" i="1"/>
  <c r="U394" i="1"/>
  <c r="AB388" i="1"/>
  <c r="CP339" i="1"/>
  <c r="O339" i="1" s="1"/>
  <c r="CP324" i="1"/>
  <c r="O324" i="1" s="1"/>
  <c r="CR242" i="1"/>
  <c r="Q242" i="1" s="1"/>
  <c r="AD242" i="1"/>
  <c r="CS242" i="1"/>
  <c r="T394" i="1"/>
  <c r="AD393" i="1"/>
  <c r="AB393" i="1" s="1"/>
  <c r="CR346" i="1"/>
  <c r="Q346" i="1" s="1"/>
  <c r="CS346" i="1"/>
  <c r="R346" i="1" s="1"/>
  <c r="GK346" i="1" s="1"/>
  <c r="CY342" i="1"/>
  <c r="X342" i="1" s="1"/>
  <c r="CZ342" i="1"/>
  <c r="Y342" i="1" s="1"/>
  <c r="CZ341" i="1"/>
  <c r="Y341" i="1" s="1"/>
  <c r="CY341" i="1"/>
  <c r="X341" i="1" s="1"/>
  <c r="R332" i="1"/>
  <c r="AB418" i="1"/>
  <c r="AD399" i="1"/>
  <c r="AB399" i="1" s="1"/>
  <c r="S394" i="1"/>
  <c r="CZ387" i="1"/>
  <c r="Y387" i="1" s="1"/>
  <c r="CR384" i="1"/>
  <c r="Q384" i="1" s="1"/>
  <c r="CS384" i="1"/>
  <c r="AD346" i="1"/>
  <c r="AB346" i="1" s="1"/>
  <c r="Q332" i="1"/>
  <c r="CQ331" i="1"/>
  <c r="P331" i="1" s="1"/>
  <c r="CY246" i="1"/>
  <c r="X246" i="1" s="1"/>
  <c r="CZ246" i="1"/>
  <c r="Y246" i="1" s="1"/>
  <c r="AB422" i="1"/>
  <c r="CQ415" i="1"/>
  <c r="P415" i="1" s="1"/>
  <c r="CS405" i="1"/>
  <c r="T402" i="1"/>
  <c r="AB400" i="1"/>
  <c r="CP399" i="1"/>
  <c r="O399" i="1" s="1"/>
  <c r="GM399" i="1" s="1"/>
  <c r="GP399" i="1" s="1"/>
  <c r="CR395" i="1"/>
  <c r="Q395" i="1" s="1"/>
  <c r="CR394" i="1"/>
  <c r="Q394" i="1" s="1"/>
  <c r="AD394" i="1"/>
  <c r="AB394" i="1" s="1"/>
  <c r="AD384" i="1"/>
  <c r="AB384" i="1" s="1"/>
  <c r="AO349" i="1"/>
  <c r="CP346" i="1"/>
  <c r="O346" i="1" s="1"/>
  <c r="CZ337" i="1"/>
  <c r="Y337" i="1" s="1"/>
  <c r="CY337" i="1"/>
  <c r="X337" i="1" s="1"/>
  <c r="CY336" i="1"/>
  <c r="X336" i="1" s="1"/>
  <c r="CZ336" i="1"/>
  <c r="Y336" i="1" s="1"/>
  <c r="P332" i="1"/>
  <c r="CP321" i="1"/>
  <c r="O321" i="1" s="1"/>
  <c r="W235" i="1"/>
  <c r="CS236" i="1"/>
  <c r="R236" i="1" s="1"/>
  <c r="GK236" i="1" s="1"/>
  <c r="AD236" i="1"/>
  <c r="AB236" i="1" s="1"/>
  <c r="CR236" i="1"/>
  <c r="Q236" i="1" s="1"/>
  <c r="CY194" i="1"/>
  <c r="X194" i="1" s="1"/>
  <c r="CZ194" i="1"/>
  <c r="Y194" i="1" s="1"/>
  <c r="CR191" i="1"/>
  <c r="Q191" i="1" s="1"/>
  <c r="CS191" i="1"/>
  <c r="R191" i="1" s="1"/>
  <c r="GK191" i="1" s="1"/>
  <c r="T332" i="1"/>
  <c r="CP239" i="1"/>
  <c r="O239" i="1" s="1"/>
  <c r="CS197" i="1"/>
  <c r="AD197" i="1"/>
  <c r="AB197" i="1" s="1"/>
  <c r="CR197" i="1"/>
  <c r="Q197" i="1" s="1"/>
  <c r="W344" i="1"/>
  <c r="CP333" i="1"/>
  <c r="O333" i="1" s="1"/>
  <c r="CQ197" i="1"/>
  <c r="P197" i="1" s="1"/>
  <c r="CB349" i="1"/>
  <c r="AD245" i="1"/>
  <c r="CR245" i="1"/>
  <c r="Q245" i="1" s="1"/>
  <c r="CS245" i="1"/>
  <c r="CY241" i="1"/>
  <c r="X241" i="1" s="1"/>
  <c r="AF147" i="1"/>
  <c r="S157" i="1"/>
  <c r="CY197" i="1"/>
  <c r="X197" i="1" s="1"/>
  <c r="CZ197" i="1"/>
  <c r="Y197" i="1" s="1"/>
  <c r="AD327" i="1"/>
  <c r="AB327" i="1" s="1"/>
  <c r="CR327" i="1"/>
  <c r="Q327" i="1" s="1"/>
  <c r="CP327" i="1" s="1"/>
  <c r="O327" i="1" s="1"/>
  <c r="CS327" i="1"/>
  <c r="CY319" i="1"/>
  <c r="X319" i="1" s="1"/>
  <c r="CZ319" i="1"/>
  <c r="Y319" i="1" s="1"/>
  <c r="AB245" i="1"/>
  <c r="CY244" i="1"/>
  <c r="X244" i="1" s="1"/>
  <c r="CZ244" i="1"/>
  <c r="Y244" i="1" s="1"/>
  <c r="AB389" i="1"/>
  <c r="GM234" i="1"/>
  <c r="GP234" i="1" s="1"/>
  <c r="CP325" i="1"/>
  <c r="O325" i="1" s="1"/>
  <c r="F255" i="1"/>
  <c r="AO232" i="1"/>
  <c r="CQ194" i="1"/>
  <c r="P194" i="1" s="1"/>
  <c r="AD391" i="1"/>
  <c r="AB391" i="1" s="1"/>
  <c r="CR347" i="1"/>
  <c r="Q347" i="1" s="1"/>
  <c r="CP347" i="1" s="1"/>
  <c r="O347" i="1" s="1"/>
  <c r="CS347" i="1"/>
  <c r="R347" i="1" s="1"/>
  <c r="GK347" i="1" s="1"/>
  <c r="BZ349" i="1"/>
  <c r="CY195" i="1"/>
  <c r="X195" i="1" s="1"/>
  <c r="CZ195" i="1"/>
  <c r="Y195" i="1" s="1"/>
  <c r="CZ193" i="1"/>
  <c r="Y193" i="1" s="1"/>
  <c r="CY193" i="1"/>
  <c r="X193" i="1" s="1"/>
  <c r="CR385" i="1"/>
  <c r="Q385" i="1" s="1"/>
  <c r="CP385" i="1" s="1"/>
  <c r="O385" i="1" s="1"/>
  <c r="CS385" i="1"/>
  <c r="F365" i="1"/>
  <c r="AD347" i="1"/>
  <c r="AB347" i="1" s="1"/>
  <c r="CR343" i="1"/>
  <c r="Q343" i="1" s="1"/>
  <c r="CP343" i="1" s="1"/>
  <c r="O343" i="1" s="1"/>
  <c r="CS343" i="1"/>
  <c r="R343" i="1" s="1"/>
  <c r="GK343" i="1" s="1"/>
  <c r="CY322" i="1"/>
  <c r="X322" i="1" s="1"/>
  <c r="CZ322" i="1"/>
  <c r="Y322" i="1" s="1"/>
  <c r="Q320" i="1"/>
  <c r="P235" i="1"/>
  <c r="CY234" i="1"/>
  <c r="X234" i="1" s="1"/>
  <c r="CZ234" i="1"/>
  <c r="Y234" i="1" s="1"/>
  <c r="CG147" i="1"/>
  <c r="AX157" i="1"/>
  <c r="AG147" i="1"/>
  <c r="T157" i="1"/>
  <c r="CR319" i="1"/>
  <c r="Q319" i="1" s="1"/>
  <c r="CS319" i="1"/>
  <c r="U238" i="1"/>
  <c r="T235" i="1"/>
  <c r="CC189" i="1"/>
  <c r="AT200" i="1"/>
  <c r="CZ191" i="1"/>
  <c r="Y191" i="1" s="1"/>
  <c r="CY191" i="1"/>
  <c r="X191" i="1" s="1"/>
  <c r="CP153" i="1"/>
  <c r="O153" i="1" s="1"/>
  <c r="AD326" i="1"/>
  <c r="AB326" i="1" s="1"/>
  <c r="GX320" i="1"/>
  <c r="AD319" i="1"/>
  <c r="T238" i="1"/>
  <c r="S235" i="1"/>
  <c r="CY192" i="1"/>
  <c r="X192" i="1" s="1"/>
  <c r="CZ192" i="1"/>
  <c r="Y192" i="1" s="1"/>
  <c r="CR149" i="1"/>
  <c r="Q149" i="1" s="1"/>
  <c r="CS149" i="1"/>
  <c r="R149" i="1" s="1"/>
  <c r="GK149" i="1" s="1"/>
  <c r="AP115" i="1"/>
  <c r="BY109" i="1"/>
  <c r="AB329" i="1"/>
  <c r="CR325" i="1"/>
  <c r="Q325" i="1" s="1"/>
  <c r="CS325" i="1"/>
  <c r="CS320" i="1"/>
  <c r="AD320" i="1"/>
  <c r="AB320" i="1" s="1"/>
  <c r="AB242" i="1"/>
  <c r="S238" i="1"/>
  <c r="BZ189" i="1"/>
  <c r="AQ200" i="1"/>
  <c r="AD149" i="1"/>
  <c r="AB149" i="1" s="1"/>
  <c r="AD325" i="1"/>
  <c r="AB319" i="1"/>
  <c r="CS244" i="1"/>
  <c r="CR244" i="1"/>
  <c r="Q244" i="1" s="1"/>
  <c r="CP244" i="1" s="1"/>
  <c r="O244" i="1" s="1"/>
  <c r="AD244" i="1"/>
  <c r="GX238" i="1"/>
  <c r="CJ251" i="1" s="1"/>
  <c r="AD238" i="1"/>
  <c r="AB238" i="1" s="1"/>
  <c r="CR238" i="1"/>
  <c r="Q238" i="1" s="1"/>
  <c r="CS238" i="1"/>
  <c r="CI200" i="1"/>
  <c r="AP200" i="1"/>
  <c r="AB321" i="1"/>
  <c r="AB244" i="1"/>
  <c r="CG200" i="1"/>
  <c r="BX189" i="1"/>
  <c r="AO200" i="1"/>
  <c r="AB192" i="1"/>
  <c r="AG30" i="1"/>
  <c r="T37" i="1"/>
  <c r="AB325" i="1"/>
  <c r="AD323" i="1"/>
  <c r="AD322" i="1"/>
  <c r="AB322" i="1" s="1"/>
  <c r="GX235" i="1"/>
  <c r="BD189" i="1"/>
  <c r="F225" i="1"/>
  <c r="CQ196" i="1"/>
  <c r="P196" i="1" s="1"/>
  <c r="AB196" i="1"/>
  <c r="X157" i="1"/>
  <c r="AK147" i="1"/>
  <c r="CY32" i="1"/>
  <c r="X32" i="1" s="1"/>
  <c r="CZ32" i="1"/>
  <c r="Y32" i="1" s="1"/>
  <c r="AF37" i="1"/>
  <c r="AB323" i="1"/>
  <c r="CP322" i="1"/>
  <c r="O322" i="1" s="1"/>
  <c r="CB251" i="1"/>
  <c r="W236" i="1"/>
  <c r="F217" i="1"/>
  <c r="BB69" i="1"/>
  <c r="AD339" i="1"/>
  <c r="AB339" i="1" s="1"/>
  <c r="CR331" i="1"/>
  <c r="Q331" i="1" s="1"/>
  <c r="CS331" i="1"/>
  <c r="CS326" i="1"/>
  <c r="CP247" i="1"/>
  <c r="O247" i="1" s="1"/>
  <c r="V236" i="1"/>
  <c r="CR235" i="1"/>
  <c r="Q235" i="1" s="1"/>
  <c r="CS235" i="1"/>
  <c r="R235" i="1" s="1"/>
  <c r="GK235" i="1" s="1"/>
  <c r="BB157" i="1"/>
  <c r="CK147" i="1"/>
  <c r="AI147" i="1"/>
  <c r="V157" i="1"/>
  <c r="CJ109" i="1"/>
  <c r="BA115" i="1"/>
  <c r="BA77" i="1"/>
  <c r="CP35" i="1"/>
  <c r="O35" i="1" s="1"/>
  <c r="AD331" i="1"/>
  <c r="AB331" i="1" s="1"/>
  <c r="AB328" i="1"/>
  <c r="CR248" i="1"/>
  <c r="Q248" i="1" s="1"/>
  <c r="CP248" i="1" s="1"/>
  <c r="O248" i="1" s="1"/>
  <c r="CS248" i="1"/>
  <c r="R248" i="1" s="1"/>
  <c r="GK248" i="1" s="1"/>
  <c r="CP240" i="1"/>
  <c r="O240" i="1" s="1"/>
  <c r="GM240" i="1" s="1"/>
  <c r="GP240" i="1" s="1"/>
  <c r="BZ251" i="1"/>
  <c r="U236" i="1"/>
  <c r="AD235" i="1"/>
  <c r="AB235" i="1" s="1"/>
  <c r="CI115" i="1"/>
  <c r="CR155" i="1"/>
  <c r="Q155" i="1" s="1"/>
  <c r="CP155" i="1" s="1"/>
  <c r="O155" i="1" s="1"/>
  <c r="CS155" i="1"/>
  <c r="R155" i="1" s="1"/>
  <c r="GK155" i="1" s="1"/>
  <c r="BB115" i="1"/>
  <c r="CK109" i="1"/>
  <c r="AH147" i="1"/>
  <c r="U157" i="1"/>
  <c r="CP149" i="1"/>
  <c r="O149" i="1" s="1"/>
  <c r="CG109" i="1"/>
  <c r="AX115" i="1"/>
  <c r="CR71" i="1"/>
  <c r="Q71" i="1" s="1"/>
  <c r="CS71" i="1"/>
  <c r="AH200" i="1"/>
  <c r="F167" i="1"/>
  <c r="AQ147" i="1"/>
  <c r="AE147" i="1"/>
  <c r="R157" i="1"/>
  <c r="CY150" i="1"/>
  <c r="X150" i="1" s="1"/>
  <c r="CI157" i="1"/>
  <c r="CS150" i="1"/>
  <c r="R150" i="1" s="1"/>
  <c r="GK150" i="1" s="1"/>
  <c r="AD150" i="1"/>
  <c r="AB150" i="1" s="1"/>
  <c r="CR150" i="1"/>
  <c r="Q150" i="1" s="1"/>
  <c r="CP112" i="1"/>
  <c r="O112" i="1" s="1"/>
  <c r="AB248" i="1"/>
  <c r="AD246" i="1"/>
  <c r="AB246" i="1" s="1"/>
  <c r="AD241" i="1"/>
  <c r="AB241" i="1" s="1"/>
  <c r="AD234" i="1"/>
  <c r="AB234" i="1" s="1"/>
  <c r="AF200" i="1"/>
  <c r="CY196" i="1"/>
  <c r="X196" i="1" s="1"/>
  <c r="CE157" i="1"/>
  <c r="AO157" i="1"/>
  <c r="CH157" i="1"/>
  <c r="CF157" i="1"/>
  <c r="W155" i="1"/>
  <c r="AI77" i="1"/>
  <c r="AH77" i="1"/>
  <c r="U155" i="1"/>
  <c r="BC147" i="1"/>
  <c r="F173" i="1"/>
  <c r="V155" i="1"/>
  <c r="CR34" i="1"/>
  <c r="Q34" i="1" s="1"/>
  <c r="CS34" i="1"/>
  <c r="AD34" i="1"/>
  <c r="AB34" i="1" s="1"/>
  <c r="CY33" i="1"/>
  <c r="X33" i="1" s="1"/>
  <c r="CZ33" i="1"/>
  <c r="Y33" i="1" s="1"/>
  <c r="AT37" i="1"/>
  <c r="CC30" i="1"/>
  <c r="BC251" i="1"/>
  <c r="P192" i="1"/>
  <c r="CP192" i="1" s="1"/>
  <c r="O192" i="1" s="1"/>
  <c r="BA147" i="1"/>
  <c r="F177" i="1"/>
  <c r="CY35" i="1"/>
  <c r="X35" i="1" s="1"/>
  <c r="CZ35" i="1"/>
  <c r="Y35" i="1" s="1"/>
  <c r="BY251" i="1"/>
  <c r="CY198" i="1"/>
  <c r="X198" i="1" s="1"/>
  <c r="CZ198" i="1"/>
  <c r="Y198" i="1" s="1"/>
  <c r="V191" i="1"/>
  <c r="T155" i="1"/>
  <c r="V197" i="1"/>
  <c r="AI200" i="1" s="1"/>
  <c r="AP157" i="1"/>
  <c r="S155" i="1"/>
  <c r="F132" i="1"/>
  <c r="AS109" i="1"/>
  <c r="P111" i="1"/>
  <c r="CP33" i="1"/>
  <c r="O33" i="1" s="1"/>
  <c r="BY30" i="1"/>
  <c r="AP37" i="1"/>
  <c r="CI37" i="1"/>
  <c r="W111" i="1"/>
  <c r="AJ115" i="1" s="1"/>
  <c r="BZ30" i="1"/>
  <c r="AQ37" i="1"/>
  <c r="V111" i="1"/>
  <c r="AI115" i="1" s="1"/>
  <c r="BD69" i="1"/>
  <c r="AB155" i="1"/>
  <c r="CY151" i="1"/>
  <c r="X151" i="1" s="1"/>
  <c r="CZ151" i="1"/>
  <c r="Y151" i="1" s="1"/>
  <c r="U111" i="1"/>
  <c r="CB69" i="1"/>
  <c r="AS77" i="1"/>
  <c r="CR196" i="1"/>
  <c r="Q196" i="1" s="1"/>
  <c r="CS196" i="1"/>
  <c r="R192" i="1"/>
  <c r="GK192" i="1" s="1"/>
  <c r="CR73" i="1"/>
  <c r="Q73" i="1" s="1"/>
  <c r="CS73" i="1"/>
  <c r="AD73" i="1"/>
  <c r="AB73" i="1" s="1"/>
  <c r="BX30" i="1"/>
  <c r="AO37" i="1"/>
  <c r="CG37" i="1"/>
  <c r="BB37" i="1"/>
  <c r="Y157" i="1"/>
  <c r="AL147" i="1"/>
  <c r="T111" i="1"/>
  <c r="AG115" i="1" s="1"/>
  <c r="CZ72" i="1"/>
  <c r="Y72" i="1" s="1"/>
  <c r="CY72" i="1"/>
  <c r="X72" i="1" s="1"/>
  <c r="GX149" i="1"/>
  <c r="AR147" i="1"/>
  <c r="W112" i="1"/>
  <c r="S111" i="1"/>
  <c r="AO109" i="1"/>
  <c r="CR75" i="1"/>
  <c r="Q75" i="1" s="1"/>
  <c r="CP75" i="1" s="1"/>
  <c r="O75" i="1" s="1"/>
  <c r="CS75" i="1"/>
  <c r="R75" i="1" s="1"/>
  <c r="GK75" i="1" s="1"/>
  <c r="T71" i="1"/>
  <c r="AG77" i="1" s="1"/>
  <c r="W157" i="1"/>
  <c r="AJ147" i="1"/>
  <c r="Q152" i="1"/>
  <c r="V150" i="1"/>
  <c r="V112" i="1"/>
  <c r="CR111" i="1"/>
  <c r="Q111" i="1" s="1"/>
  <c r="AD115" i="1" s="1"/>
  <c r="CS111" i="1"/>
  <c r="CG77" i="1"/>
  <c r="AD75" i="1"/>
  <c r="AB75" i="1" s="1"/>
  <c r="S71" i="1"/>
  <c r="CY34" i="1"/>
  <c r="X34" i="1" s="1"/>
  <c r="CZ34" i="1"/>
  <c r="Y34" i="1" s="1"/>
  <c r="CJ37" i="1"/>
  <c r="CB30" i="1"/>
  <c r="AS37" i="1"/>
  <c r="BB200" i="1"/>
  <c r="AB112" i="1"/>
  <c r="AC37" i="1"/>
  <c r="AU157" i="1"/>
  <c r="AO77" i="1"/>
  <c r="CP32" i="1"/>
  <c r="O32" i="1" s="1"/>
  <c r="AT157" i="1"/>
  <c r="W37" i="1"/>
  <c r="AI37" i="1"/>
  <c r="BD37" i="1"/>
  <c r="BC37" i="1"/>
  <c r="AD32" i="1"/>
  <c r="AB32" i="1" s="1"/>
  <c r="K1224" i="8" l="1"/>
  <c r="J1218" i="7"/>
  <c r="CP843" i="1"/>
  <c r="O843" i="1" s="1"/>
  <c r="T529" i="7"/>
  <c r="J533" i="7" s="1"/>
  <c r="T535" i="8"/>
  <c r="K539" i="8" s="1"/>
  <c r="R475" i="7"/>
  <c r="J478" i="7" s="1"/>
  <c r="R481" i="8"/>
  <c r="K484" i="8" s="1"/>
  <c r="R1089" i="7"/>
  <c r="J1092" i="7" s="1"/>
  <c r="R1095" i="8"/>
  <c r="K1098" i="8" s="1"/>
  <c r="R1144" i="8"/>
  <c r="K1147" i="8" s="1"/>
  <c r="R1138" i="7"/>
  <c r="J1141" i="7" s="1"/>
  <c r="GM397" i="1"/>
  <c r="GP397" i="1" s="1"/>
  <c r="GM426" i="1"/>
  <c r="GP426" i="1" s="1"/>
  <c r="R750" i="7"/>
  <c r="J754" i="7" s="1"/>
  <c r="R756" i="8"/>
  <c r="K760" i="8" s="1"/>
  <c r="R1158" i="8"/>
  <c r="K1161" i="8" s="1"/>
  <c r="R1152" i="7"/>
  <c r="J1155" i="7" s="1"/>
  <c r="J965" i="7"/>
  <c r="K971" i="8"/>
  <c r="T395" i="7"/>
  <c r="J400" i="7" s="1"/>
  <c r="T401" i="8"/>
  <c r="K406" i="8" s="1"/>
  <c r="GM391" i="1"/>
  <c r="GP391" i="1" s="1"/>
  <c r="R920" i="8"/>
  <c r="K924" i="8" s="1"/>
  <c r="R914" i="7"/>
  <c r="J918" i="7" s="1"/>
  <c r="R1151" i="8"/>
  <c r="K1154" i="8" s="1"/>
  <c r="R1145" i="7"/>
  <c r="J1148" i="7" s="1"/>
  <c r="T792" i="8"/>
  <c r="K798" i="8" s="1"/>
  <c r="T786" i="7"/>
  <c r="J792" i="7" s="1"/>
  <c r="R1263" i="8"/>
  <c r="K1267" i="8" s="1"/>
  <c r="R1257" i="7"/>
  <c r="J1261" i="7" s="1"/>
  <c r="GM845" i="1"/>
  <c r="GP845" i="1" s="1"/>
  <c r="T717" i="7"/>
  <c r="J721" i="7" s="1"/>
  <c r="T723" i="8"/>
  <c r="K727" i="8" s="1"/>
  <c r="R1173" i="7"/>
  <c r="J1178" i="7" s="1"/>
  <c r="R1179" i="8"/>
  <c r="K1184" i="8" s="1"/>
  <c r="J294" i="7"/>
  <c r="K300" i="8"/>
  <c r="AF349" i="1"/>
  <c r="AF317" i="1" s="1"/>
  <c r="AJ317" i="1"/>
  <c r="W349" i="1"/>
  <c r="T334" i="7"/>
  <c r="J338" i="7" s="1"/>
  <c r="T340" i="8"/>
  <c r="K344" i="8" s="1"/>
  <c r="GM395" i="1"/>
  <c r="GP395" i="1" s="1"/>
  <c r="J443" i="7"/>
  <c r="K449" i="8"/>
  <c r="R303" i="7"/>
  <c r="J307" i="7" s="1"/>
  <c r="R309" i="8"/>
  <c r="K313" i="8" s="1"/>
  <c r="AG595" i="1"/>
  <c r="T630" i="1"/>
  <c r="F651" i="1" s="1"/>
  <c r="GM414" i="1"/>
  <c r="GP414" i="1" s="1"/>
  <c r="J882" i="7"/>
  <c r="K888" i="8"/>
  <c r="GM762" i="1"/>
  <c r="GP762" i="1" s="1"/>
  <c r="R540" i="1"/>
  <c r="GK540" i="1" s="1"/>
  <c r="V679" i="7"/>
  <c r="V685" i="8"/>
  <c r="L941" i="8"/>
  <c r="K935" i="7"/>
  <c r="V906" i="7"/>
  <c r="V912" i="8"/>
  <c r="R756" i="1"/>
  <c r="GK756" i="1" s="1"/>
  <c r="AO662" i="1"/>
  <c r="F670" i="1"/>
  <c r="R1022" i="7"/>
  <c r="J1025" i="7" s="1"/>
  <c r="R1028" i="8"/>
  <c r="K1031" i="8" s="1"/>
  <c r="R397" i="1"/>
  <c r="GK397" i="1" s="1"/>
  <c r="V455" i="7"/>
  <c r="V461" i="8"/>
  <c r="J137" i="7"/>
  <c r="K143" i="8"/>
  <c r="K438" i="8"/>
  <c r="J444" i="8" s="1"/>
  <c r="J432" i="7"/>
  <c r="CZ611" i="1"/>
  <c r="Y611" i="1" s="1"/>
  <c r="K783" i="8"/>
  <c r="J777" i="7"/>
  <c r="CY611" i="1"/>
  <c r="X611" i="1" s="1"/>
  <c r="CY739" i="1"/>
  <c r="X739" i="1" s="1"/>
  <c r="J838" i="7"/>
  <c r="K844" i="8"/>
  <c r="CZ739" i="1"/>
  <c r="Y739" i="1" s="1"/>
  <c r="T508" i="7"/>
  <c r="J512" i="7" s="1"/>
  <c r="T514" i="8"/>
  <c r="K518" i="8" s="1"/>
  <c r="CP826" i="1"/>
  <c r="O826" i="1" s="1"/>
  <c r="V1007" i="7"/>
  <c r="V1013" i="8"/>
  <c r="R790" i="1"/>
  <c r="GK790" i="1" s="1"/>
  <c r="GM790" i="1" s="1"/>
  <c r="GP790" i="1" s="1"/>
  <c r="F125" i="1"/>
  <c r="GM417" i="1"/>
  <c r="GP417" i="1" s="1"/>
  <c r="T443" i="7"/>
  <c r="T449" i="8"/>
  <c r="CP626" i="1"/>
  <c r="O626" i="1" s="1"/>
  <c r="CZ443" i="1"/>
  <c r="Y443" i="1" s="1"/>
  <c r="GM443" i="1" s="1"/>
  <c r="GP443" i="1" s="1"/>
  <c r="R1013" i="8"/>
  <c r="K1017" i="8" s="1"/>
  <c r="R1007" i="7"/>
  <c r="J1011" i="7" s="1"/>
  <c r="R822" i="1"/>
  <c r="GK822" i="1" s="1"/>
  <c r="V1124" i="7"/>
  <c r="V1130" i="8"/>
  <c r="R1185" i="7"/>
  <c r="J1189" i="7" s="1"/>
  <c r="R1191" i="8"/>
  <c r="K1195" i="8" s="1"/>
  <c r="J1198" i="8" s="1"/>
  <c r="J213" i="7"/>
  <c r="K219" i="8"/>
  <c r="J493" i="7"/>
  <c r="K499" i="8"/>
  <c r="K480" i="7"/>
  <c r="L486" i="8"/>
  <c r="J509" i="7"/>
  <c r="K515" i="8"/>
  <c r="J520" i="8" s="1"/>
  <c r="CY856" i="1"/>
  <c r="X856" i="1" s="1"/>
  <c r="J1275" i="7"/>
  <c r="K1281" i="8"/>
  <c r="V416" i="7"/>
  <c r="V422" i="8"/>
  <c r="R391" i="1"/>
  <c r="GK391" i="1" s="1"/>
  <c r="I1054" i="7"/>
  <c r="L69" i="8"/>
  <c r="K63" i="7"/>
  <c r="R555" i="1"/>
  <c r="GK555" i="1" s="1"/>
  <c r="V723" i="8"/>
  <c r="V717" i="7"/>
  <c r="AG251" i="1"/>
  <c r="AG232" i="1" s="1"/>
  <c r="J191" i="7"/>
  <c r="K197" i="8"/>
  <c r="R384" i="1"/>
  <c r="V363" i="7"/>
  <c r="J369" i="7" s="1"/>
  <c r="I371" i="7" s="1"/>
  <c r="V369" i="8"/>
  <c r="K375" i="8" s="1"/>
  <c r="R341" i="7"/>
  <c r="J344" i="7" s="1"/>
  <c r="R347" i="8"/>
  <c r="K350" i="8" s="1"/>
  <c r="J353" i="8" s="1"/>
  <c r="R260" i="7"/>
  <c r="J263" i="7" s="1"/>
  <c r="I266" i="7" s="1"/>
  <c r="R266" i="8"/>
  <c r="K269" i="8" s="1"/>
  <c r="R340" i="1"/>
  <c r="GK340" i="1" s="1"/>
  <c r="V348" i="7"/>
  <c r="V354" i="8"/>
  <c r="CY388" i="1"/>
  <c r="X388" i="1" s="1"/>
  <c r="T523" i="7"/>
  <c r="J526" i="7" s="1"/>
  <c r="T529" i="8"/>
  <c r="K532" i="8" s="1"/>
  <c r="GM533" i="1"/>
  <c r="GP533" i="1" s="1"/>
  <c r="GM516" i="1"/>
  <c r="GP516" i="1" s="1"/>
  <c r="CZ561" i="1"/>
  <c r="Y561" i="1" s="1"/>
  <c r="GM559" i="1"/>
  <c r="GP559" i="1" s="1"/>
  <c r="AP445" i="1"/>
  <c r="AP475" i="1" s="1"/>
  <c r="R1029" i="7"/>
  <c r="J1034" i="7" s="1"/>
  <c r="R1035" i="8"/>
  <c r="K1040" i="8" s="1"/>
  <c r="AS975" i="1"/>
  <c r="V292" i="7"/>
  <c r="J300" i="7" s="1"/>
  <c r="V298" i="8"/>
  <c r="K306" i="8" s="1"/>
  <c r="J689" i="7"/>
  <c r="K695" i="8"/>
  <c r="CY548" i="1"/>
  <c r="X548" i="1" s="1"/>
  <c r="CZ548" i="1"/>
  <c r="Y548" i="1" s="1"/>
  <c r="K784" i="8"/>
  <c r="J778" i="7"/>
  <c r="J980" i="7"/>
  <c r="K986" i="8"/>
  <c r="CY781" i="1"/>
  <c r="X781" i="1" s="1"/>
  <c r="J987" i="7"/>
  <c r="K993" i="8"/>
  <c r="CZ781" i="1"/>
  <c r="Y781" i="1" s="1"/>
  <c r="CY894" i="1"/>
  <c r="X894" i="1" s="1"/>
  <c r="GM894" i="1" s="1"/>
  <c r="GP894" i="1" s="1"/>
  <c r="CZ894" i="1"/>
  <c r="Y894" i="1" s="1"/>
  <c r="T1048" i="7"/>
  <c r="J1052" i="7" s="1"/>
  <c r="T1054" i="8"/>
  <c r="K1058" i="8" s="1"/>
  <c r="K1333" i="8"/>
  <c r="J1327" i="7"/>
  <c r="T567" i="7"/>
  <c r="J572" i="7" s="1"/>
  <c r="T573" i="8"/>
  <c r="K578" i="8" s="1"/>
  <c r="R834" i="1"/>
  <c r="V1179" i="8"/>
  <c r="K1186" i="8" s="1"/>
  <c r="V1173" i="7"/>
  <c r="J1180" i="7" s="1"/>
  <c r="CP411" i="1"/>
  <c r="O411" i="1" s="1"/>
  <c r="AH30" i="1"/>
  <c r="U37" i="1"/>
  <c r="CP792" i="1"/>
  <c r="O792" i="1" s="1"/>
  <c r="GM792" i="1" s="1"/>
  <c r="GP792" i="1" s="1"/>
  <c r="K1030" i="8"/>
  <c r="J1034" i="8" s="1"/>
  <c r="J1024" i="7"/>
  <c r="I1028" i="7" s="1"/>
  <c r="T1179" i="8"/>
  <c r="K1185" i="8" s="1"/>
  <c r="T1173" i="7"/>
  <c r="J1179" i="7" s="1"/>
  <c r="V1302" i="7"/>
  <c r="J1309" i="7" s="1"/>
  <c r="V1308" i="8"/>
  <c r="K1315" i="8" s="1"/>
  <c r="R961" i="1"/>
  <c r="J690" i="7"/>
  <c r="K696" i="8"/>
  <c r="R807" i="1"/>
  <c r="GK807" i="1" s="1"/>
  <c r="V1070" i="7"/>
  <c r="V1076" i="8"/>
  <c r="K748" i="7"/>
  <c r="L754" i="8"/>
  <c r="J830" i="7"/>
  <c r="K836" i="8"/>
  <c r="CY735" i="1"/>
  <c r="X735" i="1" s="1"/>
  <c r="CZ735" i="1"/>
  <c r="Y735" i="1" s="1"/>
  <c r="J1313" i="7"/>
  <c r="K1319" i="8"/>
  <c r="J379" i="7"/>
  <c r="K385" i="8"/>
  <c r="GM321" i="1"/>
  <c r="GP321" i="1" s="1"/>
  <c r="CZ558" i="1"/>
  <c r="Y558" i="1" s="1"/>
  <c r="T979" i="7"/>
  <c r="J983" i="7" s="1"/>
  <c r="T985" i="8"/>
  <c r="K989" i="8" s="1"/>
  <c r="R735" i="1"/>
  <c r="GK735" i="1" s="1"/>
  <c r="V834" i="8"/>
  <c r="V828" i="7"/>
  <c r="J560" i="7"/>
  <c r="K566" i="8"/>
  <c r="K1174" i="8"/>
  <c r="J1168" i="7"/>
  <c r="K217" i="7"/>
  <c r="L223" i="8"/>
  <c r="J1078" i="7"/>
  <c r="K1084" i="8"/>
  <c r="J577" i="7"/>
  <c r="K583" i="8"/>
  <c r="CP320" i="1"/>
  <c r="O320" i="1" s="1"/>
  <c r="GM320" i="1" s="1"/>
  <c r="GP320" i="1" s="1"/>
  <c r="J222" i="7"/>
  <c r="K228" i="8"/>
  <c r="R245" i="1"/>
  <c r="V189" i="7"/>
  <c r="J195" i="7" s="1"/>
  <c r="V195" i="8"/>
  <c r="K201" i="8" s="1"/>
  <c r="K303" i="8"/>
  <c r="J297" i="7"/>
  <c r="T341" i="7"/>
  <c r="J345" i="7" s="1"/>
  <c r="T347" i="8"/>
  <c r="K351" i="8" s="1"/>
  <c r="T260" i="7"/>
  <c r="J264" i="7" s="1"/>
  <c r="T266" i="8"/>
  <c r="K270" i="8" s="1"/>
  <c r="CY338" i="1"/>
  <c r="X338" i="1" s="1"/>
  <c r="R443" i="7"/>
  <c r="R449" i="8"/>
  <c r="GM542" i="1"/>
  <c r="GP542" i="1" s="1"/>
  <c r="CZ602" i="1"/>
  <c r="Y602" i="1" s="1"/>
  <c r="GM769" i="1"/>
  <c r="GP769" i="1" s="1"/>
  <c r="R743" i="1"/>
  <c r="GK743" i="1" s="1"/>
  <c r="V851" i="7"/>
  <c r="V857" i="8"/>
  <c r="GM552" i="1"/>
  <c r="GP552" i="1" s="1"/>
  <c r="CZ621" i="1"/>
  <c r="Y621" i="1" s="1"/>
  <c r="GM621" i="1" s="1"/>
  <c r="GP621" i="1" s="1"/>
  <c r="R906" i="7"/>
  <c r="J910" i="7" s="1"/>
  <c r="R912" i="8"/>
  <c r="K916" i="8" s="1"/>
  <c r="T1029" i="7"/>
  <c r="J1035" i="7" s="1"/>
  <c r="T1035" i="8"/>
  <c r="K1041" i="8" s="1"/>
  <c r="R1048" i="7"/>
  <c r="J1051" i="7" s="1"/>
  <c r="R1054" i="8"/>
  <c r="K1057" i="8" s="1"/>
  <c r="J1060" i="8" s="1"/>
  <c r="CP851" i="1"/>
  <c r="O851" i="1" s="1"/>
  <c r="R979" i="7"/>
  <c r="J982" i="7" s="1"/>
  <c r="R985" i="8"/>
  <c r="K988" i="8" s="1"/>
  <c r="GM822" i="1"/>
  <c r="GP822" i="1" s="1"/>
  <c r="GM850" i="1"/>
  <c r="GP850" i="1" s="1"/>
  <c r="T1185" i="7"/>
  <c r="J1190" i="7" s="1"/>
  <c r="T1191" i="8"/>
  <c r="K1196" i="8" s="1"/>
  <c r="K1138" i="8"/>
  <c r="J1132" i="7"/>
  <c r="CZ824" i="1"/>
  <c r="Y824" i="1" s="1"/>
  <c r="CY824" i="1"/>
  <c r="X824" i="1" s="1"/>
  <c r="J269" i="7"/>
  <c r="K275" i="8"/>
  <c r="K865" i="8"/>
  <c r="J859" i="7"/>
  <c r="CY745" i="1"/>
  <c r="X745" i="1" s="1"/>
  <c r="CZ745" i="1"/>
  <c r="Y745" i="1" s="1"/>
  <c r="J268" i="7"/>
  <c r="K274" i="8"/>
  <c r="L1228" i="8"/>
  <c r="K1222" i="7"/>
  <c r="R331" i="1"/>
  <c r="GK331" i="1" s="1"/>
  <c r="V285" i="7"/>
  <c r="V291" i="8"/>
  <c r="T236" i="7"/>
  <c r="J240" i="7" s="1"/>
  <c r="T242" i="8"/>
  <c r="K246" i="8" s="1"/>
  <c r="T320" i="7"/>
  <c r="J324" i="7" s="1"/>
  <c r="T326" i="8"/>
  <c r="K330" i="8" s="1"/>
  <c r="GM608" i="1"/>
  <c r="GP608" i="1" s="1"/>
  <c r="CP777" i="1"/>
  <c r="O777" i="1" s="1"/>
  <c r="J974" i="7"/>
  <c r="K980" i="8"/>
  <c r="GM802" i="1"/>
  <c r="GP802" i="1" s="1"/>
  <c r="T906" i="7"/>
  <c r="J911" i="7" s="1"/>
  <c r="T912" i="8"/>
  <c r="K917" i="8" s="1"/>
  <c r="F588" i="1"/>
  <c r="AH860" i="1"/>
  <c r="AH732" i="1" s="1"/>
  <c r="K885" i="7"/>
  <c r="L891" i="8"/>
  <c r="CZ853" i="1"/>
  <c r="Y853" i="1" s="1"/>
  <c r="L331" i="8"/>
  <c r="K325" i="7"/>
  <c r="J456" i="7"/>
  <c r="I460" i="7" s="1"/>
  <c r="K462" i="8"/>
  <c r="J466" i="8" s="1"/>
  <c r="R236" i="7"/>
  <c r="J239" i="7" s="1"/>
  <c r="R242" i="8"/>
  <c r="K245" i="8" s="1"/>
  <c r="GM336" i="1"/>
  <c r="GP336" i="1" s="1"/>
  <c r="R320" i="7"/>
  <c r="J323" i="7" s="1"/>
  <c r="R326" i="8"/>
  <c r="K329" i="8" s="1"/>
  <c r="K371" i="8"/>
  <c r="J377" i="8" s="1"/>
  <c r="J365" i="7"/>
  <c r="K446" i="7"/>
  <c r="L452" i="8"/>
  <c r="F374" i="1"/>
  <c r="CZ326" i="1"/>
  <c r="Y326" i="1" s="1"/>
  <c r="R426" i="1"/>
  <c r="GK426" i="1" s="1"/>
  <c r="V582" i="7"/>
  <c r="V588" i="8"/>
  <c r="T430" i="7"/>
  <c r="J435" i="7" s="1"/>
  <c r="T436" i="8"/>
  <c r="K441" i="8" s="1"/>
  <c r="R523" i="7"/>
  <c r="J525" i="7" s="1"/>
  <c r="I528" i="7" s="1"/>
  <c r="R529" i="8"/>
  <c r="K531" i="8" s="1"/>
  <c r="J534" i="8" s="1"/>
  <c r="GM780" i="1"/>
  <c r="GP780" i="1" s="1"/>
  <c r="GM612" i="1"/>
  <c r="GP612" i="1" s="1"/>
  <c r="CI445" i="1"/>
  <c r="AZ445" i="1" s="1"/>
  <c r="K895" i="8"/>
  <c r="J889" i="7"/>
  <c r="T1331" i="8"/>
  <c r="K1336" i="8" s="1"/>
  <c r="T1325" i="7"/>
  <c r="J1330" i="7" s="1"/>
  <c r="CZ856" i="1"/>
  <c r="Y856" i="1" s="1"/>
  <c r="R832" i="1"/>
  <c r="GK832" i="1" s="1"/>
  <c r="V1165" i="8"/>
  <c r="V1159" i="7"/>
  <c r="CP795" i="1"/>
  <c r="O795" i="1" s="1"/>
  <c r="J1033" i="7"/>
  <c r="K1039" i="8"/>
  <c r="J1044" i="8" s="1"/>
  <c r="R837" i="1"/>
  <c r="GK837" i="1" s="1"/>
  <c r="V1191" i="8"/>
  <c r="V1185" i="7"/>
  <c r="F924" i="1"/>
  <c r="CY783" i="1"/>
  <c r="X783" i="1" s="1"/>
  <c r="GM783" i="1" s="1"/>
  <c r="GP783" i="1" s="1"/>
  <c r="K1000" i="8"/>
  <c r="J994" i="7"/>
  <c r="F920" i="1"/>
  <c r="V892" i="1"/>
  <c r="J1162" i="7"/>
  <c r="K1168" i="8"/>
  <c r="J272" i="8"/>
  <c r="CP604" i="1"/>
  <c r="O604" i="1" s="1"/>
  <c r="GM604" i="1" s="1"/>
  <c r="GP604" i="1" s="1"/>
  <c r="K769" i="8"/>
  <c r="J774" i="8" s="1"/>
  <c r="J763" i="7"/>
  <c r="I768" i="7" s="1"/>
  <c r="CZ553" i="1"/>
  <c r="Y553" i="1" s="1"/>
  <c r="J702" i="7"/>
  <c r="K708" i="8"/>
  <c r="CY553" i="1"/>
  <c r="X553" i="1" s="1"/>
  <c r="J45" i="7"/>
  <c r="K51" i="8"/>
  <c r="AP77" i="1"/>
  <c r="BY69" i="1"/>
  <c r="T182" i="7"/>
  <c r="J186" i="7" s="1"/>
  <c r="T188" i="8"/>
  <c r="K192" i="8" s="1"/>
  <c r="J703" i="7"/>
  <c r="K709" i="8"/>
  <c r="K1180" i="8"/>
  <c r="J1174" i="7"/>
  <c r="T739" i="7"/>
  <c r="J746" i="7" s="1"/>
  <c r="T745" i="8"/>
  <c r="K752" i="8" s="1"/>
  <c r="J494" i="7"/>
  <c r="K500" i="8"/>
  <c r="R769" i="7"/>
  <c r="J772" i="7" s="1"/>
  <c r="R775" i="8"/>
  <c r="K778" i="8" s="1"/>
  <c r="J449" i="7"/>
  <c r="K455" i="8"/>
  <c r="K1289" i="8"/>
  <c r="J1283" i="7"/>
  <c r="R161" i="7"/>
  <c r="J166" i="7" s="1"/>
  <c r="R167" i="8"/>
  <c r="K172" i="8" s="1"/>
  <c r="J295" i="7"/>
  <c r="K301" i="8"/>
  <c r="W251" i="1"/>
  <c r="CP529" i="1"/>
  <c r="O529" i="1" s="1"/>
  <c r="J654" i="7"/>
  <c r="K660" i="8"/>
  <c r="GM820" i="1"/>
  <c r="GP820" i="1" s="1"/>
  <c r="R1117" i="7"/>
  <c r="J1120" i="7" s="1"/>
  <c r="I1123" i="7" s="1"/>
  <c r="R1123" i="8"/>
  <c r="K1126" i="8" s="1"/>
  <c r="J1129" i="8" s="1"/>
  <c r="R851" i="1"/>
  <c r="GK851" i="1" s="1"/>
  <c r="V1255" i="8"/>
  <c r="V1249" i="7"/>
  <c r="R826" i="1"/>
  <c r="GK826" i="1" s="1"/>
  <c r="V1138" i="7"/>
  <c r="V1144" i="8"/>
  <c r="CP812" i="1"/>
  <c r="O812" i="1" s="1"/>
  <c r="GM812" i="1" s="1"/>
  <c r="GP812" i="1" s="1"/>
  <c r="J1091" i="7"/>
  <c r="K1097" i="8"/>
  <c r="R241" i="1"/>
  <c r="V161" i="7"/>
  <c r="J168" i="7" s="1"/>
  <c r="V167" i="8"/>
  <c r="K174" i="8" s="1"/>
  <c r="R810" i="1"/>
  <c r="V1077" i="7"/>
  <c r="J1084" i="7" s="1"/>
  <c r="V1083" i="8"/>
  <c r="K1090" i="8" s="1"/>
  <c r="L948" i="8"/>
  <c r="K942" i="7"/>
  <c r="J553" i="7"/>
  <c r="K559" i="8"/>
  <c r="T591" i="7"/>
  <c r="J595" i="7" s="1"/>
  <c r="T597" i="8"/>
  <c r="K601" i="8" s="1"/>
  <c r="CP834" i="1"/>
  <c r="O834" i="1" s="1"/>
  <c r="J1175" i="7"/>
  <c r="K1181" i="8"/>
  <c r="R768" i="1"/>
  <c r="GK768" i="1" s="1"/>
  <c r="V944" i="7"/>
  <c r="V950" i="8"/>
  <c r="V491" i="7"/>
  <c r="J498" i="7" s="1"/>
  <c r="V497" i="8"/>
  <c r="K504" i="8" s="1"/>
  <c r="R406" i="1"/>
  <c r="T208" i="7"/>
  <c r="J215" i="7" s="1"/>
  <c r="T214" i="8"/>
  <c r="K221" i="8" s="1"/>
  <c r="R751" i="1"/>
  <c r="GK751" i="1" s="1"/>
  <c r="V887" i="7"/>
  <c r="V893" i="8"/>
  <c r="K379" i="8"/>
  <c r="J373" i="7"/>
  <c r="CZ385" i="1"/>
  <c r="Y385" i="1" s="1"/>
  <c r="CY385" i="1"/>
  <c r="X385" i="1" s="1"/>
  <c r="GM385" i="1" s="1"/>
  <c r="GP385" i="1" s="1"/>
  <c r="K1077" i="8"/>
  <c r="J1071" i="7"/>
  <c r="I291" i="7"/>
  <c r="I1102" i="7"/>
  <c r="R326" i="1"/>
  <c r="V267" i="7"/>
  <c r="J274" i="7" s="1"/>
  <c r="V273" i="8"/>
  <c r="K280" i="8" s="1"/>
  <c r="CP338" i="1"/>
  <c r="O338" i="1" s="1"/>
  <c r="J486" i="7"/>
  <c r="K492" i="8"/>
  <c r="CP558" i="1"/>
  <c r="O558" i="1" s="1"/>
  <c r="GM558" i="1" s="1"/>
  <c r="GP558" i="1" s="1"/>
  <c r="R244" i="1"/>
  <c r="GK244" i="1" s="1"/>
  <c r="V182" i="7"/>
  <c r="V188" i="8"/>
  <c r="R327" i="7"/>
  <c r="J330" i="7" s="1"/>
  <c r="R333" i="8"/>
  <c r="K336" i="8" s="1"/>
  <c r="T394" i="8"/>
  <c r="K398" i="8" s="1"/>
  <c r="T388" i="7"/>
  <c r="J392" i="7" s="1"/>
  <c r="R267" i="7"/>
  <c r="J272" i="7" s="1"/>
  <c r="R273" i="8"/>
  <c r="K278" i="8" s="1"/>
  <c r="T410" i="7"/>
  <c r="J413" i="7" s="1"/>
  <c r="T416" i="8"/>
  <c r="K419" i="8" s="1"/>
  <c r="R430" i="7"/>
  <c r="J434" i="7" s="1"/>
  <c r="R436" i="8"/>
  <c r="K440" i="8" s="1"/>
  <c r="CZ434" i="1"/>
  <c r="Y434" i="1" s="1"/>
  <c r="GM434" i="1" s="1"/>
  <c r="GP434" i="1" s="1"/>
  <c r="CZ425" i="1"/>
  <c r="Y425" i="1" s="1"/>
  <c r="GM387" i="1"/>
  <c r="GP387" i="1" s="1"/>
  <c r="K642" i="8"/>
  <c r="J636" i="7"/>
  <c r="T604" i="8"/>
  <c r="K608" i="8" s="1"/>
  <c r="T598" i="7"/>
  <c r="J602" i="7" s="1"/>
  <c r="R745" i="1"/>
  <c r="GK745" i="1" s="1"/>
  <c r="V858" i="7"/>
  <c r="V864" i="8"/>
  <c r="GM764" i="1"/>
  <c r="GP764" i="1" s="1"/>
  <c r="K972" i="8"/>
  <c r="J966" i="7"/>
  <c r="CP803" i="1"/>
  <c r="O803" i="1" s="1"/>
  <c r="GM803" i="1" s="1"/>
  <c r="GP803" i="1" s="1"/>
  <c r="R1325" i="7"/>
  <c r="J1329" i="7" s="1"/>
  <c r="R1331" i="8"/>
  <c r="K1335" i="8" s="1"/>
  <c r="CP832" i="1"/>
  <c r="O832" i="1" s="1"/>
  <c r="CZ826" i="1"/>
  <c r="Y826" i="1" s="1"/>
  <c r="CP833" i="1"/>
  <c r="O833" i="1" s="1"/>
  <c r="GM969" i="1"/>
  <c r="GP969" i="1" s="1"/>
  <c r="AS860" i="1"/>
  <c r="AS927" i="1" s="1"/>
  <c r="CY560" i="1"/>
  <c r="X560" i="1" s="1"/>
  <c r="CZ560" i="1"/>
  <c r="Y560" i="1" s="1"/>
  <c r="J38" i="7"/>
  <c r="I43" i="7" s="1"/>
  <c r="K44" i="8"/>
  <c r="K596" i="7"/>
  <c r="L602" i="8"/>
  <c r="GM423" i="1"/>
  <c r="GP423" i="1" s="1"/>
  <c r="CP857" i="1"/>
  <c r="O857" i="1" s="1"/>
  <c r="J210" i="7"/>
  <c r="I218" i="7" s="1"/>
  <c r="K216" i="8"/>
  <c r="CP561" i="1"/>
  <c r="O561" i="1" s="1"/>
  <c r="R73" i="1"/>
  <c r="V72" i="7"/>
  <c r="J79" i="7" s="1"/>
  <c r="V78" i="8"/>
  <c r="K85" i="8" s="1"/>
  <c r="GM343" i="1"/>
  <c r="GP343" i="1" s="1"/>
  <c r="J114" i="7"/>
  <c r="K120" i="8"/>
  <c r="T327" i="7"/>
  <c r="J331" i="7" s="1"/>
  <c r="T333" i="8"/>
  <c r="K337" i="8" s="1"/>
  <c r="J441" i="7"/>
  <c r="K447" i="8"/>
  <c r="R392" i="1"/>
  <c r="GK392" i="1" s="1"/>
  <c r="GM392" i="1" s="1"/>
  <c r="GP392" i="1" s="1"/>
  <c r="V423" i="7"/>
  <c r="V429" i="8"/>
  <c r="CP433" i="1"/>
  <c r="O433" i="1" s="1"/>
  <c r="GM433" i="1" s="1"/>
  <c r="GP433" i="1" s="1"/>
  <c r="K613" i="8"/>
  <c r="J617" i="8" s="1"/>
  <c r="J607" i="7"/>
  <c r="CY425" i="1"/>
  <c r="X425" i="1" s="1"/>
  <c r="R598" i="7"/>
  <c r="J601" i="7" s="1"/>
  <c r="R604" i="8"/>
  <c r="K607" i="8" s="1"/>
  <c r="CP611" i="1"/>
  <c r="O611" i="1" s="1"/>
  <c r="K786" i="8"/>
  <c r="J780" i="7"/>
  <c r="CP607" i="1"/>
  <c r="O607" i="1" s="1"/>
  <c r="T679" i="7"/>
  <c r="J683" i="7" s="1"/>
  <c r="T685" i="8"/>
  <c r="K689" i="8" s="1"/>
  <c r="CP615" i="1"/>
  <c r="O615" i="1" s="1"/>
  <c r="GM541" i="1"/>
  <c r="GP541" i="1" s="1"/>
  <c r="GM813" i="1"/>
  <c r="GP813" i="1" s="1"/>
  <c r="GM798" i="1"/>
  <c r="GP798" i="1" s="1"/>
  <c r="CZ807" i="1"/>
  <c r="Y807" i="1" s="1"/>
  <c r="GM807" i="1" s="1"/>
  <c r="GP807" i="1" s="1"/>
  <c r="CP831" i="1"/>
  <c r="O831" i="1" s="1"/>
  <c r="GM831" i="1" s="1"/>
  <c r="GP831" i="1" s="1"/>
  <c r="R973" i="1"/>
  <c r="GK973" i="1" s="1"/>
  <c r="V1344" i="7"/>
  <c r="V1350" i="8"/>
  <c r="J322" i="7"/>
  <c r="K328" i="8"/>
  <c r="J129" i="7"/>
  <c r="K135" i="8"/>
  <c r="AC251" i="1"/>
  <c r="CZ73" i="1"/>
  <c r="Y73" i="1" s="1"/>
  <c r="J74" i="7"/>
  <c r="K80" i="8"/>
  <c r="CY73" i="1"/>
  <c r="X73" i="1" s="1"/>
  <c r="K580" i="7"/>
  <c r="L586" i="8"/>
  <c r="J113" i="7"/>
  <c r="K119" i="8"/>
  <c r="J124" i="8" s="1"/>
  <c r="CY749" i="1"/>
  <c r="X749" i="1" s="1"/>
  <c r="J874" i="7"/>
  <c r="K880" i="8"/>
  <c r="CZ749" i="1"/>
  <c r="Y749" i="1" s="1"/>
  <c r="CP424" i="1"/>
  <c r="O424" i="1" s="1"/>
  <c r="GM424" i="1" s="1"/>
  <c r="GP424" i="1" s="1"/>
  <c r="J570" i="7"/>
  <c r="I574" i="7" s="1"/>
  <c r="K576" i="8"/>
  <c r="J744" i="7"/>
  <c r="K750" i="8"/>
  <c r="J680" i="7"/>
  <c r="K686" i="8"/>
  <c r="J691" i="8" s="1"/>
  <c r="CZ845" i="1"/>
  <c r="Y845" i="1" s="1"/>
  <c r="K1231" i="8"/>
  <c r="J1225" i="7"/>
  <c r="V844" i="7"/>
  <c r="V850" i="8"/>
  <c r="R741" i="1"/>
  <c r="GK741" i="1" s="1"/>
  <c r="V1145" i="7"/>
  <c r="V1151" i="8"/>
  <c r="R828" i="1"/>
  <c r="GK828" i="1" s="1"/>
  <c r="K1249" i="8"/>
  <c r="J1243" i="7"/>
  <c r="J653" i="7"/>
  <c r="K659" i="8"/>
  <c r="BC511" i="1"/>
  <c r="F579" i="1"/>
  <c r="K1131" i="8"/>
  <c r="J1125" i="7"/>
  <c r="I1130" i="7" s="1"/>
  <c r="J584" i="7"/>
  <c r="K590" i="8"/>
  <c r="CY426" i="1"/>
  <c r="X426" i="1" s="1"/>
  <c r="CZ426" i="1"/>
  <c r="Y426" i="1" s="1"/>
  <c r="V929" i="7"/>
  <c r="V935" i="8"/>
  <c r="K1209" i="8"/>
  <c r="J1203" i="7"/>
  <c r="J1319" i="7"/>
  <c r="K1325" i="8"/>
  <c r="CY519" i="1"/>
  <c r="X519" i="1" s="1"/>
  <c r="J633" i="7"/>
  <c r="K639" i="8"/>
  <c r="J183" i="7"/>
  <c r="I188" i="7" s="1"/>
  <c r="K189" i="8"/>
  <c r="J166" i="8"/>
  <c r="CY556" i="1"/>
  <c r="X556" i="1" s="1"/>
  <c r="GM556" i="1" s="1"/>
  <c r="GP556" i="1" s="1"/>
  <c r="CZ556" i="1"/>
  <c r="Y556" i="1" s="1"/>
  <c r="CP548" i="1"/>
  <c r="O548" i="1" s="1"/>
  <c r="V461" i="7"/>
  <c r="V467" i="8"/>
  <c r="R398" i="1"/>
  <c r="GK398" i="1" s="1"/>
  <c r="K878" i="7"/>
  <c r="L884" i="8"/>
  <c r="CP965" i="1"/>
  <c r="O965" i="1" s="1"/>
  <c r="GM965" i="1" s="1"/>
  <c r="GP965" i="1" s="1"/>
  <c r="GM153" i="1"/>
  <c r="GP153" i="1" s="1"/>
  <c r="T1022" i="7"/>
  <c r="J1026" i="7" s="1"/>
  <c r="T1028" i="8"/>
  <c r="K1032" i="8" s="1"/>
  <c r="R1070" i="7"/>
  <c r="J1073" i="7" s="1"/>
  <c r="R1076" i="8"/>
  <c r="K1079" i="8" s="1"/>
  <c r="R847" i="1"/>
  <c r="GK847" i="1" s="1"/>
  <c r="V1233" i="7"/>
  <c r="V1239" i="8"/>
  <c r="K534" i="7"/>
  <c r="L540" i="8"/>
  <c r="J548" i="8"/>
  <c r="V1281" i="7"/>
  <c r="V1287" i="8"/>
  <c r="R857" i="1"/>
  <c r="GK857" i="1" s="1"/>
  <c r="F988" i="1"/>
  <c r="BB959" i="1"/>
  <c r="BZ381" i="1"/>
  <c r="AQ445" i="1"/>
  <c r="R104" i="7"/>
  <c r="J107" i="7" s="1"/>
  <c r="R110" i="8"/>
  <c r="K113" i="8" s="1"/>
  <c r="R622" i="7"/>
  <c r="J627" i="7" s="1"/>
  <c r="R628" i="8"/>
  <c r="K633" i="8" s="1"/>
  <c r="J1017" i="7"/>
  <c r="K1023" i="8"/>
  <c r="R1061" i="8"/>
  <c r="K1065" i="8" s="1"/>
  <c r="R1055" i="7"/>
  <c r="J1059" i="7" s="1"/>
  <c r="CP973" i="1"/>
  <c r="O973" i="1" s="1"/>
  <c r="R783" i="1"/>
  <c r="GK783" i="1" s="1"/>
  <c r="V993" i="7"/>
  <c r="V999" i="8"/>
  <c r="CY153" i="1"/>
  <c r="X153" i="1" s="1"/>
  <c r="CZ153" i="1"/>
  <c r="Y153" i="1" s="1"/>
  <c r="GK532" i="1"/>
  <c r="J665" i="7"/>
  <c r="K671" i="8"/>
  <c r="R71" i="1"/>
  <c r="AE77" i="1" s="1"/>
  <c r="V64" i="8"/>
  <c r="V58" i="7"/>
  <c r="R385" i="1"/>
  <c r="GK385" i="1" s="1"/>
  <c r="V372" i="7"/>
  <c r="V378" i="8"/>
  <c r="R420" i="1"/>
  <c r="GK420" i="1" s="1"/>
  <c r="V562" i="7"/>
  <c r="V568" i="8"/>
  <c r="T759" i="7"/>
  <c r="J765" i="7" s="1"/>
  <c r="T765" i="8"/>
  <c r="K771" i="8" s="1"/>
  <c r="T937" i="7"/>
  <c r="J941" i="7" s="1"/>
  <c r="T943" i="8"/>
  <c r="K947" i="8" s="1"/>
  <c r="R1224" i="7"/>
  <c r="J1227" i="7" s="1"/>
  <c r="R1230" i="8"/>
  <c r="K1233" i="8" s="1"/>
  <c r="CZ760" i="1"/>
  <c r="Y760" i="1" s="1"/>
  <c r="J916" i="7"/>
  <c r="K922" i="8"/>
  <c r="T219" i="7"/>
  <c r="J225" i="7" s="1"/>
  <c r="T225" i="8"/>
  <c r="K231" i="8" s="1"/>
  <c r="GM407" i="1"/>
  <c r="GP407" i="1" s="1"/>
  <c r="AG860" i="1"/>
  <c r="T860" i="1" s="1"/>
  <c r="CY852" i="1"/>
  <c r="X852" i="1" s="1"/>
  <c r="CZ852" i="1"/>
  <c r="Y852" i="1" s="1"/>
  <c r="V1006" i="8"/>
  <c r="V1000" i="7"/>
  <c r="R786" i="1"/>
  <c r="GK786" i="1" s="1"/>
  <c r="GM786" i="1" s="1"/>
  <c r="GP786" i="1" s="1"/>
  <c r="J404" i="7"/>
  <c r="K410" i="8"/>
  <c r="CP389" i="1"/>
  <c r="O389" i="1" s="1"/>
  <c r="R34" i="1"/>
  <c r="V44" i="7"/>
  <c r="J50" i="7" s="1"/>
  <c r="V50" i="8"/>
  <c r="K56" i="8" s="1"/>
  <c r="T1000" i="7"/>
  <c r="J1004" i="7" s="1"/>
  <c r="T1006" i="8"/>
  <c r="K1010" i="8" s="1"/>
  <c r="T1241" i="7"/>
  <c r="J1246" i="7" s="1"/>
  <c r="T1247" i="8"/>
  <c r="K1252" i="8" s="1"/>
  <c r="J875" i="7"/>
  <c r="K881" i="8"/>
  <c r="I1116" i="7"/>
  <c r="GM962" i="1"/>
  <c r="GP962" i="1" s="1"/>
  <c r="K309" i="7"/>
  <c r="L315" i="8"/>
  <c r="V243" i="7"/>
  <c r="J250" i="7" s="1"/>
  <c r="V249" i="8"/>
  <c r="K256" i="8" s="1"/>
  <c r="R323" i="1"/>
  <c r="R237" i="1"/>
  <c r="V124" i="7"/>
  <c r="J132" i="7" s="1"/>
  <c r="V130" i="8"/>
  <c r="K138" i="8" s="1"/>
  <c r="J952" i="7"/>
  <c r="K958" i="8"/>
  <c r="K1063" i="8"/>
  <c r="J1057" i="7"/>
  <c r="K70" i="7"/>
  <c r="L76" i="8"/>
  <c r="T189" i="7"/>
  <c r="J194" i="7" s="1"/>
  <c r="T195" i="8"/>
  <c r="K200" i="8" s="1"/>
  <c r="I235" i="7"/>
  <c r="GM347" i="1"/>
  <c r="GP347" i="1" s="1"/>
  <c r="R425" i="1"/>
  <c r="GK425" i="1" s="1"/>
  <c r="V575" i="7"/>
  <c r="V581" i="8"/>
  <c r="T423" i="7"/>
  <c r="J427" i="7" s="1"/>
  <c r="T429" i="8"/>
  <c r="K433" i="8" s="1"/>
  <c r="J1001" i="7"/>
  <c r="I1006" i="7" s="1"/>
  <c r="K1007" i="8"/>
  <c r="J1012" i="8" s="1"/>
  <c r="K133" i="7"/>
  <c r="L139" i="8"/>
  <c r="AI349" i="1"/>
  <c r="R611" i="8"/>
  <c r="K614" i="8" s="1"/>
  <c r="R605" i="7"/>
  <c r="J608" i="7" s="1"/>
  <c r="CY74" i="1"/>
  <c r="X74" i="1" s="1"/>
  <c r="GM74" i="1" s="1"/>
  <c r="GP74" i="1" s="1"/>
  <c r="CP245" i="1"/>
  <c r="O245" i="1" s="1"/>
  <c r="R259" i="8"/>
  <c r="K262" i="8" s="1"/>
  <c r="R253" i="7"/>
  <c r="J256" i="7" s="1"/>
  <c r="CP425" i="1"/>
  <c r="O425" i="1" s="1"/>
  <c r="GM416" i="1"/>
  <c r="GP416" i="1" s="1"/>
  <c r="R536" i="7"/>
  <c r="J539" i="7" s="1"/>
  <c r="I542" i="7" s="1"/>
  <c r="R542" i="8"/>
  <c r="K545" i="8" s="1"/>
  <c r="CZ403" i="1"/>
  <c r="Y403" i="1" s="1"/>
  <c r="CP602" i="1"/>
  <c r="O602" i="1" s="1"/>
  <c r="CZ551" i="1"/>
  <c r="Y551" i="1" s="1"/>
  <c r="R754" i="1"/>
  <c r="AE860" i="1" s="1"/>
  <c r="V894" i="7"/>
  <c r="J901" i="7" s="1"/>
  <c r="V900" i="8"/>
  <c r="K907" i="8" s="1"/>
  <c r="CP766" i="1"/>
  <c r="O766" i="1" s="1"/>
  <c r="J932" i="7"/>
  <c r="K938" i="8"/>
  <c r="CY738" i="1"/>
  <c r="X738" i="1" s="1"/>
  <c r="R844" i="7"/>
  <c r="J847" i="7" s="1"/>
  <c r="R850" i="8"/>
  <c r="K853" i="8" s="1"/>
  <c r="CZ810" i="1"/>
  <c r="Y810" i="1" s="1"/>
  <c r="CP806" i="1"/>
  <c r="O806" i="1" s="1"/>
  <c r="R840" i="1"/>
  <c r="GK840" i="1" s="1"/>
  <c r="V1201" i="8"/>
  <c r="V1195" i="7"/>
  <c r="GM967" i="1"/>
  <c r="GP967" i="1" s="1"/>
  <c r="R1350" i="8"/>
  <c r="K1353" i="8" s="1"/>
  <c r="R1344" i="7"/>
  <c r="J1347" i="7" s="1"/>
  <c r="T1318" i="7"/>
  <c r="J1322" i="7" s="1"/>
  <c r="T1324" i="8"/>
  <c r="K1328" i="8" s="1"/>
  <c r="V395" i="1"/>
  <c r="AI445" i="1" s="1"/>
  <c r="E443" i="7"/>
  <c r="F449" i="8"/>
  <c r="R419" i="1"/>
  <c r="GK419" i="1" s="1"/>
  <c r="V558" i="7"/>
  <c r="V564" i="8"/>
  <c r="K431" i="8"/>
  <c r="J435" i="8" s="1"/>
  <c r="J425" i="7"/>
  <c r="I429" i="7" s="1"/>
  <c r="CY442" i="1"/>
  <c r="X442" i="1" s="1"/>
  <c r="CZ442" i="1"/>
  <c r="Y442" i="1" s="1"/>
  <c r="GM442" i="1" s="1"/>
  <c r="GP442" i="1" s="1"/>
  <c r="J237" i="7"/>
  <c r="I242" i="7" s="1"/>
  <c r="K243" i="8"/>
  <c r="K722" i="7"/>
  <c r="L728" i="8"/>
  <c r="J148" i="7"/>
  <c r="K154" i="8"/>
  <c r="J1104" i="7"/>
  <c r="K1110" i="8"/>
  <c r="V1158" i="8"/>
  <c r="V1152" i="7"/>
  <c r="R830" i="1"/>
  <c r="GK830" i="1" s="1"/>
  <c r="J1303" i="7"/>
  <c r="K1309" i="8"/>
  <c r="CY961" i="1"/>
  <c r="X961" i="1" s="1"/>
  <c r="CZ961" i="1"/>
  <c r="Y961" i="1" s="1"/>
  <c r="K1352" i="8"/>
  <c r="J1356" i="8" s="1"/>
  <c r="J1346" i="7"/>
  <c r="I1350" i="7" s="1"/>
  <c r="J480" i="8"/>
  <c r="I197" i="7"/>
  <c r="R609" i="1"/>
  <c r="GK609" i="1" s="1"/>
  <c r="GM609" i="1" s="1"/>
  <c r="GP609" i="1" s="1"/>
  <c r="V769" i="7"/>
  <c r="V775" i="8"/>
  <c r="AJ77" i="1"/>
  <c r="J845" i="7"/>
  <c r="K851" i="8"/>
  <c r="J856" i="8" s="1"/>
  <c r="AJ445" i="1"/>
  <c r="J1139" i="7"/>
  <c r="K1145" i="8"/>
  <c r="V628" i="8"/>
  <c r="K635" i="8" s="1"/>
  <c r="V622" i="7"/>
  <c r="J629" i="7" s="1"/>
  <c r="R515" i="1"/>
  <c r="GM75" i="1"/>
  <c r="GP75" i="1" s="1"/>
  <c r="K977" i="7"/>
  <c r="L983" i="8"/>
  <c r="J752" i="7"/>
  <c r="K758" i="8"/>
  <c r="K565" i="7"/>
  <c r="L571" i="8"/>
  <c r="J909" i="7"/>
  <c r="K915" i="8"/>
  <c r="R196" i="1"/>
  <c r="V104" i="7"/>
  <c r="V110" i="8"/>
  <c r="T146" i="7"/>
  <c r="J150" i="7" s="1"/>
  <c r="T152" i="8"/>
  <c r="K156" i="8" s="1"/>
  <c r="T1055" i="7"/>
  <c r="J1060" i="7" s="1"/>
  <c r="T1061" i="8"/>
  <c r="K1066" i="8" s="1"/>
  <c r="J1068" i="8" s="1"/>
  <c r="R554" i="1"/>
  <c r="GK554" i="1" s="1"/>
  <c r="V716" i="8"/>
  <c r="V710" i="7"/>
  <c r="J89" i="7"/>
  <c r="K95" i="8"/>
  <c r="GM402" i="1"/>
  <c r="GP402" i="1" s="1"/>
  <c r="R146" i="7"/>
  <c r="J149" i="7" s="1"/>
  <c r="R152" i="8"/>
  <c r="K155" i="8" s="1"/>
  <c r="J158" i="8" s="1"/>
  <c r="GM554" i="1"/>
  <c r="GP554" i="1" s="1"/>
  <c r="T769" i="7"/>
  <c r="J773" i="7" s="1"/>
  <c r="I775" i="7" s="1"/>
  <c r="T775" i="8"/>
  <c r="K779" i="8" s="1"/>
  <c r="J781" i="8" s="1"/>
  <c r="R1202" i="7"/>
  <c r="J1205" i="7" s="1"/>
  <c r="R1208" i="8"/>
  <c r="K1211" i="8" s="1"/>
  <c r="CY736" i="1"/>
  <c r="X736" i="1" s="1"/>
  <c r="CZ736" i="1"/>
  <c r="Y736" i="1" s="1"/>
  <c r="J127" i="7"/>
  <c r="I134" i="7" s="1"/>
  <c r="K133" i="8"/>
  <c r="J140" i="8" s="1"/>
  <c r="R171" i="7"/>
  <c r="J175" i="7" s="1"/>
  <c r="R177" i="8"/>
  <c r="K181" i="8" s="1"/>
  <c r="K489" i="7"/>
  <c r="L495" i="8"/>
  <c r="CP551" i="1"/>
  <c r="O551" i="1" s="1"/>
  <c r="CP837" i="1"/>
  <c r="O837" i="1" s="1"/>
  <c r="GM837" i="1" s="1"/>
  <c r="GP837" i="1" s="1"/>
  <c r="J1188" i="7"/>
  <c r="K1194" i="8"/>
  <c r="R856" i="1"/>
  <c r="GK856" i="1" s="1"/>
  <c r="V1279" i="8"/>
  <c r="V1273" i="7"/>
  <c r="K1013" i="7"/>
  <c r="L1019" i="8"/>
  <c r="CP830" i="1"/>
  <c r="O830" i="1" s="1"/>
  <c r="GM830" i="1" s="1"/>
  <c r="GP830" i="1" s="1"/>
  <c r="I1248" i="7"/>
  <c r="K1152" i="8"/>
  <c r="J1146" i="7"/>
  <c r="R208" i="7"/>
  <c r="J214" i="7" s="1"/>
  <c r="R214" i="8"/>
  <c r="K220" i="8" s="1"/>
  <c r="J731" i="7"/>
  <c r="I738" i="7" s="1"/>
  <c r="K737" i="8"/>
  <c r="J744" i="8" s="1"/>
  <c r="K969" i="7"/>
  <c r="L975" i="8"/>
  <c r="R1000" i="7"/>
  <c r="J1003" i="7" s="1"/>
  <c r="R1006" i="8"/>
  <c r="K1009" i="8" s="1"/>
  <c r="AX897" i="1"/>
  <c r="R1241" i="7"/>
  <c r="J1245" i="7" s="1"/>
  <c r="R1247" i="8"/>
  <c r="K1251" i="8" s="1"/>
  <c r="CY768" i="1"/>
  <c r="X768" i="1" s="1"/>
  <c r="J945" i="7"/>
  <c r="K951" i="8"/>
  <c r="CZ768" i="1"/>
  <c r="Y768" i="1" s="1"/>
  <c r="BC892" i="1"/>
  <c r="F913" i="1"/>
  <c r="R403" i="1"/>
  <c r="GK403" i="1" s="1"/>
  <c r="V475" i="7"/>
  <c r="V481" i="8"/>
  <c r="J1042" i="7"/>
  <c r="K1048" i="8"/>
  <c r="CY797" i="1"/>
  <c r="X797" i="1" s="1"/>
  <c r="CZ797" i="1"/>
  <c r="Y797" i="1" s="1"/>
  <c r="R65" i="7"/>
  <c r="J68" i="7" s="1"/>
  <c r="R71" i="8"/>
  <c r="K74" i="8" s="1"/>
  <c r="T37" i="7"/>
  <c r="J41" i="7" s="1"/>
  <c r="T43" i="8"/>
  <c r="K47" i="8" s="1"/>
  <c r="R124" i="7"/>
  <c r="J130" i="7" s="1"/>
  <c r="R130" i="8"/>
  <c r="K136" i="8" s="1"/>
  <c r="T652" i="7"/>
  <c r="J658" i="7" s="1"/>
  <c r="T658" i="8"/>
  <c r="K664" i="8" s="1"/>
  <c r="R781" i="1"/>
  <c r="GK781" i="1" s="1"/>
  <c r="V986" i="7"/>
  <c r="V992" i="8"/>
  <c r="T1124" i="7"/>
  <c r="J1128" i="7" s="1"/>
  <c r="T1130" i="8"/>
  <c r="K1134" i="8" s="1"/>
  <c r="CZ857" i="1"/>
  <c r="Y857" i="1" s="1"/>
  <c r="V985" i="8"/>
  <c r="V979" i="7"/>
  <c r="R779" i="1"/>
  <c r="GK779" i="1" s="1"/>
  <c r="J1010" i="7"/>
  <c r="K1016" i="8"/>
  <c r="GK523" i="1"/>
  <c r="J645" i="7"/>
  <c r="K651" i="8"/>
  <c r="K1167" i="8"/>
  <c r="J1161" i="7"/>
  <c r="R963" i="1"/>
  <c r="GK963" i="1" s="1"/>
  <c r="GM963" i="1" s="1"/>
  <c r="GP963" i="1" s="1"/>
  <c r="V1318" i="8"/>
  <c r="V1312" i="7"/>
  <c r="R37" i="7"/>
  <c r="J40" i="7" s="1"/>
  <c r="R43" i="8"/>
  <c r="K46" i="8" s="1"/>
  <c r="CP319" i="1"/>
  <c r="O319" i="1" s="1"/>
  <c r="GM319" i="1" s="1"/>
  <c r="J211" i="7"/>
  <c r="K217" i="8"/>
  <c r="R414" i="1"/>
  <c r="GK414" i="1" s="1"/>
  <c r="V523" i="7"/>
  <c r="V529" i="8"/>
  <c r="GM390" i="1"/>
  <c r="GP390" i="1" s="1"/>
  <c r="R652" i="7"/>
  <c r="J657" i="7" s="1"/>
  <c r="R658" i="8"/>
  <c r="K663" i="8" s="1"/>
  <c r="R806" i="1"/>
  <c r="GK806" i="1" s="1"/>
  <c r="V1063" i="7"/>
  <c r="V1069" i="8"/>
  <c r="J545" i="7"/>
  <c r="K551" i="8"/>
  <c r="CY417" i="1"/>
  <c r="X417" i="1" s="1"/>
  <c r="CZ417" i="1"/>
  <c r="Y417" i="1" s="1"/>
  <c r="J770" i="7"/>
  <c r="K776" i="8"/>
  <c r="R320" i="1"/>
  <c r="GK320" i="1" s="1"/>
  <c r="V219" i="7"/>
  <c r="V225" i="8"/>
  <c r="AG349" i="1"/>
  <c r="J623" i="7"/>
  <c r="K629" i="8"/>
  <c r="CZ515" i="1"/>
  <c r="Y515" i="1" s="1"/>
  <c r="CY536" i="1"/>
  <c r="X536" i="1" s="1"/>
  <c r="J673" i="7"/>
  <c r="K679" i="8"/>
  <c r="K894" i="8"/>
  <c r="J888" i="7"/>
  <c r="CZ751" i="1"/>
  <c r="Y751" i="1" s="1"/>
  <c r="CY751" i="1"/>
  <c r="X751" i="1" s="1"/>
  <c r="J77" i="8"/>
  <c r="GK386" i="1"/>
  <c r="GM386" i="1" s="1"/>
  <c r="GP386" i="1" s="1"/>
  <c r="J381" i="7"/>
  <c r="K387" i="8"/>
  <c r="T65" i="7"/>
  <c r="J69" i="7" s="1"/>
  <c r="T71" i="8"/>
  <c r="K75" i="8" s="1"/>
  <c r="T228" i="7"/>
  <c r="J233" i="7" s="1"/>
  <c r="T234" i="8"/>
  <c r="K239" i="8" s="1"/>
  <c r="T124" i="7"/>
  <c r="J131" i="7" s="1"/>
  <c r="T130" i="8"/>
  <c r="K137" i="8" s="1"/>
  <c r="T348" i="7"/>
  <c r="J353" i="7" s="1"/>
  <c r="T354" i="8"/>
  <c r="K359" i="8" s="1"/>
  <c r="R519" i="1"/>
  <c r="GK519" i="1" s="1"/>
  <c r="V632" i="7"/>
  <c r="J639" i="7" s="1"/>
  <c r="V638" i="8"/>
  <c r="K645" i="8" s="1"/>
  <c r="CP775" i="1"/>
  <c r="O775" i="1" s="1"/>
  <c r="GM775" i="1" s="1"/>
  <c r="GP775" i="1" s="1"/>
  <c r="GM964" i="1"/>
  <c r="GP964" i="1" s="1"/>
  <c r="CZ812" i="1"/>
  <c r="Y812" i="1" s="1"/>
  <c r="CY857" i="1"/>
  <c r="X857" i="1" s="1"/>
  <c r="V542" i="8"/>
  <c r="V536" i="7"/>
  <c r="R416" i="1"/>
  <c r="GK416" i="1" s="1"/>
  <c r="K1265" i="8"/>
  <c r="J1259" i="7"/>
  <c r="GK795" i="1"/>
  <c r="J1032" i="7"/>
  <c r="K1038" i="8"/>
  <c r="T117" i="8"/>
  <c r="K122" i="8" s="1"/>
  <c r="T111" i="7"/>
  <c r="J116" i="7" s="1"/>
  <c r="R405" i="1"/>
  <c r="GK405" i="1" s="1"/>
  <c r="V490" i="8"/>
  <c r="V484" i="7"/>
  <c r="R228" i="7"/>
  <c r="J232" i="7" s="1"/>
  <c r="R234" i="8"/>
  <c r="K238" i="8" s="1"/>
  <c r="J241" i="8" s="1"/>
  <c r="CZ334" i="1"/>
  <c r="Y334" i="1" s="1"/>
  <c r="R429" i="8"/>
  <c r="K432" i="8" s="1"/>
  <c r="R423" i="7"/>
  <c r="J426" i="7" s="1"/>
  <c r="CJ860" i="1"/>
  <c r="CJ732" i="1" s="1"/>
  <c r="R716" i="8"/>
  <c r="K719" i="8" s="1"/>
  <c r="R710" i="7"/>
  <c r="J713" i="7" s="1"/>
  <c r="CP749" i="1"/>
  <c r="O749" i="1" s="1"/>
  <c r="GM821" i="1"/>
  <c r="GP821" i="1" s="1"/>
  <c r="J1337" i="7"/>
  <c r="K1343" i="8"/>
  <c r="CP853" i="1"/>
  <c r="O853" i="1" s="1"/>
  <c r="T1215" i="8"/>
  <c r="K1219" i="8" s="1"/>
  <c r="T1209" i="7"/>
  <c r="J1213" i="7" s="1"/>
  <c r="R336" i="1"/>
  <c r="GK336" i="1" s="1"/>
  <c r="V320" i="7"/>
  <c r="V326" i="8"/>
  <c r="GK771" i="1"/>
  <c r="J954" i="7"/>
  <c r="K960" i="8"/>
  <c r="AG445" i="1"/>
  <c r="CZ536" i="1"/>
  <c r="Y536" i="1" s="1"/>
  <c r="R750" i="1"/>
  <c r="GK750" i="1" s="1"/>
  <c r="V886" i="8"/>
  <c r="V880" i="7"/>
  <c r="J1276" i="7"/>
  <c r="K1282" i="8"/>
  <c r="K226" i="7"/>
  <c r="L232" i="8"/>
  <c r="J1187" i="7"/>
  <c r="K1193" i="8"/>
  <c r="BD147" i="1"/>
  <c r="CY555" i="1"/>
  <c r="X555" i="1" s="1"/>
  <c r="J896" i="7"/>
  <c r="K902" i="8"/>
  <c r="T474" i="8"/>
  <c r="K478" i="8" s="1"/>
  <c r="T468" i="7"/>
  <c r="J472" i="7" s="1"/>
  <c r="GM521" i="1"/>
  <c r="GP521" i="1" s="1"/>
  <c r="CZ830" i="1"/>
  <c r="Y830" i="1" s="1"/>
  <c r="T1350" i="8"/>
  <c r="K1354" i="8" s="1"/>
  <c r="T1344" i="7"/>
  <c r="J1348" i="7" s="1"/>
  <c r="F931" i="1"/>
  <c r="R1110" i="7"/>
  <c r="J1113" i="7" s="1"/>
  <c r="R1116" i="8"/>
  <c r="K1119" i="8" s="1"/>
  <c r="R189" i="7"/>
  <c r="J193" i="7" s="1"/>
  <c r="R195" i="8"/>
  <c r="K199" i="8" s="1"/>
  <c r="J203" i="8" s="1"/>
  <c r="J741" i="7"/>
  <c r="K747" i="8"/>
  <c r="CP555" i="1"/>
  <c r="O555" i="1" s="1"/>
  <c r="I1038" i="7"/>
  <c r="J306" i="7"/>
  <c r="K312" i="8"/>
  <c r="F87" i="1"/>
  <c r="R242" i="1"/>
  <c r="V171" i="7"/>
  <c r="J177" i="7" s="1"/>
  <c r="V177" i="8"/>
  <c r="K183" i="8" s="1"/>
  <c r="CY419" i="1"/>
  <c r="X419" i="1" s="1"/>
  <c r="CZ406" i="1"/>
  <c r="Y406" i="1" s="1"/>
  <c r="R600" i="1"/>
  <c r="V739" i="7"/>
  <c r="J747" i="7" s="1"/>
  <c r="V745" i="8"/>
  <c r="K753" i="8" s="1"/>
  <c r="CP743" i="1"/>
  <c r="O743" i="1" s="1"/>
  <c r="GM743" i="1" s="1"/>
  <c r="GP743" i="1" s="1"/>
  <c r="J853" i="7"/>
  <c r="K859" i="8"/>
  <c r="R474" i="8"/>
  <c r="K477" i="8" s="1"/>
  <c r="R468" i="7"/>
  <c r="J471" i="7" s="1"/>
  <c r="I474" i="7" s="1"/>
  <c r="R729" i="7"/>
  <c r="J734" i="7" s="1"/>
  <c r="R735" i="8"/>
  <c r="K740" i="8" s="1"/>
  <c r="GM788" i="1"/>
  <c r="GP788" i="1" s="1"/>
  <c r="CP810" i="1"/>
  <c r="O810" i="1" s="1"/>
  <c r="J1081" i="7"/>
  <c r="K1087" i="8"/>
  <c r="R865" i="7"/>
  <c r="J868" i="7" s="1"/>
  <c r="R871" i="8"/>
  <c r="K874" i="8" s="1"/>
  <c r="J877" i="8" s="1"/>
  <c r="U666" i="1"/>
  <c r="CZ771" i="1"/>
  <c r="Y771" i="1" s="1"/>
  <c r="CZ816" i="1"/>
  <c r="Y816" i="1" s="1"/>
  <c r="R843" i="1"/>
  <c r="GK843" i="1" s="1"/>
  <c r="V1216" i="7"/>
  <c r="V1222" i="8"/>
  <c r="CP824" i="1"/>
  <c r="O824" i="1" s="1"/>
  <c r="GM824" i="1" s="1"/>
  <c r="GP824" i="1" s="1"/>
  <c r="T1110" i="7"/>
  <c r="J1114" i="7" s="1"/>
  <c r="T1116" i="8"/>
  <c r="K1120" i="8" s="1"/>
  <c r="J350" i="7"/>
  <c r="K356" i="8"/>
  <c r="J361" i="8" s="1"/>
  <c r="K301" i="7"/>
  <c r="L307" i="8"/>
  <c r="V756" i="8"/>
  <c r="K762" i="8" s="1"/>
  <c r="V750" i="7"/>
  <c r="J756" i="7" s="1"/>
  <c r="R602" i="1"/>
  <c r="AE630" i="1" s="1"/>
  <c r="K556" i="7"/>
  <c r="L562" i="8"/>
  <c r="J1252" i="7"/>
  <c r="K1258" i="8"/>
  <c r="I347" i="7"/>
  <c r="K670" i="8"/>
  <c r="J664" i="7"/>
  <c r="K1279" i="7"/>
  <c r="L1285" i="8"/>
  <c r="J939" i="7"/>
  <c r="K945" i="8"/>
  <c r="K473" i="7"/>
  <c r="L479" i="8"/>
  <c r="T285" i="7"/>
  <c r="J289" i="7" s="1"/>
  <c r="T291" i="8"/>
  <c r="K295" i="8" s="1"/>
  <c r="T605" i="7"/>
  <c r="J609" i="7" s="1"/>
  <c r="T611" i="8"/>
  <c r="K615" i="8" s="1"/>
  <c r="R762" i="1"/>
  <c r="GK762" i="1" s="1"/>
  <c r="V922" i="7"/>
  <c r="V928" i="8"/>
  <c r="J279" i="7"/>
  <c r="K285" i="8"/>
  <c r="CP854" i="1"/>
  <c r="O854" i="1" s="1"/>
  <c r="J1268" i="7"/>
  <c r="K1274" i="8"/>
  <c r="AT109" i="1"/>
  <c r="F133" i="1"/>
  <c r="E562" i="7"/>
  <c r="F568" i="8"/>
  <c r="J75" i="7"/>
  <c r="K81" i="8"/>
  <c r="R548" i="1"/>
  <c r="V688" i="7"/>
  <c r="J695" i="7" s="1"/>
  <c r="V694" i="8"/>
  <c r="K701" i="8" s="1"/>
  <c r="R553" i="1"/>
  <c r="V706" i="8"/>
  <c r="K713" i="8" s="1"/>
  <c r="V700" i="7"/>
  <c r="J707" i="7" s="1"/>
  <c r="R679" i="7"/>
  <c r="J682" i="7" s="1"/>
  <c r="R685" i="8"/>
  <c r="K688" i="8" s="1"/>
  <c r="J1153" i="7"/>
  <c r="K1159" i="8"/>
  <c r="R759" i="7"/>
  <c r="J764" i="7" s="1"/>
  <c r="R765" i="8"/>
  <c r="K770" i="8" s="1"/>
  <c r="K979" i="8"/>
  <c r="J973" i="7"/>
  <c r="R937" i="7"/>
  <c r="J940" i="7" s="1"/>
  <c r="R943" i="8"/>
  <c r="K946" i="8" s="1"/>
  <c r="V448" i="7"/>
  <c r="V454" i="8"/>
  <c r="R396" i="1"/>
  <c r="GK396" i="1" s="1"/>
  <c r="K1068" i="7"/>
  <c r="L1074" i="8"/>
  <c r="T1202" i="7"/>
  <c r="J1206" i="7" s="1"/>
  <c r="T1208" i="8"/>
  <c r="K1212" i="8" s="1"/>
  <c r="J105" i="7"/>
  <c r="K111" i="8"/>
  <c r="CZ196" i="1"/>
  <c r="Y196" i="1" s="1"/>
  <c r="T171" i="7"/>
  <c r="J176" i="7" s="1"/>
  <c r="T177" i="8"/>
  <c r="K182" i="8" s="1"/>
  <c r="GM420" i="1"/>
  <c r="GP420" i="1" s="1"/>
  <c r="J562" i="7"/>
  <c r="K568" i="8"/>
  <c r="K816" i="8"/>
  <c r="J810" i="7"/>
  <c r="J1065" i="7"/>
  <c r="K1071" i="8"/>
  <c r="GM844" i="1"/>
  <c r="GP844" i="1" s="1"/>
  <c r="R1201" i="8"/>
  <c r="K1204" i="8" s="1"/>
  <c r="R1195" i="7"/>
  <c r="J1198" i="7" s="1"/>
  <c r="R197" i="1"/>
  <c r="GK197" i="1" s="1"/>
  <c r="V111" i="7"/>
  <c r="V117" i="8"/>
  <c r="T455" i="7"/>
  <c r="J458" i="7" s="1"/>
  <c r="T461" i="8"/>
  <c r="K464" i="8" s="1"/>
  <c r="R598" i="1"/>
  <c r="V729" i="7"/>
  <c r="J736" i="7" s="1"/>
  <c r="V735" i="8"/>
  <c r="K742" i="8" s="1"/>
  <c r="CP852" i="1"/>
  <c r="O852" i="1" s="1"/>
  <c r="CP736" i="1"/>
  <c r="O736" i="1" s="1"/>
  <c r="GM736" i="1" s="1"/>
  <c r="GP736" i="1" s="1"/>
  <c r="T1271" i="8"/>
  <c r="K1276" i="8" s="1"/>
  <c r="T1265" i="7"/>
  <c r="J1270" i="7" s="1"/>
  <c r="R411" i="1"/>
  <c r="GK411" i="1" s="1"/>
  <c r="V508" i="7"/>
  <c r="V514" i="8"/>
  <c r="AH251" i="1"/>
  <c r="AH232" i="1" s="1"/>
  <c r="K144" i="7"/>
  <c r="L150" i="8"/>
  <c r="R327" i="1"/>
  <c r="GK327" i="1" s="1"/>
  <c r="V277" i="7"/>
  <c r="V283" i="8"/>
  <c r="T467" i="8"/>
  <c r="K471" i="8" s="1"/>
  <c r="T461" i="7"/>
  <c r="J465" i="7" s="1"/>
  <c r="R508" i="7"/>
  <c r="J511" i="7" s="1"/>
  <c r="R514" i="8"/>
  <c r="K517" i="8" s="1"/>
  <c r="R319" i="1"/>
  <c r="V208" i="7"/>
  <c r="J216" i="7" s="1"/>
  <c r="V214" i="8"/>
  <c r="K222" i="8" s="1"/>
  <c r="CG445" i="1"/>
  <c r="T632" i="7"/>
  <c r="J638" i="7" s="1"/>
  <c r="T638" i="8"/>
  <c r="K644" i="8" s="1"/>
  <c r="R964" i="1"/>
  <c r="GK964" i="1" s="1"/>
  <c r="V1324" i="8"/>
  <c r="V1318" i="7"/>
  <c r="K1349" i="7"/>
  <c r="L1355" i="8"/>
  <c r="F909" i="1"/>
  <c r="K1203" i="8"/>
  <c r="J1197" i="7"/>
  <c r="I1201" i="7" s="1"/>
  <c r="V146" i="7"/>
  <c r="V152" i="8"/>
  <c r="R239" i="1"/>
  <c r="GK239" i="1" s="1"/>
  <c r="GM239" i="1" s="1"/>
  <c r="GP239" i="1" s="1"/>
  <c r="J162" i="7"/>
  <c r="K168" i="8"/>
  <c r="J895" i="7"/>
  <c r="K901" i="8"/>
  <c r="CY754" i="1"/>
  <c r="X754" i="1" s="1"/>
  <c r="CZ754" i="1"/>
  <c r="Y754" i="1" s="1"/>
  <c r="F925" i="1"/>
  <c r="AR892" i="1"/>
  <c r="R325" i="1"/>
  <c r="GK325" i="1" s="1"/>
  <c r="GM325" i="1" s="1"/>
  <c r="GP325" i="1" s="1"/>
  <c r="V260" i="7"/>
  <c r="V266" i="8"/>
  <c r="R407" i="1"/>
  <c r="GK407" i="1" s="1"/>
  <c r="V501" i="7"/>
  <c r="V507" i="8"/>
  <c r="R1209" i="7"/>
  <c r="J1212" i="7" s="1"/>
  <c r="I1215" i="7" s="1"/>
  <c r="R1215" i="8"/>
  <c r="K1218" i="8" s="1"/>
  <c r="J221" i="7"/>
  <c r="I227" i="7" s="1"/>
  <c r="K227" i="8"/>
  <c r="J503" i="7"/>
  <c r="K509" i="8"/>
  <c r="CZ407" i="1"/>
  <c r="Y407" i="1" s="1"/>
  <c r="CY407" i="1"/>
  <c r="X407" i="1" s="1"/>
  <c r="CZ523" i="1"/>
  <c r="Y523" i="1" s="1"/>
  <c r="K649" i="8"/>
  <c r="J643" i="7"/>
  <c r="CY523" i="1"/>
  <c r="X523" i="1" s="1"/>
  <c r="V65" i="7"/>
  <c r="V71" i="8"/>
  <c r="R72" i="1"/>
  <c r="GK72" i="1" s="1"/>
  <c r="GM72" i="1" s="1"/>
  <c r="GP72" i="1" s="1"/>
  <c r="R842" i="1"/>
  <c r="GK842" i="1" s="1"/>
  <c r="GM842" i="1" s="1"/>
  <c r="GP842" i="1" s="1"/>
  <c r="V1215" i="8"/>
  <c r="V1209" i="7"/>
  <c r="V1335" i="7"/>
  <c r="V1341" i="8"/>
  <c r="T50" i="8"/>
  <c r="K55" i="8" s="1"/>
  <c r="T44" i="7"/>
  <c r="J49" i="7" s="1"/>
  <c r="CY389" i="1"/>
  <c r="X389" i="1" s="1"/>
  <c r="J860" i="7"/>
  <c r="K866" i="8"/>
  <c r="AH630" i="1"/>
  <c r="GM800" i="1"/>
  <c r="GP800" i="1" s="1"/>
  <c r="R971" i="1"/>
  <c r="GK971" i="1" s="1"/>
  <c r="CZ391" i="1"/>
  <c r="Y391" i="1" s="1"/>
  <c r="J417" i="7"/>
  <c r="K423" i="8"/>
  <c r="CY391" i="1"/>
  <c r="X391" i="1" s="1"/>
  <c r="V672" i="7"/>
  <c r="V678" i="8"/>
  <c r="R536" i="1"/>
  <c r="GK536" i="1" s="1"/>
  <c r="R337" i="1"/>
  <c r="GK337" i="1" s="1"/>
  <c r="V327" i="7"/>
  <c r="V333" i="8"/>
  <c r="R44" i="7"/>
  <c r="J48" i="7" s="1"/>
  <c r="R50" i="8"/>
  <c r="K54" i="8" s="1"/>
  <c r="CP415" i="1"/>
  <c r="O415" i="1" s="1"/>
  <c r="GM415" i="1" s="1"/>
  <c r="GP415" i="1" s="1"/>
  <c r="AC349" i="1"/>
  <c r="CH349" i="1" s="1"/>
  <c r="T710" i="7"/>
  <c r="J714" i="7" s="1"/>
  <c r="T716" i="8"/>
  <c r="K720" i="8" s="1"/>
  <c r="CY810" i="1"/>
  <c r="X810" i="1" s="1"/>
  <c r="AH975" i="1"/>
  <c r="AH959" i="1" s="1"/>
  <c r="L1346" i="8"/>
  <c r="K1340" i="7"/>
  <c r="R1324" i="8"/>
  <c r="K1327" i="8" s="1"/>
  <c r="R1318" i="7"/>
  <c r="J1321" i="7" s="1"/>
  <c r="K718" i="8"/>
  <c r="J712" i="7"/>
  <c r="V1257" i="7"/>
  <c r="V1263" i="8"/>
  <c r="R853" i="1"/>
  <c r="GK853" i="1" s="1"/>
  <c r="L898" i="8"/>
  <c r="K892" i="7"/>
  <c r="J463" i="7"/>
  <c r="K469" i="8"/>
  <c r="J60" i="7"/>
  <c r="K66" i="8"/>
  <c r="CP194" i="1"/>
  <c r="O194" i="1" s="1"/>
  <c r="GM194" i="1" s="1"/>
  <c r="GP194" i="1" s="1"/>
  <c r="CP394" i="1"/>
  <c r="O394" i="1" s="1"/>
  <c r="J442" i="7"/>
  <c r="K448" i="8"/>
  <c r="T517" i="7"/>
  <c r="J520" i="7" s="1"/>
  <c r="T523" i="8"/>
  <c r="K526" i="8" s="1"/>
  <c r="CZ419" i="1"/>
  <c r="Y419" i="1" s="1"/>
  <c r="R415" i="1"/>
  <c r="GK415" i="1" s="1"/>
  <c r="V529" i="7"/>
  <c r="V535" i="8"/>
  <c r="AJ860" i="1"/>
  <c r="W860" i="1" s="1"/>
  <c r="GM539" i="1"/>
  <c r="GP539" i="1" s="1"/>
  <c r="T993" i="7"/>
  <c r="J997" i="7" s="1"/>
  <c r="T999" i="8"/>
  <c r="K1003" i="8" s="1"/>
  <c r="T871" i="8"/>
  <c r="K875" i="8" s="1"/>
  <c r="T865" i="7"/>
  <c r="J869" i="7" s="1"/>
  <c r="CY771" i="1"/>
  <c r="X771" i="1" s="1"/>
  <c r="J1210" i="7"/>
  <c r="K1216" i="8"/>
  <c r="CH251" i="1"/>
  <c r="GM246" i="1"/>
  <c r="GP246" i="1" s="1"/>
  <c r="GM413" i="1"/>
  <c r="GP413" i="1" s="1"/>
  <c r="R517" i="7"/>
  <c r="J519" i="7" s="1"/>
  <c r="R523" i="8"/>
  <c r="K525" i="8" s="1"/>
  <c r="AH349" i="1"/>
  <c r="U349" i="1" s="1"/>
  <c r="CY418" i="1"/>
  <c r="X418" i="1" s="1"/>
  <c r="R111" i="1"/>
  <c r="AE115" i="1" s="1"/>
  <c r="V87" i="7"/>
  <c r="V93" i="8"/>
  <c r="R238" i="1"/>
  <c r="V135" i="7"/>
  <c r="J143" i="7" s="1"/>
  <c r="V141" i="8"/>
  <c r="K149" i="8" s="1"/>
  <c r="CP237" i="1"/>
  <c r="O237" i="1" s="1"/>
  <c r="R418" i="1"/>
  <c r="GK418" i="1" s="1"/>
  <c r="V551" i="7"/>
  <c r="V557" i="8"/>
  <c r="R335" i="1"/>
  <c r="V311" i="7"/>
  <c r="J317" i="7" s="1"/>
  <c r="V317" i="8"/>
  <c r="K323" i="8" s="1"/>
  <c r="GM329" i="1"/>
  <c r="GP329" i="1" s="1"/>
  <c r="GM435" i="1"/>
  <c r="GP435" i="1" s="1"/>
  <c r="R429" i="1"/>
  <c r="GK429" i="1" s="1"/>
  <c r="GM429" i="1" s="1"/>
  <c r="GP429" i="1" s="1"/>
  <c r="V598" i="7"/>
  <c r="V604" i="8"/>
  <c r="CZ418" i="1"/>
  <c r="Y418" i="1" s="1"/>
  <c r="CY406" i="1"/>
  <c r="X406" i="1" s="1"/>
  <c r="CP600" i="1"/>
  <c r="O600" i="1" s="1"/>
  <c r="J742" i="7"/>
  <c r="K748" i="8"/>
  <c r="AX666" i="1"/>
  <c r="AX662" i="1" s="1"/>
  <c r="T729" i="7"/>
  <c r="J735" i="7" s="1"/>
  <c r="T735" i="8"/>
  <c r="K741" i="8" s="1"/>
  <c r="R816" i="1"/>
  <c r="GK816" i="1" s="1"/>
  <c r="V1103" i="7"/>
  <c r="V1109" i="8"/>
  <c r="R797" i="1"/>
  <c r="GK797" i="1" s="1"/>
  <c r="V1047" i="8"/>
  <c r="V1041" i="7"/>
  <c r="CP781" i="1"/>
  <c r="O781" i="1" s="1"/>
  <c r="J988" i="7"/>
  <c r="K994" i="8"/>
  <c r="CY816" i="1"/>
  <c r="X816" i="1" s="1"/>
  <c r="GM816" i="1" s="1"/>
  <c r="GP816" i="1" s="1"/>
  <c r="T1102" i="8"/>
  <c r="K1106" i="8" s="1"/>
  <c r="T1096" i="7"/>
  <c r="J1100" i="7" s="1"/>
  <c r="CZ832" i="1"/>
  <c r="Y832" i="1" s="1"/>
  <c r="CZ963" i="1"/>
  <c r="Y963" i="1" s="1"/>
  <c r="CY833" i="1"/>
  <c r="X833" i="1" s="1"/>
  <c r="GK393" i="1"/>
  <c r="GM393" i="1" s="1"/>
  <c r="GP393" i="1" s="1"/>
  <c r="J433" i="7"/>
  <c r="K439" i="8"/>
  <c r="I160" i="7"/>
  <c r="J329" i="7"/>
  <c r="I333" i="7" s="1"/>
  <c r="K335" i="8"/>
  <c r="J561" i="7"/>
  <c r="K567" i="8"/>
  <c r="CP419" i="1"/>
  <c r="O419" i="1" s="1"/>
  <c r="BZ595" i="1"/>
  <c r="AQ630" i="1"/>
  <c r="V228" i="7"/>
  <c r="V234" i="8"/>
  <c r="R321" i="1"/>
  <c r="GK321" i="1" s="1"/>
  <c r="CY343" i="1"/>
  <c r="X343" i="1" s="1"/>
  <c r="CZ343" i="1"/>
  <c r="Y343" i="1" s="1"/>
  <c r="O892" i="1"/>
  <c r="F899" i="1"/>
  <c r="Q449" i="8"/>
  <c r="I871" i="7"/>
  <c r="R428" i="1"/>
  <c r="GK428" i="1" s="1"/>
  <c r="GM428" i="1" s="1"/>
  <c r="GP428" i="1" s="1"/>
  <c r="V591" i="7"/>
  <c r="V597" i="8"/>
  <c r="R801" i="1"/>
  <c r="GK801" i="1" s="1"/>
  <c r="GM801" i="1" s="1"/>
  <c r="GP801" i="1" s="1"/>
  <c r="V1048" i="7"/>
  <c r="V1054" i="8"/>
  <c r="J600" i="7"/>
  <c r="K606" i="8"/>
  <c r="R285" i="7"/>
  <c r="J288" i="7" s="1"/>
  <c r="R291" i="8"/>
  <c r="K294" i="8" s="1"/>
  <c r="J297" i="8" s="1"/>
  <c r="CP815" i="1"/>
  <c r="O815" i="1" s="1"/>
  <c r="GM815" i="1" s="1"/>
  <c r="GP815" i="1" s="1"/>
  <c r="J908" i="7"/>
  <c r="K914" i="8"/>
  <c r="R760" i="1"/>
  <c r="GK760" i="1" s="1"/>
  <c r="V914" i="7"/>
  <c r="V920" i="8"/>
  <c r="J1009" i="7"/>
  <c r="K1015" i="8"/>
  <c r="R338" i="1"/>
  <c r="GK338" i="1" s="1"/>
  <c r="V334" i="7"/>
  <c r="V340" i="8"/>
  <c r="R591" i="7"/>
  <c r="J594" i="7" s="1"/>
  <c r="R597" i="8"/>
  <c r="K600" i="8" s="1"/>
  <c r="J807" i="7"/>
  <c r="K813" i="8"/>
  <c r="J809" i="7"/>
  <c r="K815" i="8"/>
  <c r="AT69" i="1"/>
  <c r="F95" i="1"/>
  <c r="J719" i="7"/>
  <c r="K725" i="8"/>
  <c r="J305" i="7"/>
  <c r="K311" i="8"/>
  <c r="J751" i="7"/>
  <c r="K757" i="8"/>
  <c r="T1195" i="7"/>
  <c r="J1199" i="7" s="1"/>
  <c r="T1201" i="8"/>
  <c r="K1205" i="8" s="1"/>
  <c r="K937" i="8"/>
  <c r="J931" i="7"/>
  <c r="GM758" i="1"/>
  <c r="GP758" i="1" s="1"/>
  <c r="J336" i="7"/>
  <c r="K342" i="8"/>
  <c r="R182" i="7"/>
  <c r="J185" i="7" s="1"/>
  <c r="R188" i="8"/>
  <c r="K191" i="8" s="1"/>
  <c r="J194" i="8" s="1"/>
  <c r="GK332" i="1"/>
  <c r="K302" i="8"/>
  <c r="J296" i="7"/>
  <c r="CP828" i="1"/>
  <c r="O828" i="1" s="1"/>
  <c r="GM828" i="1" s="1"/>
  <c r="GP828" i="1" s="1"/>
  <c r="J1147" i="7"/>
  <c r="K1153" i="8"/>
  <c r="J477" i="7"/>
  <c r="K483" i="8"/>
  <c r="K537" i="8"/>
  <c r="J531" i="7"/>
  <c r="CP513" i="1"/>
  <c r="O513" i="1" s="1"/>
  <c r="J1251" i="7"/>
  <c r="K1257" i="8"/>
  <c r="R324" i="1"/>
  <c r="GK324" i="1" s="1"/>
  <c r="V253" i="7"/>
  <c r="V259" i="8"/>
  <c r="BB892" i="1"/>
  <c r="F910" i="1"/>
  <c r="R225" i="8"/>
  <c r="K230" i="8" s="1"/>
  <c r="R219" i="7"/>
  <c r="J224" i="7" s="1"/>
  <c r="CP557" i="1"/>
  <c r="O557" i="1" s="1"/>
  <c r="GM557" i="1" s="1"/>
  <c r="GP557" i="1" s="1"/>
  <c r="CP791" i="1"/>
  <c r="O791" i="1" s="1"/>
  <c r="R739" i="7"/>
  <c r="J745" i="7" s="1"/>
  <c r="R745" i="8"/>
  <c r="K751" i="8" s="1"/>
  <c r="GM854" i="1"/>
  <c r="GP854" i="1" s="1"/>
  <c r="R1265" i="7"/>
  <c r="J1269" i="7" s="1"/>
  <c r="R1271" i="8"/>
  <c r="K1275" i="8" s="1"/>
  <c r="J1278" i="8" s="1"/>
  <c r="J1090" i="7"/>
  <c r="K1096" i="8"/>
  <c r="AD37" i="1"/>
  <c r="AD30" i="1" s="1"/>
  <c r="J46" i="7"/>
  <c r="K52" i="8"/>
  <c r="R455" i="7"/>
  <c r="J457" i="7" s="1"/>
  <c r="R461" i="8"/>
  <c r="K463" i="8" s="1"/>
  <c r="AF445" i="1"/>
  <c r="S445" i="1" s="1"/>
  <c r="K757" i="7"/>
  <c r="L763" i="8"/>
  <c r="R841" i="1"/>
  <c r="GK841" i="1" s="1"/>
  <c r="GM841" i="1" s="1"/>
  <c r="GP841" i="1" s="1"/>
  <c r="V1208" i="8"/>
  <c r="V1202" i="7"/>
  <c r="J397" i="7"/>
  <c r="K403" i="8"/>
  <c r="J923" i="7"/>
  <c r="K929" i="8"/>
  <c r="CY762" i="1"/>
  <c r="X762" i="1" s="1"/>
  <c r="CZ762" i="1"/>
  <c r="Y762" i="1" s="1"/>
  <c r="I179" i="7"/>
  <c r="R322" i="1"/>
  <c r="GK322" i="1" s="1"/>
  <c r="V236" i="7"/>
  <c r="V242" i="8"/>
  <c r="AH115" i="1"/>
  <c r="K92" i="7"/>
  <c r="L98" i="8"/>
  <c r="GM342" i="1"/>
  <c r="GP342" i="1" s="1"/>
  <c r="CZ386" i="1"/>
  <c r="Y386" i="1" s="1"/>
  <c r="J634" i="7"/>
  <c r="K640" i="8"/>
  <c r="R739" i="1"/>
  <c r="V836" i="7"/>
  <c r="V842" i="8"/>
  <c r="GM606" i="1"/>
  <c r="GP606" i="1" s="1"/>
  <c r="K1241" i="8"/>
  <c r="J1235" i="7"/>
  <c r="J1043" i="7"/>
  <c r="K1049" i="8"/>
  <c r="J312" i="7"/>
  <c r="K318" i="8"/>
  <c r="R777" i="1"/>
  <c r="GK777" i="1" s="1"/>
  <c r="V971" i="7"/>
  <c r="V977" i="8"/>
  <c r="CZ335" i="1"/>
  <c r="Y335" i="1" s="1"/>
  <c r="GM398" i="1"/>
  <c r="GP398" i="1" s="1"/>
  <c r="R467" i="8"/>
  <c r="K470" i="8" s="1"/>
  <c r="R461" i="7"/>
  <c r="J464" i="7" s="1"/>
  <c r="CY386" i="1"/>
  <c r="X386" i="1" s="1"/>
  <c r="R390" i="1"/>
  <c r="GK390" i="1" s="1"/>
  <c r="V410" i="7"/>
  <c r="V416" i="8"/>
  <c r="CY532" i="1"/>
  <c r="X532" i="1" s="1"/>
  <c r="J663" i="7"/>
  <c r="K669" i="8"/>
  <c r="CZ532" i="1"/>
  <c r="Y532" i="1" s="1"/>
  <c r="GM765" i="1"/>
  <c r="GP765" i="1" s="1"/>
  <c r="GM112" i="1"/>
  <c r="GP112" i="1" s="1"/>
  <c r="CY335" i="1"/>
  <c r="X335" i="1" s="1"/>
  <c r="T277" i="7"/>
  <c r="J282" i="7" s="1"/>
  <c r="T283" i="8"/>
  <c r="K288" i="8" s="1"/>
  <c r="CZ389" i="1"/>
  <c r="Y389" i="1" s="1"/>
  <c r="T562" i="7"/>
  <c r="T568" i="8"/>
  <c r="CZ396" i="1"/>
  <c r="Y396" i="1" s="1"/>
  <c r="CP735" i="1"/>
  <c r="O735" i="1" s="1"/>
  <c r="GM735" i="1" s="1"/>
  <c r="R1130" i="8"/>
  <c r="K1133" i="8" s="1"/>
  <c r="R1124" i="7"/>
  <c r="J1127" i="7" s="1"/>
  <c r="R613" i="1"/>
  <c r="V786" i="7"/>
  <c r="J793" i="7" s="1"/>
  <c r="V792" i="8"/>
  <c r="K799" i="8" s="1"/>
  <c r="R395" i="1"/>
  <c r="GK395" i="1" s="1"/>
  <c r="V443" i="7"/>
  <c r="V449" i="8"/>
  <c r="J593" i="7"/>
  <c r="K599" i="8"/>
  <c r="R805" i="1"/>
  <c r="GK805" i="1" s="1"/>
  <c r="V1055" i="7"/>
  <c r="V1061" i="8"/>
  <c r="CP760" i="1"/>
  <c r="O760" i="1" s="1"/>
  <c r="GM760" i="1" s="1"/>
  <c r="GP760" i="1" s="1"/>
  <c r="CI77" i="1"/>
  <c r="CI69" i="1" s="1"/>
  <c r="CP150" i="1"/>
  <c r="O150" i="1" s="1"/>
  <c r="GM150" i="1" s="1"/>
  <c r="GP150" i="1" s="1"/>
  <c r="CP388" i="1"/>
  <c r="O388" i="1" s="1"/>
  <c r="AB445" i="1" s="1"/>
  <c r="R277" i="7"/>
  <c r="J281" i="7" s="1"/>
  <c r="R283" i="8"/>
  <c r="K287" i="8" s="1"/>
  <c r="R348" i="7"/>
  <c r="J352" i="7" s="1"/>
  <c r="R354" i="8"/>
  <c r="K358" i="8" s="1"/>
  <c r="R562" i="7"/>
  <c r="R568" i="8"/>
  <c r="CY396" i="1"/>
  <c r="X396" i="1" s="1"/>
  <c r="CP598" i="1"/>
  <c r="O598" i="1" s="1"/>
  <c r="AB630" i="1" s="1"/>
  <c r="J666" i="7"/>
  <c r="K672" i="8"/>
  <c r="CY390" i="1"/>
  <c r="X390" i="1" s="1"/>
  <c r="J411" i="7"/>
  <c r="K417" i="8"/>
  <c r="R111" i="7"/>
  <c r="J115" i="7" s="1"/>
  <c r="R117" i="8"/>
  <c r="K121" i="8" s="1"/>
  <c r="T253" i="7"/>
  <c r="J257" i="7" s="1"/>
  <c r="I259" i="7" s="1"/>
  <c r="T259" i="8"/>
  <c r="K263" i="8" s="1"/>
  <c r="J265" i="8" s="1"/>
  <c r="T536" i="7"/>
  <c r="J540" i="7" s="1"/>
  <c r="T542" i="8"/>
  <c r="K546" i="8" s="1"/>
  <c r="T844" i="7"/>
  <c r="J848" i="7" s="1"/>
  <c r="T850" i="8"/>
  <c r="K854" i="8" s="1"/>
  <c r="CZ828" i="1"/>
  <c r="Y828" i="1" s="1"/>
  <c r="AC975" i="1"/>
  <c r="P975" i="1" s="1"/>
  <c r="CY613" i="1"/>
  <c r="X613" i="1" s="1"/>
  <c r="J787" i="7"/>
  <c r="K793" i="8"/>
  <c r="CZ154" i="1"/>
  <c r="Y154" i="1" s="1"/>
  <c r="CY154" i="1"/>
  <c r="X154" i="1" s="1"/>
  <c r="GM154" i="1" s="1"/>
  <c r="GP154" i="1" s="1"/>
  <c r="CY387" i="1"/>
  <c r="X387" i="1" s="1"/>
  <c r="J389" i="7"/>
  <c r="K395" i="8"/>
  <c r="J462" i="7"/>
  <c r="K468" i="8"/>
  <c r="CP73" i="1"/>
  <c r="O73" i="1" s="1"/>
  <c r="J106" i="7"/>
  <c r="K112" i="8"/>
  <c r="J138" i="7"/>
  <c r="K144" i="8"/>
  <c r="CZ241" i="1"/>
  <c r="Y241" i="1" s="1"/>
  <c r="CP242" i="1"/>
  <c r="O242" i="1" s="1"/>
  <c r="J173" i="7"/>
  <c r="K179" i="8"/>
  <c r="J185" i="8" s="1"/>
  <c r="CP418" i="1"/>
  <c r="O418" i="1" s="1"/>
  <c r="GM418" i="1" s="1"/>
  <c r="GP418" i="1" s="1"/>
  <c r="J313" i="7"/>
  <c r="K319" i="8"/>
  <c r="CP334" i="1"/>
  <c r="O334" i="1" s="1"/>
  <c r="R417" i="1"/>
  <c r="GK417" i="1" s="1"/>
  <c r="V543" i="7"/>
  <c r="V549" i="8"/>
  <c r="CY415" i="1"/>
  <c r="X415" i="1" s="1"/>
  <c r="CZ436" i="1"/>
  <c r="Y436" i="1" s="1"/>
  <c r="R529" i="1"/>
  <c r="V652" i="7"/>
  <c r="J659" i="7" s="1"/>
  <c r="V658" i="8"/>
  <c r="K665" i="8" s="1"/>
  <c r="GM527" i="1"/>
  <c r="GP527" i="1" s="1"/>
  <c r="CP560" i="1"/>
  <c r="O560" i="1" s="1"/>
  <c r="CP532" i="1"/>
  <c r="O532" i="1" s="1"/>
  <c r="J839" i="7"/>
  <c r="K845" i="8"/>
  <c r="CP553" i="1"/>
  <c r="O553" i="1" s="1"/>
  <c r="AD666" i="1"/>
  <c r="AD662" i="1" s="1"/>
  <c r="J808" i="7"/>
  <c r="K814" i="8"/>
  <c r="AF630" i="1"/>
  <c r="AF595" i="1" s="1"/>
  <c r="GM748" i="1"/>
  <c r="GP748" i="1" s="1"/>
  <c r="T1007" i="7"/>
  <c r="J1012" i="7" s="1"/>
  <c r="T1013" i="8"/>
  <c r="K1018" i="8" s="1"/>
  <c r="T1117" i="7"/>
  <c r="J1121" i="7" s="1"/>
  <c r="T1123" i="8"/>
  <c r="K1127" i="8" s="1"/>
  <c r="GM814" i="1"/>
  <c r="GP814" i="1" s="1"/>
  <c r="R1096" i="7"/>
  <c r="J1099" i="7" s="1"/>
  <c r="R1102" i="8"/>
  <c r="K1105" i="8" s="1"/>
  <c r="J1108" i="8" s="1"/>
  <c r="CY832" i="1"/>
  <c r="X832" i="1" s="1"/>
  <c r="CY963" i="1"/>
  <c r="X963" i="1" s="1"/>
  <c r="CZ833" i="1"/>
  <c r="Y833" i="1" s="1"/>
  <c r="T153" i="7"/>
  <c r="J158" i="7" s="1"/>
  <c r="T159" i="8"/>
  <c r="K164" i="8" s="1"/>
  <c r="J244" i="7"/>
  <c r="K250" i="8"/>
  <c r="CY323" i="1"/>
  <c r="X323" i="1" s="1"/>
  <c r="CZ323" i="1"/>
  <c r="Y323" i="1" s="1"/>
  <c r="GK604" i="1"/>
  <c r="K768" i="8"/>
  <c r="J762" i="7"/>
  <c r="V776" i="7"/>
  <c r="J783" i="7" s="1"/>
  <c r="V782" i="8"/>
  <c r="K789" i="8" s="1"/>
  <c r="R611" i="1"/>
  <c r="R387" i="1"/>
  <c r="GK387" i="1" s="1"/>
  <c r="V388" i="7"/>
  <c r="V394" i="8"/>
  <c r="CY743" i="1"/>
  <c r="X743" i="1" s="1"/>
  <c r="J852" i="7"/>
  <c r="K858" i="8"/>
  <c r="CZ743" i="1"/>
  <c r="Y743" i="1" s="1"/>
  <c r="S449" i="8"/>
  <c r="L926" i="8"/>
  <c r="K920" i="7"/>
  <c r="V1241" i="7"/>
  <c r="V1247" i="8"/>
  <c r="R849" i="1"/>
  <c r="GK849" i="1" s="1"/>
  <c r="GM849" i="1" s="1"/>
  <c r="GP849" i="1" s="1"/>
  <c r="AV897" i="1"/>
  <c r="CE892" i="1"/>
  <c r="J380" i="7"/>
  <c r="K386" i="8"/>
  <c r="J1219" i="7"/>
  <c r="K1225" i="8"/>
  <c r="R567" i="7"/>
  <c r="J571" i="7" s="1"/>
  <c r="R573" i="8"/>
  <c r="K577" i="8" s="1"/>
  <c r="R32" i="1"/>
  <c r="GK32" i="1" s="1"/>
  <c r="V37" i="7"/>
  <c r="V43" i="8"/>
  <c r="CH232" i="1"/>
  <c r="AY251" i="1"/>
  <c r="V975" i="1"/>
  <c r="AI959" i="1"/>
  <c r="AJ732" i="1"/>
  <c r="AG959" i="1"/>
  <c r="T975" i="1"/>
  <c r="CJ959" i="1"/>
  <c r="BA975" i="1"/>
  <c r="CJ511" i="1"/>
  <c r="BA563" i="1"/>
  <c r="AJ959" i="1"/>
  <c r="W975" i="1"/>
  <c r="AG381" i="1"/>
  <c r="T445" i="1"/>
  <c r="AG317" i="1"/>
  <c r="T349" i="1"/>
  <c r="AJ381" i="1"/>
  <c r="W445" i="1"/>
  <c r="W475" i="1" s="1"/>
  <c r="CJ232" i="1"/>
  <c r="BA251" i="1"/>
  <c r="V200" i="1"/>
  <c r="AI189" i="1"/>
  <c r="CJ595" i="1"/>
  <c r="BA630" i="1"/>
  <c r="AD959" i="1"/>
  <c r="Q975" i="1"/>
  <c r="Q37" i="1"/>
  <c r="CE349" i="1"/>
  <c r="CF349" i="1"/>
  <c r="CP436" i="1"/>
  <c r="O436" i="1" s="1"/>
  <c r="GM436" i="1" s="1"/>
  <c r="GP436" i="1" s="1"/>
  <c r="AZ666" i="1"/>
  <c r="CI662" i="1"/>
  <c r="CP745" i="1"/>
  <c r="O745" i="1" s="1"/>
  <c r="AD860" i="1"/>
  <c r="GM774" i="1"/>
  <c r="GP774" i="1" s="1"/>
  <c r="GM767" i="1"/>
  <c r="GP767" i="1" s="1"/>
  <c r="CZ774" i="1"/>
  <c r="Y774" i="1" s="1"/>
  <c r="CY774" i="1"/>
  <c r="X774" i="1" s="1"/>
  <c r="AQ975" i="1"/>
  <c r="BZ959" i="1"/>
  <c r="CG975" i="1"/>
  <c r="CJ30" i="1"/>
  <c r="BA37" i="1"/>
  <c r="GM33" i="1"/>
  <c r="GP33" i="1" s="1"/>
  <c r="GM192" i="1"/>
  <c r="GP192" i="1" s="1"/>
  <c r="CP196" i="1"/>
  <c r="O196" i="1" s="1"/>
  <c r="AC200" i="1"/>
  <c r="AQ189" i="1"/>
  <c r="F210" i="1"/>
  <c r="GK319" i="1"/>
  <c r="CP332" i="1"/>
  <c r="O332" i="1" s="1"/>
  <c r="AH445" i="1"/>
  <c r="CP421" i="1"/>
  <c r="O421" i="1" s="1"/>
  <c r="GM421" i="1" s="1"/>
  <c r="GP421" i="1" s="1"/>
  <c r="GM545" i="1"/>
  <c r="GP545" i="1" s="1"/>
  <c r="GM620" i="1"/>
  <c r="GP620" i="1" s="1"/>
  <c r="CZ750" i="1"/>
  <c r="Y750" i="1" s="1"/>
  <c r="CY750" i="1"/>
  <c r="X750" i="1" s="1"/>
  <c r="AF860" i="1"/>
  <c r="AC630" i="1"/>
  <c r="BB662" i="1"/>
  <c r="F679" i="1"/>
  <c r="AG511" i="1"/>
  <c r="T563" i="1"/>
  <c r="GM763" i="1"/>
  <c r="GP763" i="1" s="1"/>
  <c r="CP750" i="1"/>
  <c r="O750" i="1" s="1"/>
  <c r="GM973" i="1"/>
  <c r="GP973" i="1" s="1"/>
  <c r="GM761" i="1"/>
  <c r="GP761" i="1" s="1"/>
  <c r="CP785" i="1"/>
  <c r="O785" i="1" s="1"/>
  <c r="CP971" i="1"/>
  <c r="O971" i="1" s="1"/>
  <c r="GM827" i="1"/>
  <c r="GP827" i="1" s="1"/>
  <c r="CZ235" i="1"/>
  <c r="Y235" i="1" s="1"/>
  <c r="CY235" i="1"/>
  <c r="X235" i="1" s="1"/>
  <c r="AF381" i="1"/>
  <c r="GM753" i="1"/>
  <c r="GP753" i="1" s="1"/>
  <c r="BA662" i="1"/>
  <c r="F686" i="1"/>
  <c r="F911" i="1"/>
  <c r="R892" i="1"/>
  <c r="AB975" i="1"/>
  <c r="CI732" i="1"/>
  <c r="AZ860" i="1"/>
  <c r="BD30" i="1"/>
  <c r="F62" i="1"/>
  <c r="BD281" i="1"/>
  <c r="CY71" i="1"/>
  <c r="X71" i="1" s="1"/>
  <c r="CZ71" i="1"/>
  <c r="Y71" i="1" s="1"/>
  <c r="AF77" i="1"/>
  <c r="GM193" i="1"/>
  <c r="GP193" i="1" s="1"/>
  <c r="CB232" i="1"/>
  <c r="AS251" i="1"/>
  <c r="F209" i="1"/>
  <c r="AP189" i="1"/>
  <c r="CP410" i="1"/>
  <c r="O410" i="1" s="1"/>
  <c r="GM619" i="1"/>
  <c r="GP619" i="1" s="1"/>
  <c r="GM607" i="1"/>
  <c r="GP607" i="1" s="1"/>
  <c r="W892" i="1"/>
  <c r="F921" i="1"/>
  <c r="CY777" i="1"/>
  <c r="X777" i="1" s="1"/>
  <c r="GM777" i="1" s="1"/>
  <c r="GP777" i="1" s="1"/>
  <c r="CZ777" i="1"/>
  <c r="Y777" i="1" s="1"/>
  <c r="AO30" i="1"/>
  <c r="F41" i="1"/>
  <c r="AO281" i="1"/>
  <c r="AI662" i="1"/>
  <c r="V666" i="1"/>
  <c r="AI30" i="1"/>
  <c r="V37" i="1"/>
  <c r="CY155" i="1"/>
  <c r="X155" i="1" s="1"/>
  <c r="CZ155" i="1"/>
  <c r="Y155" i="1" s="1"/>
  <c r="AT30" i="1"/>
  <c r="AT281" i="1"/>
  <c r="F55" i="1"/>
  <c r="AH69" i="1"/>
  <c r="U77" i="1"/>
  <c r="AD77" i="1"/>
  <c r="AQ251" i="1"/>
  <c r="BZ232" i="1"/>
  <c r="CG251" i="1"/>
  <c r="GM322" i="1"/>
  <c r="GP322" i="1" s="1"/>
  <c r="CI189" i="1"/>
  <c r="AZ200" i="1"/>
  <c r="AX147" i="1"/>
  <c r="F164" i="1"/>
  <c r="GM327" i="1"/>
  <c r="GP327" i="1" s="1"/>
  <c r="CP331" i="1"/>
  <c r="O331" i="1" s="1"/>
  <c r="GM340" i="1"/>
  <c r="GP340" i="1" s="1"/>
  <c r="CP408" i="1"/>
  <c r="O408" i="1" s="1"/>
  <c r="GM408" i="1" s="1"/>
  <c r="GP408" i="1" s="1"/>
  <c r="GM248" i="1"/>
  <c r="GP248" i="1" s="1"/>
  <c r="AT630" i="1"/>
  <c r="CC595" i="1"/>
  <c r="AJ595" i="1"/>
  <c r="W630" i="1"/>
  <c r="CP618" i="1"/>
  <c r="O618" i="1" s="1"/>
  <c r="GM618" i="1" s="1"/>
  <c r="GP618" i="1" s="1"/>
  <c r="AI511" i="1"/>
  <c r="V563" i="1"/>
  <c r="AQ662" i="1"/>
  <c r="F676" i="1"/>
  <c r="AK630" i="1"/>
  <c r="GM740" i="1"/>
  <c r="GP740" i="1" s="1"/>
  <c r="BD507" i="1"/>
  <c r="F721" i="1"/>
  <c r="BD732" i="1"/>
  <c r="F885" i="1"/>
  <c r="BD927" i="1"/>
  <c r="CP738" i="1"/>
  <c r="O738" i="1" s="1"/>
  <c r="CY776" i="1"/>
  <c r="X776" i="1" s="1"/>
  <c r="CZ776" i="1"/>
  <c r="Y776" i="1" s="1"/>
  <c r="BD313" i="1"/>
  <c r="F500" i="1"/>
  <c r="CG381" i="1"/>
  <c r="AX445" i="1"/>
  <c r="GM328" i="1"/>
  <c r="GP328" i="1" s="1"/>
  <c r="AP317" i="1"/>
  <c r="F358" i="1"/>
  <c r="GM540" i="1"/>
  <c r="GP540" i="1" s="1"/>
  <c r="GM514" i="1"/>
  <c r="GP514" i="1" s="1"/>
  <c r="CZ601" i="1"/>
  <c r="Y601" i="1" s="1"/>
  <c r="CY601" i="1"/>
  <c r="X601" i="1" s="1"/>
  <c r="CY664" i="1"/>
  <c r="X664" i="1" s="1"/>
  <c r="AF666" i="1"/>
  <c r="CZ664" i="1"/>
  <c r="Y664" i="1" s="1"/>
  <c r="GK664" i="1"/>
  <c r="AE666" i="1"/>
  <c r="T666" i="1"/>
  <c r="AG662" i="1"/>
  <c r="GM530" i="1"/>
  <c r="GP530" i="1" s="1"/>
  <c r="V630" i="1"/>
  <c r="AI595" i="1"/>
  <c r="GM741" i="1"/>
  <c r="GP741" i="1" s="1"/>
  <c r="CY785" i="1"/>
  <c r="X785" i="1" s="1"/>
  <c r="CZ785" i="1"/>
  <c r="Y785" i="1" s="1"/>
  <c r="BC507" i="1"/>
  <c r="F712" i="1"/>
  <c r="AS511" i="1"/>
  <c r="F580" i="1"/>
  <c r="AS696" i="1"/>
  <c r="GM799" i="1"/>
  <c r="GP799" i="1" s="1"/>
  <c r="GM623" i="1"/>
  <c r="GP623" i="1" s="1"/>
  <c r="GM968" i="1"/>
  <c r="GP968" i="1" s="1"/>
  <c r="BZ732" i="1"/>
  <c r="AQ860" i="1"/>
  <c r="CY111" i="1"/>
  <c r="X111" i="1" s="1"/>
  <c r="AF115" i="1"/>
  <c r="CZ111" i="1"/>
  <c r="Y111" i="1" s="1"/>
  <c r="AD349" i="1"/>
  <c r="AI381" i="1"/>
  <c r="V445" i="1"/>
  <c r="V77" i="1"/>
  <c r="AI69" i="1"/>
  <c r="F122" i="1"/>
  <c r="AX109" i="1"/>
  <c r="CJ349" i="1"/>
  <c r="CY410" i="1"/>
  <c r="X410" i="1" s="1"/>
  <c r="CZ410" i="1"/>
  <c r="Y410" i="1" s="1"/>
  <c r="CP535" i="1"/>
  <c r="O535" i="1" s="1"/>
  <c r="GM535" i="1" s="1"/>
  <c r="GP535" i="1" s="1"/>
  <c r="CY628" i="1"/>
  <c r="X628" i="1" s="1"/>
  <c r="CZ628" i="1"/>
  <c r="Y628" i="1" s="1"/>
  <c r="GM787" i="1"/>
  <c r="GP787" i="1" s="1"/>
  <c r="GM795" i="1"/>
  <c r="GP795" i="1" s="1"/>
  <c r="CY747" i="1"/>
  <c r="X747" i="1" s="1"/>
  <c r="CZ747" i="1"/>
  <c r="Y747" i="1" s="1"/>
  <c r="Q115" i="1"/>
  <c r="AD109" i="1"/>
  <c r="AL37" i="1"/>
  <c r="AQ349" i="1"/>
  <c r="BZ317" i="1"/>
  <c r="CG349" i="1"/>
  <c r="GK384" i="1"/>
  <c r="GM384" i="1" s="1"/>
  <c r="GM337" i="1"/>
  <c r="GP337" i="1" s="1"/>
  <c r="GM345" i="1"/>
  <c r="GP345" i="1" s="1"/>
  <c r="BB475" i="1"/>
  <c r="F458" i="1"/>
  <c r="BB381" i="1"/>
  <c r="CC511" i="1"/>
  <c r="AT563" i="1"/>
  <c r="AD563" i="1"/>
  <c r="F373" i="1"/>
  <c r="W317" i="1"/>
  <c r="CP603" i="1"/>
  <c r="O603" i="1" s="1"/>
  <c r="GM603" i="1" s="1"/>
  <c r="GP603" i="1" s="1"/>
  <c r="CP622" i="1"/>
  <c r="O622" i="1" s="1"/>
  <c r="CY791" i="1"/>
  <c r="X791" i="1" s="1"/>
  <c r="CZ791" i="1"/>
  <c r="Y791" i="1" s="1"/>
  <c r="U662" i="1"/>
  <c r="F688" i="1"/>
  <c r="GM818" i="1"/>
  <c r="GP818" i="1" s="1"/>
  <c r="BC959" i="1"/>
  <c r="F991" i="1"/>
  <c r="CI975" i="1"/>
  <c r="CP840" i="1"/>
  <c r="O840" i="1" s="1"/>
  <c r="GM840" i="1" s="1"/>
  <c r="GP840" i="1" s="1"/>
  <c r="CI109" i="1"/>
  <c r="AZ115" i="1"/>
  <c r="CG732" i="1"/>
  <c r="AX860" i="1"/>
  <c r="BC232" i="1"/>
  <c r="F267" i="1"/>
  <c r="T147" i="1"/>
  <c r="F178" i="1"/>
  <c r="GM439" i="1"/>
  <c r="GP439" i="1" s="1"/>
  <c r="W30" i="1"/>
  <c r="F61" i="1"/>
  <c r="GM346" i="1"/>
  <c r="GP346" i="1" s="1"/>
  <c r="GM151" i="1"/>
  <c r="GP151" i="1" s="1"/>
  <c r="U630" i="1"/>
  <c r="AH595" i="1"/>
  <c r="CP855" i="1"/>
  <c r="O855" i="1" s="1"/>
  <c r="GM855" i="1" s="1"/>
  <c r="GP855" i="1" s="1"/>
  <c r="AE200" i="1"/>
  <c r="GK196" i="1"/>
  <c r="GM149" i="1"/>
  <c r="GP149" i="1" s="1"/>
  <c r="AK37" i="1"/>
  <c r="T30" i="1"/>
  <c r="F58" i="1"/>
  <c r="CP34" i="1"/>
  <c r="O34" i="1" s="1"/>
  <c r="CP235" i="1"/>
  <c r="O235" i="1" s="1"/>
  <c r="AD445" i="1"/>
  <c r="AC445" i="1"/>
  <c r="W232" i="1"/>
  <c r="F275" i="1"/>
  <c r="GM528" i="1"/>
  <c r="GP528" i="1" s="1"/>
  <c r="GM544" i="1"/>
  <c r="GP544" i="1" s="1"/>
  <c r="CP524" i="1"/>
  <c r="O524" i="1" s="1"/>
  <c r="GM524" i="1" s="1"/>
  <c r="GP524" i="1" s="1"/>
  <c r="GM549" i="1"/>
  <c r="GP549" i="1" s="1"/>
  <c r="GM779" i="1"/>
  <c r="GP779" i="1" s="1"/>
  <c r="BC732" i="1"/>
  <c r="F876" i="1"/>
  <c r="BC927" i="1"/>
  <c r="GM627" i="1"/>
  <c r="GP627" i="1" s="1"/>
  <c r="CP747" i="1"/>
  <c r="O747" i="1" s="1"/>
  <c r="CY971" i="1"/>
  <c r="X971" i="1" s="1"/>
  <c r="CZ971" i="1"/>
  <c r="Y971" i="1" s="1"/>
  <c r="F936" i="1"/>
  <c r="AP728" i="1"/>
  <c r="AT732" i="1"/>
  <c r="AT927" i="1"/>
  <c r="F878" i="1"/>
  <c r="BB147" i="1"/>
  <c r="F170" i="1"/>
  <c r="AP381" i="1"/>
  <c r="F454" i="1"/>
  <c r="CG69" i="1"/>
  <c r="AX77" i="1"/>
  <c r="GK238" i="1"/>
  <c r="AE251" i="1"/>
  <c r="AT147" i="1"/>
  <c r="F175" i="1"/>
  <c r="AF30" i="1"/>
  <c r="S37" i="1"/>
  <c r="CP739" i="1"/>
  <c r="O739" i="1" s="1"/>
  <c r="AC860" i="1"/>
  <c r="CF147" i="1"/>
  <c r="AW157" i="1"/>
  <c r="AY157" i="1"/>
  <c r="CH147" i="1"/>
  <c r="GM198" i="1"/>
  <c r="GP198" i="1" s="1"/>
  <c r="CY405" i="1"/>
  <c r="X405" i="1" s="1"/>
  <c r="CZ405" i="1"/>
  <c r="Y405" i="1" s="1"/>
  <c r="CP519" i="1"/>
  <c r="O519" i="1" s="1"/>
  <c r="AC563" i="1"/>
  <c r="GM518" i="1"/>
  <c r="GP518" i="1" s="1"/>
  <c r="GM396" i="1"/>
  <c r="GP396" i="1" s="1"/>
  <c r="W563" i="1"/>
  <c r="AJ511" i="1"/>
  <c r="CP438" i="1"/>
  <c r="O438" i="1" s="1"/>
  <c r="GM438" i="1" s="1"/>
  <c r="GP438" i="1" s="1"/>
  <c r="CY622" i="1"/>
  <c r="X622" i="1" s="1"/>
  <c r="CZ622" i="1"/>
  <c r="Y622" i="1" s="1"/>
  <c r="CI563" i="1"/>
  <c r="AP563" i="1"/>
  <c r="BY511" i="1"/>
  <c r="GM616" i="1"/>
  <c r="GP616" i="1" s="1"/>
  <c r="GM746" i="1"/>
  <c r="GP746" i="1" s="1"/>
  <c r="GM756" i="1"/>
  <c r="GP756" i="1" s="1"/>
  <c r="F992" i="1"/>
  <c r="AS959" i="1"/>
  <c r="AW892" i="1"/>
  <c r="F903" i="1"/>
  <c r="BB732" i="1"/>
  <c r="F873" i="1"/>
  <c r="BB927" i="1"/>
  <c r="GM805" i="1"/>
  <c r="GP805" i="1" s="1"/>
  <c r="V251" i="1"/>
  <c r="AI232" i="1"/>
  <c r="AX563" i="1"/>
  <c r="CG511" i="1"/>
  <c r="F166" i="1"/>
  <c r="AP147" i="1"/>
  <c r="AD251" i="1"/>
  <c r="CI147" i="1"/>
  <c r="AZ157" i="1"/>
  <c r="AD200" i="1"/>
  <c r="F179" i="1"/>
  <c r="U147" i="1"/>
  <c r="AC30" i="1"/>
  <c r="P37" i="1"/>
  <c r="CE37" i="1"/>
  <c r="CF37" i="1"/>
  <c r="CH37" i="1"/>
  <c r="CP71" i="1"/>
  <c r="O71" i="1" s="1"/>
  <c r="CY394" i="1"/>
  <c r="X394" i="1" s="1"/>
  <c r="CZ394" i="1"/>
  <c r="Y394" i="1" s="1"/>
  <c r="CP335" i="1"/>
  <c r="O335" i="1" s="1"/>
  <c r="CB381" i="1"/>
  <c r="AS445" i="1"/>
  <c r="CY626" i="1"/>
  <c r="X626" i="1" s="1"/>
  <c r="CZ626" i="1"/>
  <c r="Y626" i="1" s="1"/>
  <c r="GK598" i="1"/>
  <c r="CP664" i="1"/>
  <c r="O664" i="1" s="1"/>
  <c r="AC666" i="1"/>
  <c r="CP773" i="1"/>
  <c r="O773" i="1" s="1"/>
  <c r="CP856" i="1"/>
  <c r="O856" i="1" s="1"/>
  <c r="GM794" i="1"/>
  <c r="GP794" i="1" s="1"/>
  <c r="GM829" i="1"/>
  <c r="GP829" i="1" s="1"/>
  <c r="CZ843" i="1"/>
  <c r="Y843" i="1" s="1"/>
  <c r="CY843" i="1"/>
  <c r="X843" i="1" s="1"/>
  <c r="AT349" i="1"/>
  <c r="CC317" i="1"/>
  <c r="CG30" i="1"/>
  <c r="AX37" i="1"/>
  <c r="AT975" i="1"/>
  <c r="CC959" i="1"/>
  <c r="CC381" i="1"/>
  <c r="AT445" i="1"/>
  <c r="AI109" i="1"/>
  <c r="V115" i="1"/>
  <c r="F353" i="1"/>
  <c r="AO317" i="1"/>
  <c r="AO475" i="1"/>
  <c r="CI317" i="1"/>
  <c r="AZ349" i="1"/>
  <c r="CY847" i="1"/>
  <c r="X847" i="1" s="1"/>
  <c r="CZ847" i="1"/>
  <c r="Y847" i="1" s="1"/>
  <c r="GM32" i="1"/>
  <c r="F81" i="1"/>
  <c r="AO69" i="1"/>
  <c r="AQ30" i="1"/>
  <c r="F47" i="1"/>
  <c r="AG189" i="1"/>
  <c r="T200" i="1"/>
  <c r="GM247" i="1"/>
  <c r="GP247" i="1" s="1"/>
  <c r="AU147" i="1"/>
  <c r="F176" i="1"/>
  <c r="AG109" i="1"/>
  <c r="T115" i="1"/>
  <c r="AO147" i="1"/>
  <c r="F161" i="1"/>
  <c r="AS69" i="1"/>
  <c r="F94" i="1"/>
  <c r="CE147" i="1"/>
  <c r="AV157" i="1"/>
  <c r="GM244" i="1"/>
  <c r="GP244" i="1" s="1"/>
  <c r="AS349" i="1"/>
  <c r="CB317" i="1"/>
  <c r="F184" i="1"/>
  <c r="Y147" i="1"/>
  <c r="AC69" i="1"/>
  <c r="CE77" i="1"/>
  <c r="CH77" i="1"/>
  <c r="CF77" i="1"/>
  <c r="P77" i="1"/>
  <c r="AP251" i="1"/>
  <c r="CI251" i="1"/>
  <c r="BY232" i="1"/>
  <c r="AK200" i="1"/>
  <c r="GM35" i="1"/>
  <c r="GP35" i="1" s="1"/>
  <c r="AO189" i="1"/>
  <c r="F204" i="1"/>
  <c r="CP197" i="1"/>
  <c r="O197" i="1" s="1"/>
  <c r="GM197" i="1" s="1"/>
  <c r="GP197" i="1" s="1"/>
  <c r="CP191" i="1"/>
  <c r="O191" i="1" s="1"/>
  <c r="GM191" i="1" s="1"/>
  <c r="GP191" i="1" s="1"/>
  <c r="AI860" i="1"/>
  <c r="AS595" i="1"/>
  <c r="F647" i="1"/>
  <c r="AD630" i="1"/>
  <c r="CY766" i="1"/>
  <c r="X766" i="1" s="1"/>
  <c r="CZ766" i="1"/>
  <c r="Y766" i="1" s="1"/>
  <c r="BD595" i="1"/>
  <c r="F655" i="1"/>
  <c r="CY806" i="1"/>
  <c r="X806" i="1" s="1"/>
  <c r="CZ806" i="1"/>
  <c r="Y806" i="1" s="1"/>
  <c r="X892" i="1"/>
  <c r="F923" i="1"/>
  <c r="V147" i="1"/>
  <c r="F180" i="1"/>
  <c r="CP111" i="1"/>
  <c r="O111" i="1" s="1"/>
  <c r="AC115" i="1"/>
  <c r="BC30" i="1"/>
  <c r="F53" i="1"/>
  <c r="BC281" i="1"/>
  <c r="U200" i="1"/>
  <c r="AH189" i="1"/>
  <c r="CY238" i="1"/>
  <c r="X238" i="1" s="1"/>
  <c r="CZ238" i="1"/>
  <c r="Y238" i="1" s="1"/>
  <c r="AF251" i="1"/>
  <c r="BB189" i="1"/>
  <c r="F213" i="1"/>
  <c r="AJ109" i="1"/>
  <c r="W115" i="1"/>
  <c r="S200" i="1"/>
  <c r="AF189" i="1"/>
  <c r="F97" i="1"/>
  <c r="BA69" i="1"/>
  <c r="GM155" i="1"/>
  <c r="GP155" i="1" s="1"/>
  <c r="F218" i="1"/>
  <c r="AT189" i="1"/>
  <c r="BC475" i="1"/>
  <c r="BC381" i="1"/>
  <c r="F461" i="1"/>
  <c r="AE563" i="1"/>
  <c r="CY855" i="1"/>
  <c r="X855" i="1" s="1"/>
  <c r="CZ855" i="1"/>
  <c r="Y855" i="1" s="1"/>
  <c r="AG69" i="1"/>
  <c r="T77" i="1"/>
  <c r="CI30" i="1"/>
  <c r="AZ37" i="1"/>
  <c r="BA109" i="1"/>
  <c r="F135" i="1"/>
  <c r="AX200" i="1"/>
  <c r="CG189" i="1"/>
  <c r="CP238" i="1"/>
  <c r="O238" i="1" s="1"/>
  <c r="GM324" i="1"/>
  <c r="GP324" i="1" s="1"/>
  <c r="GM388" i="1"/>
  <c r="GP388" i="1" s="1"/>
  <c r="CY332" i="1"/>
  <c r="X332" i="1" s="1"/>
  <c r="CZ332" i="1"/>
  <c r="Y332" i="1" s="1"/>
  <c r="AL349" i="1" s="1"/>
  <c r="W189" i="1"/>
  <c r="F224" i="1"/>
  <c r="F567" i="1"/>
  <c r="AO511" i="1"/>
  <c r="AO696" i="1"/>
  <c r="AF511" i="1"/>
  <c r="S563" i="1"/>
  <c r="CP432" i="1"/>
  <c r="O432" i="1" s="1"/>
  <c r="GM432" i="1" s="1"/>
  <c r="GP432" i="1" s="1"/>
  <c r="CP601" i="1"/>
  <c r="O601" i="1" s="1"/>
  <c r="BB595" i="1"/>
  <c r="F643" i="1"/>
  <c r="AP595" i="1"/>
  <c r="F639" i="1"/>
  <c r="CP751" i="1"/>
  <c r="O751" i="1" s="1"/>
  <c r="GM751" i="1" s="1"/>
  <c r="GP751" i="1" s="1"/>
  <c r="AH511" i="1"/>
  <c r="U563" i="1"/>
  <c r="CP809" i="1"/>
  <c r="O809" i="1" s="1"/>
  <c r="GM809" i="1" s="1"/>
  <c r="GP809" i="1" s="1"/>
  <c r="F904" i="1"/>
  <c r="AX892" i="1"/>
  <c r="CY848" i="1"/>
  <c r="X848" i="1" s="1"/>
  <c r="CZ848" i="1"/>
  <c r="Y848" i="1" s="1"/>
  <c r="GM784" i="1"/>
  <c r="GP784" i="1" s="1"/>
  <c r="CP793" i="1"/>
  <c r="O793" i="1" s="1"/>
  <c r="GM793" i="1" s="1"/>
  <c r="GP793" i="1" s="1"/>
  <c r="F905" i="1"/>
  <c r="AY892" i="1"/>
  <c r="CJ189" i="1"/>
  <c r="BA200" i="1"/>
  <c r="S147" i="1"/>
  <c r="F172" i="1"/>
  <c r="F181" i="1"/>
  <c r="W147" i="1"/>
  <c r="AH109" i="1"/>
  <c r="U115" i="1"/>
  <c r="BB109" i="1"/>
  <c r="F128" i="1"/>
  <c r="AP109" i="1"/>
  <c r="F124" i="1"/>
  <c r="AQ563" i="1"/>
  <c r="BZ511" i="1"/>
  <c r="CP759" i="1"/>
  <c r="O759" i="1" s="1"/>
  <c r="GM759" i="1" s="1"/>
  <c r="GP759" i="1" s="1"/>
  <c r="CJ381" i="1"/>
  <c r="BA445" i="1"/>
  <c r="AZ630" i="1"/>
  <c r="CI595" i="1"/>
  <c r="CZ775" i="1"/>
  <c r="Y775" i="1" s="1"/>
  <c r="CY775" i="1"/>
  <c r="X775" i="1" s="1"/>
  <c r="AZ892" i="1"/>
  <c r="F908" i="1"/>
  <c r="AS30" i="1"/>
  <c r="F54" i="1"/>
  <c r="AS281" i="1"/>
  <c r="BB30" i="1"/>
  <c r="F50" i="1"/>
  <c r="BB281" i="1"/>
  <c r="AP30" i="1"/>
  <c r="F46" i="1"/>
  <c r="R147" i="1"/>
  <c r="F171" i="1"/>
  <c r="F183" i="1"/>
  <c r="X147" i="1"/>
  <c r="GM333" i="1"/>
  <c r="GP333" i="1" s="1"/>
  <c r="GM341" i="1"/>
  <c r="GP341" i="1" s="1"/>
  <c r="GM339" i="1"/>
  <c r="GP339" i="1" s="1"/>
  <c r="F269" i="1"/>
  <c r="AT232" i="1"/>
  <c r="BB511" i="1"/>
  <c r="BB696" i="1"/>
  <c r="F576" i="1"/>
  <c r="GM520" i="1"/>
  <c r="GP520" i="1" s="1"/>
  <c r="CP628" i="1"/>
  <c r="O628" i="1" s="1"/>
  <c r="AX630" i="1"/>
  <c r="CG595" i="1"/>
  <c r="CY615" i="1"/>
  <c r="X615" i="1" s="1"/>
  <c r="CZ615" i="1"/>
  <c r="Y615" i="1" s="1"/>
  <c r="GK739" i="1"/>
  <c r="GM534" i="1"/>
  <c r="GP534" i="1" s="1"/>
  <c r="GM778" i="1"/>
  <c r="GP778" i="1" s="1"/>
  <c r="AJ662" i="1"/>
  <c r="W666" i="1"/>
  <c r="CY773" i="1"/>
  <c r="X773" i="1" s="1"/>
  <c r="CZ773" i="1"/>
  <c r="Y773" i="1" s="1"/>
  <c r="CY513" i="1"/>
  <c r="X513" i="1" s="1"/>
  <c r="GM513" i="1" s="1"/>
  <c r="GP513" i="1" s="1"/>
  <c r="CZ513" i="1"/>
  <c r="Y513" i="1" s="1"/>
  <c r="CP744" i="1"/>
  <c r="O744" i="1" s="1"/>
  <c r="GM744" i="1" s="1"/>
  <c r="GP744" i="1" s="1"/>
  <c r="CZ851" i="1"/>
  <c r="Y851" i="1" s="1"/>
  <c r="CY851" i="1"/>
  <c r="X851" i="1" s="1"/>
  <c r="CP797" i="1"/>
  <c r="O797" i="1" s="1"/>
  <c r="AF975" i="1"/>
  <c r="L744" i="8" l="1"/>
  <c r="P744" i="8"/>
  <c r="K134" i="7"/>
  <c r="P134" i="7"/>
  <c r="L774" i="8"/>
  <c r="P774" i="8"/>
  <c r="K738" i="7"/>
  <c r="P738" i="7"/>
  <c r="K266" i="7"/>
  <c r="P266" i="7"/>
  <c r="L1108" i="8"/>
  <c r="P1108" i="8"/>
  <c r="P1278" i="8"/>
  <c r="L1278" i="8"/>
  <c r="P1028" i="7"/>
  <c r="K1028" i="7"/>
  <c r="P1034" i="8"/>
  <c r="L1034" i="8"/>
  <c r="I1264" i="7"/>
  <c r="P353" i="8"/>
  <c r="L353" i="8"/>
  <c r="L877" i="8"/>
  <c r="P877" i="8"/>
  <c r="L534" i="8"/>
  <c r="P534" i="8"/>
  <c r="L617" i="8"/>
  <c r="P617" i="8"/>
  <c r="P265" i="8"/>
  <c r="L265" i="8"/>
  <c r="L1044" i="8"/>
  <c r="P1044" i="8"/>
  <c r="K1201" i="7"/>
  <c r="P1201" i="7"/>
  <c r="P528" i="7"/>
  <c r="K528" i="7"/>
  <c r="L1129" i="8"/>
  <c r="P1129" i="8"/>
  <c r="L691" i="8"/>
  <c r="P691" i="8"/>
  <c r="P1123" i="7"/>
  <c r="K1123" i="7"/>
  <c r="P574" i="7"/>
  <c r="K574" i="7"/>
  <c r="GM323" i="1"/>
  <c r="GP323" i="1" s="1"/>
  <c r="L203" i="8"/>
  <c r="P203" i="8"/>
  <c r="L856" i="8"/>
  <c r="P856" i="8"/>
  <c r="P241" i="8"/>
  <c r="L241" i="8"/>
  <c r="L444" i="8"/>
  <c r="P444" i="8"/>
  <c r="T281" i="1"/>
  <c r="T26" i="1" s="1"/>
  <c r="K775" i="7"/>
  <c r="P775" i="7"/>
  <c r="K542" i="7"/>
  <c r="P542" i="7"/>
  <c r="P371" i="7"/>
  <c r="K371" i="7"/>
  <c r="K259" i="7"/>
  <c r="P259" i="7"/>
  <c r="P377" i="8"/>
  <c r="L377" i="8"/>
  <c r="P140" i="8"/>
  <c r="L140" i="8"/>
  <c r="P768" i="7"/>
  <c r="K768" i="7"/>
  <c r="I310" i="7"/>
  <c r="P297" i="8"/>
  <c r="L297" i="8"/>
  <c r="R501" i="7"/>
  <c r="J504" i="7" s="1"/>
  <c r="I507" i="7" s="1"/>
  <c r="R507" i="8"/>
  <c r="K510" i="8" s="1"/>
  <c r="J513" i="8" s="1"/>
  <c r="T951" i="7"/>
  <c r="J957" i="7" s="1"/>
  <c r="I960" i="7" s="1"/>
  <c r="T957" i="8"/>
  <c r="K963" i="8" s="1"/>
  <c r="GK242" i="1"/>
  <c r="J174" i="7"/>
  <c r="K180" i="8"/>
  <c r="GM555" i="1"/>
  <c r="GP555" i="1" s="1"/>
  <c r="R717" i="7"/>
  <c r="J720" i="7" s="1"/>
  <c r="I723" i="7" s="1"/>
  <c r="R723" i="8"/>
  <c r="K726" i="8" s="1"/>
  <c r="J729" i="8" s="1"/>
  <c r="P77" i="8"/>
  <c r="L77" i="8"/>
  <c r="R1047" i="8"/>
  <c r="K1050" i="8" s="1"/>
  <c r="J1053" i="8" s="1"/>
  <c r="R1041" i="7"/>
  <c r="J1044" i="7" s="1"/>
  <c r="I1047" i="7" s="1"/>
  <c r="I850" i="7"/>
  <c r="T1083" i="8"/>
  <c r="K1089" i="8" s="1"/>
  <c r="J1092" i="8" s="1"/>
  <c r="T1077" i="7"/>
  <c r="J1083" i="7" s="1"/>
  <c r="I1086" i="7" s="1"/>
  <c r="T582" i="7"/>
  <c r="J586" i="7" s="1"/>
  <c r="I588" i="7" s="1"/>
  <c r="T588" i="8"/>
  <c r="K592" i="8" s="1"/>
  <c r="AC232" i="1"/>
  <c r="CE251" i="1"/>
  <c r="P251" i="1"/>
  <c r="R575" i="7"/>
  <c r="J578" i="7" s="1"/>
  <c r="I581" i="7" s="1"/>
  <c r="R581" i="8"/>
  <c r="K584" i="8" s="1"/>
  <c r="T700" i="7"/>
  <c r="J706" i="7" s="1"/>
  <c r="T706" i="8"/>
  <c r="K712" i="8" s="1"/>
  <c r="R334" i="7"/>
  <c r="J337" i="7" s="1"/>
  <c r="R340" i="8"/>
  <c r="K343" i="8" s="1"/>
  <c r="J346" i="8" s="1"/>
  <c r="I1192" i="7"/>
  <c r="AE975" i="1"/>
  <c r="R975" i="1" s="1"/>
  <c r="GM598" i="1"/>
  <c r="GP598" i="1" s="1"/>
  <c r="GK111" i="1"/>
  <c r="GM111" i="1" s="1"/>
  <c r="GM739" i="1"/>
  <c r="GP739" i="1" s="1"/>
  <c r="GM747" i="1"/>
  <c r="GP747" i="1" s="1"/>
  <c r="AH317" i="1"/>
  <c r="Q666" i="1"/>
  <c r="F678" i="1" s="1"/>
  <c r="R857" i="8"/>
  <c r="K860" i="8" s="1"/>
  <c r="R851" i="7"/>
  <c r="J854" i="7" s="1"/>
  <c r="I857" i="7" s="1"/>
  <c r="R388" i="7"/>
  <c r="J391" i="7" s="1"/>
  <c r="R394" i="8"/>
  <c r="K397" i="8" s="1"/>
  <c r="J400" i="8" s="1"/>
  <c r="R448" i="7"/>
  <c r="J451" i="7" s="1"/>
  <c r="R454" i="8"/>
  <c r="K457" i="8" s="1"/>
  <c r="GM419" i="1"/>
  <c r="GP419" i="1" s="1"/>
  <c r="J1330" i="8"/>
  <c r="T501" i="7"/>
  <c r="J505" i="7" s="1"/>
  <c r="T507" i="8"/>
  <c r="K511" i="8" s="1"/>
  <c r="W77" i="1"/>
  <c r="AJ69" i="1"/>
  <c r="R582" i="7"/>
  <c r="J585" i="7" s="1"/>
  <c r="R588" i="8"/>
  <c r="K591" i="8" s="1"/>
  <c r="J594" i="8" s="1"/>
  <c r="T1224" i="7"/>
  <c r="J1228" i="7" s="1"/>
  <c r="I1230" i="7" s="1"/>
  <c r="T1230" i="8"/>
  <c r="K1234" i="8" s="1"/>
  <c r="J1236" i="8" s="1"/>
  <c r="I611" i="7"/>
  <c r="T1279" i="8"/>
  <c r="K1284" i="8" s="1"/>
  <c r="T1273" i="7"/>
  <c r="J1278" i="7" s="1"/>
  <c r="J248" i="8"/>
  <c r="I843" i="7"/>
  <c r="I1151" i="7"/>
  <c r="I1272" i="7"/>
  <c r="P429" i="7"/>
  <c r="K429" i="7"/>
  <c r="R922" i="7"/>
  <c r="J925" i="7" s="1"/>
  <c r="R928" i="8"/>
  <c r="K931" i="8" s="1"/>
  <c r="J934" i="8" s="1"/>
  <c r="P1215" i="7"/>
  <c r="K1215" i="7"/>
  <c r="T776" i="7"/>
  <c r="J782" i="7" s="1"/>
  <c r="T782" i="8"/>
  <c r="K788" i="8" s="1"/>
  <c r="P349" i="1"/>
  <c r="F352" i="1" s="1"/>
  <c r="T1249" i="7"/>
  <c r="J1254" i="7" s="1"/>
  <c r="T1255" i="8"/>
  <c r="K1260" i="8" s="1"/>
  <c r="GM34" i="1"/>
  <c r="GP34" i="1" s="1"/>
  <c r="AK666" i="1"/>
  <c r="X666" i="1" s="1"/>
  <c r="R805" i="7"/>
  <c r="J811" i="7" s="1"/>
  <c r="I815" i="7" s="1"/>
  <c r="R811" i="8"/>
  <c r="K817" i="8" s="1"/>
  <c r="GM331" i="1"/>
  <c r="GP331" i="1" s="1"/>
  <c r="AQ595" i="1"/>
  <c r="F640" i="1"/>
  <c r="T422" i="8"/>
  <c r="K426" i="8" s="1"/>
  <c r="T416" i="7"/>
  <c r="J420" i="7" s="1"/>
  <c r="T1041" i="7"/>
  <c r="J1045" i="7" s="1"/>
  <c r="T1047" i="8"/>
  <c r="K1051" i="8" s="1"/>
  <c r="P218" i="7"/>
  <c r="K218" i="7"/>
  <c r="P1198" i="8"/>
  <c r="L1198" i="8"/>
  <c r="BA860" i="1"/>
  <c r="BA732" i="1" s="1"/>
  <c r="GK71" i="1"/>
  <c r="GM71" i="1" s="1"/>
  <c r="P242" i="7"/>
  <c r="K242" i="7"/>
  <c r="V349" i="1"/>
  <c r="AI317" i="1"/>
  <c r="GM338" i="1"/>
  <c r="GP338" i="1" s="1"/>
  <c r="J991" i="8"/>
  <c r="K1311" i="8"/>
  <c r="J1305" i="7"/>
  <c r="GK961" i="1"/>
  <c r="GM961" i="1" s="1"/>
  <c r="R836" i="7"/>
  <c r="J840" i="7" s="1"/>
  <c r="R842" i="8"/>
  <c r="K846" i="8" s="1"/>
  <c r="GM561" i="1"/>
  <c r="GP561" i="1" s="1"/>
  <c r="K1054" i="7"/>
  <c r="P1054" i="7"/>
  <c r="L185" i="8"/>
  <c r="P185" i="8"/>
  <c r="AL445" i="1"/>
  <c r="T439" i="7"/>
  <c r="J445" i="7" s="1"/>
  <c r="T445" i="8"/>
  <c r="K451" i="8"/>
  <c r="AL975" i="1"/>
  <c r="Y975" i="1" s="1"/>
  <c r="T1335" i="7"/>
  <c r="J1339" i="7" s="1"/>
  <c r="T1341" i="8"/>
  <c r="K1345" i="8" s="1"/>
  <c r="R529" i="7"/>
  <c r="J532" i="7" s="1"/>
  <c r="R535" i="8"/>
  <c r="K538" i="8" s="1"/>
  <c r="J541" i="8" s="1"/>
  <c r="J722" i="8"/>
  <c r="T642" i="7"/>
  <c r="J648" i="7" s="1"/>
  <c r="T648" i="8"/>
  <c r="K654" i="8" s="1"/>
  <c r="T1103" i="7"/>
  <c r="J1107" i="7" s="1"/>
  <c r="T1109" i="8"/>
  <c r="K1113" i="8" s="1"/>
  <c r="GM853" i="1"/>
  <c r="GP853" i="1" s="1"/>
  <c r="T72" i="7"/>
  <c r="J78" i="7" s="1"/>
  <c r="T78" i="8"/>
  <c r="K84" i="8" s="1"/>
  <c r="J444" i="7"/>
  <c r="I447" i="7" s="1"/>
  <c r="T836" i="7"/>
  <c r="J841" i="7" s="1"/>
  <c r="T842" i="8"/>
  <c r="K847" i="8" s="1"/>
  <c r="J849" i="8" s="1"/>
  <c r="AK349" i="1"/>
  <c r="AK317" i="1" s="1"/>
  <c r="AK975" i="1"/>
  <c r="AK959" i="1" s="1"/>
  <c r="R1341" i="8"/>
  <c r="K1344" i="8" s="1"/>
  <c r="R1335" i="7"/>
  <c r="J1338" i="7" s="1"/>
  <c r="I1341" i="7" s="1"/>
  <c r="I394" i="7"/>
  <c r="J789" i="7"/>
  <c r="K795" i="8"/>
  <c r="GK613" i="1"/>
  <c r="GM613" i="1" s="1"/>
  <c r="GP613" i="1" s="1"/>
  <c r="I535" i="7"/>
  <c r="T595" i="1"/>
  <c r="AL77" i="1"/>
  <c r="T58" i="7"/>
  <c r="J62" i="7" s="1"/>
  <c r="T64" i="8"/>
  <c r="K68" i="8" s="1"/>
  <c r="J1136" i="8"/>
  <c r="T317" i="8"/>
  <c r="K322" i="8" s="1"/>
  <c r="T311" i="7"/>
  <c r="J316" i="7" s="1"/>
  <c r="R893" i="8"/>
  <c r="K896" i="8" s="1"/>
  <c r="R887" i="7"/>
  <c r="J890" i="7" s="1"/>
  <c r="I893" i="7" s="1"/>
  <c r="T963" i="7"/>
  <c r="J968" i="7" s="1"/>
  <c r="T969" i="8"/>
  <c r="K974" i="8" s="1"/>
  <c r="S349" i="1"/>
  <c r="S317" i="1" s="1"/>
  <c r="AK77" i="1"/>
  <c r="R58" i="7"/>
  <c r="J61" i="7" s="1"/>
  <c r="R64" i="8"/>
  <c r="K67" i="8" s="1"/>
  <c r="J70" i="8" s="1"/>
  <c r="GM971" i="1"/>
  <c r="GP971" i="1" s="1"/>
  <c r="GM745" i="1"/>
  <c r="GP745" i="1" s="1"/>
  <c r="GM334" i="1"/>
  <c r="GP334" i="1" s="1"/>
  <c r="I604" i="7"/>
  <c r="J139" i="7"/>
  <c r="K145" i="8"/>
  <c r="K347" i="7"/>
  <c r="P347" i="7"/>
  <c r="GM749" i="1"/>
  <c r="GP749" i="1" s="1"/>
  <c r="T887" i="7"/>
  <c r="J891" i="7" s="1"/>
  <c r="T893" i="8"/>
  <c r="K897" i="8" s="1"/>
  <c r="GK237" i="1"/>
  <c r="GM237" i="1" s="1"/>
  <c r="J128" i="7"/>
  <c r="K134" i="8"/>
  <c r="F455" i="1"/>
  <c r="AQ381" i="1"/>
  <c r="J332" i="8"/>
  <c r="R963" i="7"/>
  <c r="J967" i="7" s="1"/>
  <c r="I970" i="7" s="1"/>
  <c r="R969" i="8"/>
  <c r="K973" i="8" s="1"/>
  <c r="GM626" i="1"/>
  <c r="GP626" i="1" s="1"/>
  <c r="AE349" i="1"/>
  <c r="R349" i="1" s="1"/>
  <c r="J801" i="8"/>
  <c r="T448" i="7"/>
  <c r="J452" i="7" s="1"/>
  <c r="T454" i="8"/>
  <c r="K458" i="8" s="1"/>
  <c r="J460" i="8" s="1"/>
  <c r="T558" i="7"/>
  <c r="J564" i="7" s="1"/>
  <c r="T564" i="8"/>
  <c r="K570" i="8" s="1"/>
  <c r="J1207" i="8"/>
  <c r="GM857" i="1"/>
  <c r="GP857" i="1" s="1"/>
  <c r="R1281" i="7"/>
  <c r="J1285" i="7" s="1"/>
  <c r="R1287" i="8"/>
  <c r="K1291" i="8" s="1"/>
  <c r="J667" i="8"/>
  <c r="GK323" i="1"/>
  <c r="J246" i="7"/>
  <c r="K252" i="8"/>
  <c r="I685" i="7"/>
  <c r="I326" i="7"/>
  <c r="J1188" i="8"/>
  <c r="J506" i="8"/>
  <c r="T986" i="7"/>
  <c r="J990" i="7" s="1"/>
  <c r="I992" i="7" s="1"/>
  <c r="T992" i="8"/>
  <c r="K996" i="8" s="1"/>
  <c r="R776" i="7"/>
  <c r="J781" i="7" s="1"/>
  <c r="R782" i="8"/>
  <c r="K787" i="8" s="1"/>
  <c r="J791" i="8" s="1"/>
  <c r="I402" i="7"/>
  <c r="T1312" i="7"/>
  <c r="J1315" i="7" s="1"/>
  <c r="I1317" i="7" s="1"/>
  <c r="T1318" i="8"/>
  <c r="K1321" i="8" s="1"/>
  <c r="J1122" i="8"/>
  <c r="GM536" i="1"/>
  <c r="GP536" i="1" s="1"/>
  <c r="T672" i="7"/>
  <c r="J676" i="7" s="1"/>
  <c r="T678" i="8"/>
  <c r="K682" i="8" s="1"/>
  <c r="R944" i="7"/>
  <c r="J947" i="7" s="1"/>
  <c r="I950" i="7" s="1"/>
  <c r="R950" i="8"/>
  <c r="K953" i="8" s="1"/>
  <c r="J1317" i="8"/>
  <c r="I921" i="7"/>
  <c r="GM833" i="1"/>
  <c r="GP833" i="1" s="1"/>
  <c r="T372" i="7"/>
  <c r="J375" i="7" s="1"/>
  <c r="T378" i="8"/>
  <c r="K381" i="8" s="1"/>
  <c r="J383" i="8" s="1"/>
  <c r="J1005" i="8"/>
  <c r="R858" i="7"/>
  <c r="J861" i="7" s="1"/>
  <c r="I864" i="7" s="1"/>
  <c r="R864" i="8"/>
  <c r="K867" i="8" s="1"/>
  <c r="J870" i="8" s="1"/>
  <c r="T971" i="7"/>
  <c r="J976" i="7" s="1"/>
  <c r="T977" i="8"/>
  <c r="K982" i="8" s="1"/>
  <c r="J984" i="8" s="1"/>
  <c r="K179" i="7"/>
  <c r="P179" i="7"/>
  <c r="K333" i="7"/>
  <c r="P333" i="7"/>
  <c r="R1077" i="7"/>
  <c r="J1082" i="7" s="1"/>
  <c r="R1083" i="8"/>
  <c r="K1088" i="8" s="1"/>
  <c r="K1038" i="7"/>
  <c r="P1038" i="7"/>
  <c r="T1089" i="7"/>
  <c r="J1093" i="7" s="1"/>
  <c r="I1095" i="7" s="1"/>
  <c r="T1095" i="8"/>
  <c r="K1099" i="8" s="1"/>
  <c r="J1101" i="8" s="1"/>
  <c r="K1130" i="7"/>
  <c r="P1130" i="7"/>
  <c r="L466" i="8"/>
  <c r="P466" i="8"/>
  <c r="R292" i="7"/>
  <c r="J298" i="7" s="1"/>
  <c r="I302" i="7" s="1"/>
  <c r="R298" i="8"/>
  <c r="K304" i="8" s="1"/>
  <c r="J308" i="8" s="1"/>
  <c r="R971" i="7"/>
  <c r="J975" i="7" s="1"/>
  <c r="I978" i="7" s="1"/>
  <c r="R977" i="8"/>
  <c r="K981" i="8" s="1"/>
  <c r="P160" i="7"/>
  <c r="K160" i="7"/>
  <c r="T1281" i="7"/>
  <c r="J1286" i="7" s="1"/>
  <c r="I1288" i="7" s="1"/>
  <c r="T1287" i="8"/>
  <c r="K1292" i="8" s="1"/>
  <c r="J1294" i="8" s="1"/>
  <c r="L480" i="8"/>
  <c r="P480" i="8"/>
  <c r="K43" i="7"/>
  <c r="P43" i="7"/>
  <c r="T1145" i="7"/>
  <c r="J1149" i="7" s="1"/>
  <c r="T1151" i="8"/>
  <c r="K1155" i="8" s="1"/>
  <c r="J1157" i="8" s="1"/>
  <c r="GK602" i="1"/>
  <c r="GM602" i="1" s="1"/>
  <c r="GP602" i="1" s="1"/>
  <c r="K759" i="8"/>
  <c r="J753" i="7"/>
  <c r="T950" i="8"/>
  <c r="K954" i="8" s="1"/>
  <c r="T944" i="7"/>
  <c r="J948" i="7" s="1"/>
  <c r="P1356" i="8"/>
  <c r="L1356" i="8"/>
  <c r="I1182" i="7"/>
  <c r="J603" i="8"/>
  <c r="I438" i="7"/>
  <c r="CE975" i="1"/>
  <c r="AV975" i="1" s="1"/>
  <c r="T161" i="7"/>
  <c r="J167" i="7" s="1"/>
  <c r="I170" i="7" s="1"/>
  <c r="T167" i="8"/>
  <c r="K173" i="8" s="1"/>
  <c r="J176" i="8" s="1"/>
  <c r="T551" i="7"/>
  <c r="J555" i="7" s="1"/>
  <c r="T557" i="8"/>
  <c r="K561" i="8" s="1"/>
  <c r="R1308" i="8"/>
  <c r="K1313" i="8" s="1"/>
  <c r="R1302" i="7"/>
  <c r="J1307" i="7" s="1"/>
  <c r="P1116" i="7"/>
  <c r="K1116" i="7"/>
  <c r="L166" i="8"/>
  <c r="P166" i="8"/>
  <c r="R372" i="7"/>
  <c r="J374" i="7" s="1"/>
  <c r="I377" i="7" s="1"/>
  <c r="R378" i="8"/>
  <c r="K380" i="8" s="1"/>
  <c r="J1150" i="8"/>
  <c r="T1015" i="7"/>
  <c r="J1019" i="7" s="1"/>
  <c r="T1021" i="8"/>
  <c r="K1025" i="8" s="1"/>
  <c r="CH975" i="1"/>
  <c r="CH959" i="1" s="1"/>
  <c r="F877" i="1"/>
  <c r="CF975" i="1"/>
  <c r="CF959" i="1" s="1"/>
  <c r="J625" i="7"/>
  <c r="K631" i="8"/>
  <c r="GK515" i="1"/>
  <c r="GM515" i="1" s="1"/>
  <c r="T475" i="7"/>
  <c r="J479" i="7" s="1"/>
  <c r="I481" i="7" s="1"/>
  <c r="T481" i="8"/>
  <c r="K485" i="8" s="1"/>
  <c r="J487" i="8" s="1"/>
  <c r="T920" i="8"/>
  <c r="K925" i="8" s="1"/>
  <c r="J927" i="8" s="1"/>
  <c r="T914" i="7"/>
  <c r="J919" i="7" s="1"/>
  <c r="T1138" i="7"/>
  <c r="J1142" i="7" s="1"/>
  <c r="T1144" i="8"/>
  <c r="K1148" i="8" s="1"/>
  <c r="T688" i="7"/>
  <c r="J694" i="7" s="1"/>
  <c r="T694" i="8"/>
  <c r="K700" i="8" s="1"/>
  <c r="GM766" i="1"/>
  <c r="GP766" i="1" s="1"/>
  <c r="R935" i="8"/>
  <c r="K939" i="8" s="1"/>
  <c r="J942" i="8" s="1"/>
  <c r="R929" i="7"/>
  <c r="J933" i="7" s="1"/>
  <c r="AL630" i="1"/>
  <c r="AS732" i="1"/>
  <c r="R878" i="8"/>
  <c r="K882" i="8" s="1"/>
  <c r="J885" i="8" s="1"/>
  <c r="R872" i="7"/>
  <c r="J876" i="7" s="1"/>
  <c r="I879" i="7" s="1"/>
  <c r="J587" i="8"/>
  <c r="K235" i="7"/>
  <c r="P235" i="7"/>
  <c r="T104" i="7"/>
  <c r="J108" i="7" s="1"/>
  <c r="T110" i="8"/>
  <c r="K114" i="8" s="1"/>
  <c r="J116" i="8" s="1"/>
  <c r="GK553" i="1"/>
  <c r="GM553" i="1" s="1"/>
  <c r="GP553" i="1" s="1"/>
  <c r="J704" i="7"/>
  <c r="K710" i="8"/>
  <c r="J755" i="8"/>
  <c r="R632" i="7"/>
  <c r="J637" i="7" s="1"/>
  <c r="R638" i="8"/>
  <c r="K643" i="8" s="1"/>
  <c r="I118" i="7"/>
  <c r="F86" i="1"/>
  <c r="AP69" i="1"/>
  <c r="GK834" i="1"/>
  <c r="GM834" i="1" s="1"/>
  <c r="GP834" i="1" s="1"/>
  <c r="K1182" i="8"/>
  <c r="J1176" i="7"/>
  <c r="GM523" i="1"/>
  <c r="GP523" i="1" s="1"/>
  <c r="AE37" i="1"/>
  <c r="AE30" i="1" s="1"/>
  <c r="AL251" i="1"/>
  <c r="AL232" i="1" s="1"/>
  <c r="T135" i="7"/>
  <c r="J142" i="7" s="1"/>
  <c r="T141" i="8"/>
  <c r="K148" i="8" s="1"/>
  <c r="T1233" i="7"/>
  <c r="J1238" i="7" s="1"/>
  <c r="T1239" i="8"/>
  <c r="K1244" i="8" s="1"/>
  <c r="AK860" i="1"/>
  <c r="R880" i="7"/>
  <c r="J883" i="7" s="1"/>
  <c r="R886" i="8"/>
  <c r="K889" i="8" s="1"/>
  <c r="J892" i="8" s="1"/>
  <c r="U251" i="1"/>
  <c r="U281" i="1" s="1"/>
  <c r="I597" i="7"/>
  <c r="R662" i="7"/>
  <c r="J667" i="7" s="1"/>
  <c r="R668" i="8"/>
  <c r="K673" i="8" s="1"/>
  <c r="GM771" i="1"/>
  <c r="GP771" i="1" s="1"/>
  <c r="R951" i="7"/>
  <c r="J956" i="7" s="1"/>
  <c r="R957" i="8"/>
  <c r="K962" i="8" s="1"/>
  <c r="J966" i="8" s="1"/>
  <c r="GM403" i="1"/>
  <c r="GP403" i="1" s="1"/>
  <c r="T1158" i="8"/>
  <c r="K1162" i="8" s="1"/>
  <c r="T1152" i="7"/>
  <c r="J1156" i="7" s="1"/>
  <c r="I1158" i="7" s="1"/>
  <c r="GM551" i="1"/>
  <c r="GP551" i="1" s="1"/>
  <c r="GM425" i="1"/>
  <c r="GP425" i="1" s="1"/>
  <c r="GK73" i="1"/>
  <c r="J76" i="7"/>
  <c r="K82" i="8"/>
  <c r="J339" i="8"/>
  <c r="GK810" i="1"/>
  <c r="GM810" i="1" s="1"/>
  <c r="GP810" i="1" s="1"/>
  <c r="J1080" i="7"/>
  <c r="K1086" i="8"/>
  <c r="J58" i="8"/>
  <c r="T267" i="7"/>
  <c r="J273" i="7" s="1"/>
  <c r="I276" i="7" s="1"/>
  <c r="T273" i="8"/>
  <c r="K279" i="8" s="1"/>
  <c r="J282" i="8" s="1"/>
  <c r="R1137" i="8"/>
  <c r="K1140" i="8" s="1"/>
  <c r="R1131" i="7"/>
  <c r="J1134" i="7" s="1"/>
  <c r="J580" i="8"/>
  <c r="R786" i="7"/>
  <c r="J791" i="7" s="1"/>
  <c r="I795" i="7" s="1"/>
  <c r="R792" i="8"/>
  <c r="K797" i="8" s="1"/>
  <c r="T922" i="7"/>
  <c r="J926" i="7" s="1"/>
  <c r="T928" i="8"/>
  <c r="K932" i="8" s="1"/>
  <c r="L781" i="8"/>
  <c r="P781" i="8"/>
  <c r="P435" i="8"/>
  <c r="L435" i="8"/>
  <c r="I758" i="7"/>
  <c r="T403" i="7"/>
  <c r="J407" i="7" s="1"/>
  <c r="I409" i="7" s="1"/>
  <c r="T409" i="8"/>
  <c r="K413" i="8" s="1"/>
  <c r="J415" i="8" s="1"/>
  <c r="J821" i="8"/>
  <c r="K291" i="7"/>
  <c r="P291" i="7"/>
  <c r="R986" i="7"/>
  <c r="J989" i="7" s="1"/>
  <c r="R992" i="8"/>
  <c r="K995" i="8" s="1"/>
  <c r="AK445" i="1"/>
  <c r="R439" i="7"/>
  <c r="R445" i="8"/>
  <c r="K450" i="8" s="1"/>
  <c r="GM768" i="1"/>
  <c r="GP768" i="1" s="1"/>
  <c r="J528" i="8"/>
  <c r="T303" i="7"/>
  <c r="J308" i="7" s="1"/>
  <c r="T309" i="8"/>
  <c r="K314" i="8" s="1"/>
  <c r="J316" i="8" s="1"/>
  <c r="T1302" i="7"/>
  <c r="J1308" i="7" s="1"/>
  <c r="T1308" i="8"/>
  <c r="K1314" i="8" s="1"/>
  <c r="T1070" i="7"/>
  <c r="J1074" i="7" s="1"/>
  <c r="I1076" i="7" s="1"/>
  <c r="T1076" i="8"/>
  <c r="K1080" i="8" s="1"/>
  <c r="J1082" i="8" s="1"/>
  <c r="T1263" i="8"/>
  <c r="K1268" i="8" s="1"/>
  <c r="J1270" i="8" s="1"/>
  <c r="T1257" i="7"/>
  <c r="J1262" i="7" s="1"/>
  <c r="GK245" i="1"/>
  <c r="GM245" i="1" s="1"/>
  <c r="GP245" i="1" s="1"/>
  <c r="J192" i="7"/>
  <c r="K198" i="8"/>
  <c r="I985" i="7"/>
  <c r="I1144" i="7"/>
  <c r="L194" i="8"/>
  <c r="P194" i="8"/>
  <c r="R1173" i="8"/>
  <c r="K1175" i="8" s="1"/>
  <c r="J1178" i="8" s="1"/>
  <c r="R1167" i="7"/>
  <c r="J1169" i="7" s="1"/>
  <c r="I1172" i="7" s="1"/>
  <c r="I522" i="7"/>
  <c r="J233" i="8"/>
  <c r="AB563" i="1"/>
  <c r="CI381" i="1"/>
  <c r="AC317" i="1"/>
  <c r="F902" i="1"/>
  <c r="AV892" i="1"/>
  <c r="J99" i="8"/>
  <c r="T834" i="8"/>
  <c r="K839" i="8" s="1"/>
  <c r="T828" i="7"/>
  <c r="J833" i="7" s="1"/>
  <c r="I835" i="7" s="1"/>
  <c r="GM411" i="1"/>
  <c r="GP411" i="1" s="1"/>
  <c r="R1273" i="7"/>
  <c r="J1277" i="7" s="1"/>
  <c r="I1280" i="7" s="1"/>
  <c r="R1279" i="8"/>
  <c r="K1283" i="8" s="1"/>
  <c r="J1286" i="8" s="1"/>
  <c r="I340" i="7"/>
  <c r="J1254" i="8"/>
  <c r="GM843" i="1"/>
  <c r="GP843" i="1" s="1"/>
  <c r="R1222" i="8"/>
  <c r="K1226" i="8" s="1"/>
  <c r="J1229" i="8" s="1"/>
  <c r="R1216" i="7"/>
  <c r="J1220" i="7" s="1"/>
  <c r="I1223" i="7" s="1"/>
  <c r="T251" i="1"/>
  <c r="AC959" i="1"/>
  <c r="GM532" i="1"/>
  <c r="GP532" i="1" s="1"/>
  <c r="J1221" i="8"/>
  <c r="T1216" i="7"/>
  <c r="J1221" i="7" s="1"/>
  <c r="T1222" i="8"/>
  <c r="K1227" i="8" s="1"/>
  <c r="I936" i="7"/>
  <c r="T886" i="8"/>
  <c r="K890" i="8" s="1"/>
  <c r="T880" i="7"/>
  <c r="J884" i="7" s="1"/>
  <c r="GM781" i="1"/>
  <c r="GP781" i="1" s="1"/>
  <c r="U860" i="1"/>
  <c r="F882" i="1" s="1"/>
  <c r="I110" i="7"/>
  <c r="AK563" i="1"/>
  <c r="AK511" i="1" s="1"/>
  <c r="GM601" i="1"/>
  <c r="GP601" i="1" s="1"/>
  <c r="AL563" i="1"/>
  <c r="S630" i="1"/>
  <c r="S696" i="1" s="1"/>
  <c r="AZ77" i="1"/>
  <c r="AZ69" i="1" s="1"/>
  <c r="F673" i="1"/>
  <c r="GM776" i="1"/>
  <c r="GP776" i="1" s="1"/>
  <c r="AG732" i="1"/>
  <c r="T1173" i="8"/>
  <c r="K1176" i="8" s="1"/>
  <c r="T1167" i="7"/>
  <c r="J1170" i="7" s="1"/>
  <c r="I467" i="7"/>
  <c r="I641" i="7"/>
  <c r="GK335" i="1"/>
  <c r="GM335" i="1" s="1"/>
  <c r="GP335" i="1" s="1"/>
  <c r="K320" i="8"/>
  <c r="J314" i="7"/>
  <c r="R422" i="8"/>
  <c r="K425" i="8" s="1"/>
  <c r="R416" i="7"/>
  <c r="J419" i="7" s="1"/>
  <c r="I422" i="7" s="1"/>
  <c r="R648" i="8"/>
  <c r="K653" i="8" s="1"/>
  <c r="J657" i="8" s="1"/>
  <c r="R642" i="7"/>
  <c r="J647" i="7" s="1"/>
  <c r="R900" i="8"/>
  <c r="K905" i="8" s="1"/>
  <c r="J909" i="8" s="1"/>
  <c r="R894" i="7"/>
  <c r="J899" i="7" s="1"/>
  <c r="J212" i="7"/>
  <c r="K218" i="8"/>
  <c r="T491" i="7"/>
  <c r="J497" i="7" s="1"/>
  <c r="T497" i="8"/>
  <c r="K503" i="8" s="1"/>
  <c r="I1208" i="7"/>
  <c r="R72" i="7"/>
  <c r="J77" i="7" s="1"/>
  <c r="I81" i="7" s="1"/>
  <c r="R78" i="8"/>
  <c r="K83" i="8" s="1"/>
  <c r="T750" i="7"/>
  <c r="J755" i="7" s="1"/>
  <c r="T756" i="8"/>
  <c r="K761" i="8" s="1"/>
  <c r="I1332" i="7"/>
  <c r="J366" i="7"/>
  <c r="K372" i="8"/>
  <c r="GK611" i="1"/>
  <c r="K785" i="8"/>
  <c r="J779" i="7"/>
  <c r="P227" i="7"/>
  <c r="K227" i="7"/>
  <c r="I1256" i="7"/>
  <c r="L1060" i="8"/>
  <c r="P1060" i="8"/>
  <c r="I785" i="7"/>
  <c r="AE445" i="1"/>
  <c r="P1102" i="7"/>
  <c r="K1102" i="7"/>
  <c r="R551" i="7"/>
  <c r="J554" i="7" s="1"/>
  <c r="I557" i="7" s="1"/>
  <c r="R557" i="8"/>
  <c r="K560" i="8" s="1"/>
  <c r="J563" i="8" s="1"/>
  <c r="J290" i="8"/>
  <c r="K1006" i="7"/>
  <c r="P1006" i="7"/>
  <c r="T1069" i="8"/>
  <c r="K1073" i="8" s="1"/>
  <c r="T1063" i="7"/>
  <c r="J1067" i="7" s="1"/>
  <c r="I749" i="7"/>
  <c r="R672" i="7"/>
  <c r="J675" i="7" s="1"/>
  <c r="I678" i="7" s="1"/>
  <c r="R678" i="8"/>
  <c r="K681" i="8" s="1"/>
  <c r="J684" i="8" s="1"/>
  <c r="GM806" i="1"/>
  <c r="GP806" i="1" s="1"/>
  <c r="R1063" i="7"/>
  <c r="J1066" i="7" s="1"/>
  <c r="I1069" i="7" s="1"/>
  <c r="R1069" i="8"/>
  <c r="K1072" i="8" s="1"/>
  <c r="GM242" i="1"/>
  <c r="GP242" i="1" s="1"/>
  <c r="R497" i="8"/>
  <c r="K502" i="8" s="1"/>
  <c r="R491" i="7"/>
  <c r="J496" i="7" s="1"/>
  <c r="I500" i="7" s="1"/>
  <c r="P158" i="8"/>
  <c r="L158" i="8"/>
  <c r="GK754" i="1"/>
  <c r="GM754" i="1" s="1"/>
  <c r="GP754" i="1" s="1"/>
  <c r="J897" i="7"/>
  <c r="K903" i="8"/>
  <c r="J635" i="7"/>
  <c r="K641" i="8"/>
  <c r="L548" i="8"/>
  <c r="P548" i="8"/>
  <c r="I661" i="7"/>
  <c r="T243" i="7"/>
  <c r="J249" i="7" s="1"/>
  <c r="T249" i="8"/>
  <c r="K255" i="8" s="1"/>
  <c r="GM791" i="1"/>
  <c r="GP791" i="1" s="1"/>
  <c r="R1021" i="8"/>
  <c r="K1024" i="8" s="1"/>
  <c r="J1027" i="8" s="1"/>
  <c r="R1015" i="7"/>
  <c r="J1018" i="7" s="1"/>
  <c r="I1021" i="7" s="1"/>
  <c r="T1165" i="8"/>
  <c r="K1170" i="8" s="1"/>
  <c r="J1172" i="8" s="1"/>
  <c r="T1159" i="7"/>
  <c r="J1164" i="7" s="1"/>
  <c r="P188" i="7"/>
  <c r="K188" i="7"/>
  <c r="R993" i="7"/>
  <c r="J996" i="7" s="1"/>
  <c r="R999" i="8"/>
  <c r="K1002" i="8" s="1"/>
  <c r="L361" i="8"/>
  <c r="P361" i="8"/>
  <c r="J49" i="8"/>
  <c r="P520" i="8"/>
  <c r="L520" i="8"/>
  <c r="J1020" i="8"/>
  <c r="L124" i="8"/>
  <c r="P124" i="8"/>
  <c r="J919" i="8"/>
  <c r="J841" i="8"/>
  <c r="I514" i="7"/>
  <c r="AB37" i="1"/>
  <c r="AB30" i="1" s="1"/>
  <c r="GM560" i="1"/>
  <c r="GP560" i="1" s="1"/>
  <c r="I671" i="7"/>
  <c r="I1014" i="7"/>
  <c r="R1103" i="7"/>
  <c r="J1106" i="7" s="1"/>
  <c r="I1109" i="7" s="1"/>
  <c r="R1109" i="8"/>
  <c r="K1112" i="8" s="1"/>
  <c r="J1115" i="8" s="1"/>
  <c r="AK251" i="1"/>
  <c r="R135" i="7"/>
  <c r="J141" i="7" s="1"/>
  <c r="I145" i="7" s="1"/>
  <c r="R141" i="8"/>
  <c r="K147" i="8" s="1"/>
  <c r="J151" i="8" s="1"/>
  <c r="J473" i="8"/>
  <c r="T894" i="7"/>
  <c r="J900" i="7" s="1"/>
  <c r="T900" i="8"/>
  <c r="K906" i="8" s="1"/>
  <c r="J732" i="7"/>
  <c r="K738" i="8"/>
  <c r="P1068" i="8"/>
  <c r="L1068" i="8"/>
  <c r="I1324" i="7"/>
  <c r="T1131" i="7"/>
  <c r="J1135" i="7" s="1"/>
  <c r="I1137" i="7" s="1"/>
  <c r="T1137" i="8"/>
  <c r="K1141" i="8" s="1"/>
  <c r="GM826" i="1"/>
  <c r="GP826" i="1" s="1"/>
  <c r="GM856" i="1"/>
  <c r="GP856" i="1" s="1"/>
  <c r="AK115" i="1"/>
  <c r="AK109" i="1" s="1"/>
  <c r="R87" i="7"/>
  <c r="J90" i="7" s="1"/>
  <c r="I93" i="7" s="1"/>
  <c r="R93" i="8"/>
  <c r="K96" i="8" s="1"/>
  <c r="AL666" i="1"/>
  <c r="T805" i="7"/>
  <c r="J812" i="7" s="1"/>
  <c r="T811" i="8"/>
  <c r="K818" i="8" s="1"/>
  <c r="GM738" i="1"/>
  <c r="GP738" i="1" s="1"/>
  <c r="U975" i="1"/>
  <c r="U959" i="1" s="1"/>
  <c r="R1318" i="8"/>
  <c r="K1320" i="8" s="1"/>
  <c r="R1312" i="7"/>
  <c r="J1314" i="7" s="1"/>
  <c r="GK529" i="1"/>
  <c r="J655" i="7"/>
  <c r="K661" i="8"/>
  <c r="R410" i="7"/>
  <c r="J412" i="7" s="1"/>
  <c r="I415" i="7" s="1"/>
  <c r="R416" i="8"/>
  <c r="K418" i="8" s="1"/>
  <c r="J421" i="8" s="1"/>
  <c r="T378" i="7"/>
  <c r="J384" i="7" s="1"/>
  <c r="T384" i="8"/>
  <c r="K390" i="8" s="1"/>
  <c r="J764" i="8"/>
  <c r="J428" i="8"/>
  <c r="GK548" i="1"/>
  <c r="GM548" i="1" s="1"/>
  <c r="GP548" i="1" s="1"/>
  <c r="J691" i="7"/>
  <c r="K697" i="8"/>
  <c r="J949" i="8"/>
  <c r="R558" i="7"/>
  <c r="J563" i="7" s="1"/>
  <c r="I566" i="7" s="1"/>
  <c r="R564" i="8"/>
  <c r="K569" i="8" s="1"/>
  <c r="J572" i="8" s="1"/>
  <c r="T543" i="7"/>
  <c r="J548" i="7" s="1"/>
  <c r="T549" i="8"/>
  <c r="K554" i="8" s="1"/>
  <c r="I71" i="7"/>
  <c r="I152" i="7"/>
  <c r="I1062" i="7"/>
  <c r="GK34" i="1"/>
  <c r="J47" i="7"/>
  <c r="K53" i="8"/>
  <c r="J1214" i="8"/>
  <c r="J87" i="8"/>
  <c r="GM611" i="1"/>
  <c r="GP611" i="1" s="1"/>
  <c r="GK406" i="1"/>
  <c r="GM406" i="1" s="1"/>
  <c r="GP406" i="1" s="1"/>
  <c r="K501" i="8"/>
  <c r="J495" i="7"/>
  <c r="GK241" i="1"/>
  <c r="GM241" i="1" s="1"/>
  <c r="J164" i="7"/>
  <c r="K170" i="8"/>
  <c r="R706" i="8"/>
  <c r="K711" i="8" s="1"/>
  <c r="J715" i="8" s="1"/>
  <c r="R700" i="7"/>
  <c r="J705" i="7" s="1"/>
  <c r="I709" i="7" s="1"/>
  <c r="J1338" i="8"/>
  <c r="T292" i="7"/>
  <c r="J299" i="7" s="1"/>
  <c r="T298" i="8"/>
  <c r="K305" i="8" s="1"/>
  <c r="GM389" i="1"/>
  <c r="GP389" i="1" s="1"/>
  <c r="R403" i="7"/>
  <c r="J406" i="7" s="1"/>
  <c r="R409" i="8"/>
  <c r="K412" i="8" s="1"/>
  <c r="P197" i="7"/>
  <c r="K197" i="7"/>
  <c r="GK326" i="1"/>
  <c r="GM326" i="1" s="1"/>
  <c r="GP326" i="1" s="1"/>
  <c r="J270" i="7"/>
  <c r="K276" i="8"/>
  <c r="L272" i="8"/>
  <c r="P272" i="8"/>
  <c r="P1248" i="7"/>
  <c r="K1248" i="7"/>
  <c r="L1012" i="8"/>
  <c r="P1012" i="8"/>
  <c r="T575" i="7"/>
  <c r="J579" i="7" s="1"/>
  <c r="T581" i="8"/>
  <c r="K585" i="8" s="1"/>
  <c r="P460" i="7"/>
  <c r="K460" i="7"/>
  <c r="GM848" i="1"/>
  <c r="GP848" i="1" s="1"/>
  <c r="P1350" i="7"/>
  <c r="K1350" i="7"/>
  <c r="I284" i="7"/>
  <c r="R395" i="7"/>
  <c r="J399" i="7" s="1"/>
  <c r="R401" i="8"/>
  <c r="K405" i="8" s="1"/>
  <c r="J408" i="8" s="1"/>
  <c r="GM238" i="1"/>
  <c r="GP238" i="1" s="1"/>
  <c r="J1164" i="8"/>
  <c r="T628" i="8"/>
  <c r="K634" i="8" s="1"/>
  <c r="J637" i="8" s="1"/>
  <c r="T622" i="7"/>
  <c r="J628" i="7" s="1"/>
  <c r="I631" i="7" s="1"/>
  <c r="J956" i="8"/>
  <c r="R311" i="7"/>
  <c r="J315" i="7" s="1"/>
  <c r="I319" i="7" s="1"/>
  <c r="R317" i="8"/>
  <c r="K321" i="8" s="1"/>
  <c r="J325" i="8" s="1"/>
  <c r="P474" i="7"/>
  <c r="K474" i="7"/>
  <c r="T872" i="7"/>
  <c r="J877" i="7" s="1"/>
  <c r="T878" i="8"/>
  <c r="K883" i="8" s="1"/>
  <c r="I999" i="7"/>
  <c r="T858" i="7"/>
  <c r="J862" i="7" s="1"/>
  <c r="T864" i="8"/>
  <c r="K868" i="8" s="1"/>
  <c r="U30" i="1"/>
  <c r="F59" i="1"/>
  <c r="T935" i="8"/>
  <c r="K940" i="8" s="1"/>
  <c r="T929" i="7"/>
  <c r="J934" i="7" s="1"/>
  <c r="GM405" i="1"/>
  <c r="GP405" i="1" s="1"/>
  <c r="T484" i="7"/>
  <c r="J488" i="7" s="1"/>
  <c r="I490" i="7" s="1"/>
  <c r="T490" i="8"/>
  <c r="K494" i="8" s="1"/>
  <c r="R243" i="7"/>
  <c r="J248" i="7" s="1"/>
  <c r="I252" i="7" s="1"/>
  <c r="R249" i="8"/>
  <c r="K254" i="8" s="1"/>
  <c r="J258" i="8" s="1"/>
  <c r="K871" i="7"/>
  <c r="P871" i="7"/>
  <c r="I64" i="7"/>
  <c r="I1311" i="7"/>
  <c r="GM615" i="1"/>
  <c r="GP615" i="1" s="1"/>
  <c r="R484" i="7"/>
  <c r="J487" i="7" s="1"/>
  <c r="R490" i="8"/>
  <c r="K493" i="8" s="1"/>
  <c r="J496" i="8" s="1"/>
  <c r="T668" i="8"/>
  <c r="K674" i="8" s="1"/>
  <c r="J677" i="8" s="1"/>
  <c r="T662" i="7"/>
  <c r="J668" i="7" s="1"/>
  <c r="J647" i="8"/>
  <c r="GM832" i="1"/>
  <c r="GP832" i="1" s="1"/>
  <c r="R834" i="8"/>
  <c r="K838" i="8" s="1"/>
  <c r="R828" i="7"/>
  <c r="J832" i="7" s="1"/>
  <c r="R688" i="7"/>
  <c r="J693" i="7" s="1"/>
  <c r="R694" i="8"/>
  <c r="K699" i="8" s="1"/>
  <c r="J703" i="8" s="1"/>
  <c r="GM852" i="1"/>
  <c r="GP852" i="1" s="1"/>
  <c r="I355" i="7"/>
  <c r="GM529" i="1"/>
  <c r="GP529" i="1" s="1"/>
  <c r="GM73" i="1"/>
  <c r="GP73" i="1" s="1"/>
  <c r="GM847" i="1"/>
  <c r="GP847" i="1" s="1"/>
  <c r="R1239" i="8"/>
  <c r="K1243" i="8" s="1"/>
  <c r="J1246" i="8" s="1"/>
  <c r="R1233" i="7"/>
  <c r="J1237" i="7" s="1"/>
  <c r="I1240" i="7" s="1"/>
  <c r="AL115" i="1"/>
  <c r="T93" i="8"/>
  <c r="K97" i="8" s="1"/>
  <c r="T87" i="7"/>
  <c r="J91" i="7" s="1"/>
  <c r="GK600" i="1"/>
  <c r="GM600" i="1" s="1"/>
  <c r="J743" i="7"/>
  <c r="K749" i="8"/>
  <c r="AL200" i="1"/>
  <c r="I52" i="7"/>
  <c r="GM797" i="1"/>
  <c r="GP797" i="1" s="1"/>
  <c r="GM851" i="1"/>
  <c r="GP851" i="1" s="1"/>
  <c r="R1249" i="7"/>
  <c r="J1253" i="7" s="1"/>
  <c r="R1255" i="8"/>
  <c r="K1259" i="8" s="1"/>
  <c r="J1262" i="8" s="1"/>
  <c r="CF251" i="1"/>
  <c r="T857" i="8"/>
  <c r="K861" i="8" s="1"/>
  <c r="J863" i="8" s="1"/>
  <c r="T851" i="7"/>
  <c r="J855" i="7" s="1"/>
  <c r="R1165" i="8"/>
  <c r="K1169" i="8" s="1"/>
  <c r="R1159" i="7"/>
  <c r="J1163" i="7" s="1"/>
  <c r="I1166" i="7" s="1"/>
  <c r="R378" i="7"/>
  <c r="J383" i="7" s="1"/>
  <c r="I387" i="7" s="1"/>
  <c r="R384" i="8"/>
  <c r="K389" i="8" s="1"/>
  <c r="J393" i="8" s="1"/>
  <c r="I913" i="7"/>
  <c r="I716" i="7"/>
  <c r="I943" i="7"/>
  <c r="R543" i="7"/>
  <c r="J547" i="7" s="1"/>
  <c r="I550" i="7" s="1"/>
  <c r="R549" i="8"/>
  <c r="K553" i="8" s="1"/>
  <c r="J556" i="8" s="1"/>
  <c r="J610" i="8"/>
  <c r="J224" i="8"/>
  <c r="AB511" i="1"/>
  <c r="O563" i="1"/>
  <c r="Y445" i="1"/>
  <c r="AL381" i="1"/>
  <c r="AK381" i="1"/>
  <c r="X445" i="1"/>
  <c r="AK732" i="1"/>
  <c r="X860" i="1"/>
  <c r="AK232" i="1"/>
  <c r="X251" i="1"/>
  <c r="AB595" i="1"/>
  <c r="O630" i="1"/>
  <c r="AK189" i="1"/>
  <c r="X200" i="1"/>
  <c r="GP32" i="1"/>
  <c r="AB666" i="1"/>
  <c r="GM664" i="1"/>
  <c r="V232" i="1"/>
  <c r="F274" i="1"/>
  <c r="F163" i="1"/>
  <c r="AW147" i="1"/>
  <c r="T232" i="1"/>
  <c r="F272" i="1"/>
  <c r="F60" i="1"/>
  <c r="V30" i="1"/>
  <c r="V281" i="1"/>
  <c r="S381" i="1"/>
  <c r="F460" i="1"/>
  <c r="Q30" i="1"/>
  <c r="F49" i="1"/>
  <c r="T317" i="1"/>
  <c r="F370" i="1"/>
  <c r="T475" i="1"/>
  <c r="U189" i="1"/>
  <c r="F222" i="1"/>
  <c r="CI232" i="1"/>
  <c r="AZ251" i="1"/>
  <c r="F44" i="1"/>
  <c r="AX30" i="1"/>
  <c r="F211" i="1"/>
  <c r="AZ189" i="1"/>
  <c r="T381" i="1"/>
  <c r="F466" i="1"/>
  <c r="AD595" i="1"/>
  <c r="Q630" i="1"/>
  <c r="AP232" i="1"/>
  <c r="F260" i="1"/>
  <c r="Q200" i="1"/>
  <c r="AD189" i="1"/>
  <c r="W696" i="1"/>
  <c r="W511" i="1"/>
  <c r="F587" i="1"/>
  <c r="AT728" i="1"/>
  <c r="F945" i="1"/>
  <c r="GM622" i="1"/>
  <c r="GP622" i="1" s="1"/>
  <c r="AL109" i="1"/>
  <c r="Y115" i="1"/>
  <c r="AP313" i="1"/>
  <c r="F484" i="1"/>
  <c r="GM410" i="1"/>
  <c r="GP410" i="1" s="1"/>
  <c r="AL860" i="1"/>
  <c r="GM196" i="1"/>
  <c r="AB200" i="1"/>
  <c r="AB349" i="1"/>
  <c r="F993" i="1"/>
  <c r="AT959" i="1"/>
  <c r="F654" i="1"/>
  <c r="W595" i="1"/>
  <c r="BB728" i="1"/>
  <c r="F940" i="1"/>
  <c r="F995" i="1"/>
  <c r="BA959" i="1"/>
  <c r="AX189" i="1"/>
  <c r="F207" i="1"/>
  <c r="BC26" i="1"/>
  <c r="F297" i="1"/>
  <c r="BC1005" i="1"/>
  <c r="AS26" i="1"/>
  <c r="F298" i="1"/>
  <c r="F80" i="1"/>
  <c r="P69" i="1"/>
  <c r="T109" i="1"/>
  <c r="F136" i="1"/>
  <c r="S595" i="1"/>
  <c r="F645" i="1"/>
  <c r="AZ147" i="1"/>
  <c r="F168" i="1"/>
  <c r="F52" i="1"/>
  <c r="S30" i="1"/>
  <c r="R200" i="1"/>
  <c r="AE189" i="1"/>
  <c r="AB860" i="1"/>
  <c r="CG317" i="1"/>
  <c r="AX349" i="1"/>
  <c r="AF109" i="1"/>
  <c r="S115" i="1"/>
  <c r="F653" i="1"/>
  <c r="V595" i="1"/>
  <c r="F648" i="1"/>
  <c r="AT595" i="1"/>
  <c r="U317" i="1"/>
  <c r="F371" i="1"/>
  <c r="U475" i="1"/>
  <c r="GP961" i="1"/>
  <c r="Q959" i="1"/>
  <c r="F987" i="1"/>
  <c r="AQ511" i="1"/>
  <c r="AQ696" i="1"/>
  <c r="F573" i="1"/>
  <c r="BC313" i="1"/>
  <c r="F491" i="1"/>
  <c r="V662" i="1"/>
  <c r="F689" i="1"/>
  <c r="AL595" i="1"/>
  <c r="Y630" i="1"/>
  <c r="AI732" i="1"/>
  <c r="V860" i="1"/>
  <c r="CH69" i="1"/>
  <c r="AY77" i="1"/>
  <c r="AZ317" i="1"/>
  <c r="F360" i="1"/>
  <c r="AZ475" i="1"/>
  <c r="AD232" i="1"/>
  <c r="Q251" i="1"/>
  <c r="AC511" i="1"/>
  <c r="P563" i="1"/>
  <c r="CF563" i="1"/>
  <c r="CE563" i="1"/>
  <c r="CH563" i="1"/>
  <c r="AZ109" i="1"/>
  <c r="F126" i="1"/>
  <c r="AQ317" i="1"/>
  <c r="F359" i="1"/>
  <c r="AQ475" i="1"/>
  <c r="F870" i="1"/>
  <c r="AQ732" i="1"/>
  <c r="AQ927" i="1"/>
  <c r="AO26" i="1"/>
  <c r="F285" i="1"/>
  <c r="AO1005" i="1"/>
  <c r="GM785" i="1"/>
  <c r="GP785" i="1" s="1"/>
  <c r="BA30" i="1"/>
  <c r="BA281" i="1"/>
  <c r="F57" i="1"/>
  <c r="T732" i="1"/>
  <c r="T927" i="1"/>
  <c r="T1005" i="1" s="1"/>
  <c r="F881" i="1"/>
  <c r="T959" i="1"/>
  <c r="F996" i="1"/>
  <c r="BB26" i="1"/>
  <c r="F294" i="1"/>
  <c r="BB1005" i="1"/>
  <c r="AD732" i="1"/>
  <c r="Q860" i="1"/>
  <c r="R115" i="1"/>
  <c r="AE109" i="1"/>
  <c r="R251" i="1"/>
  <c r="AE232" i="1"/>
  <c r="CJ317" i="1"/>
  <c r="BA349" i="1"/>
  <c r="T662" i="1"/>
  <c r="F687" i="1"/>
  <c r="AD69" i="1"/>
  <c r="Q77" i="1"/>
  <c r="CG959" i="1"/>
  <c r="AX975" i="1"/>
  <c r="CF317" i="1"/>
  <c r="AW349" i="1"/>
  <c r="BA595" i="1"/>
  <c r="F650" i="1"/>
  <c r="W732" i="1"/>
  <c r="W927" i="1"/>
  <c r="F884" i="1"/>
  <c r="BB507" i="1"/>
  <c r="F709" i="1"/>
  <c r="AC732" i="1"/>
  <c r="CE860" i="1"/>
  <c r="CF860" i="1"/>
  <c r="CH860" i="1"/>
  <c r="P860" i="1"/>
  <c r="GP319" i="1"/>
  <c r="AT317" i="1"/>
  <c r="F367" i="1"/>
  <c r="AT475" i="1"/>
  <c r="AE732" i="1"/>
  <c r="R860" i="1"/>
  <c r="P115" i="1"/>
  <c r="AC109" i="1"/>
  <c r="CH115" i="1"/>
  <c r="CE115" i="1"/>
  <c r="CF115" i="1"/>
  <c r="U595" i="1"/>
  <c r="F652" i="1"/>
  <c r="AS728" i="1"/>
  <c r="F944" i="1"/>
  <c r="W959" i="1"/>
  <c r="F999" i="1"/>
  <c r="U109" i="1"/>
  <c r="F137" i="1"/>
  <c r="R37" i="1"/>
  <c r="AF959" i="1"/>
  <c r="S975" i="1"/>
  <c r="F98" i="1"/>
  <c r="T69" i="1"/>
  <c r="F215" i="1"/>
  <c r="S189" i="1"/>
  <c r="CF232" i="1"/>
  <c r="AW251" i="1"/>
  <c r="T189" i="1"/>
  <c r="F221" i="1"/>
  <c r="AO313" i="1"/>
  <c r="F479" i="1"/>
  <c r="Q109" i="1"/>
  <c r="F127" i="1"/>
  <c r="AE662" i="1"/>
  <c r="R666" i="1"/>
  <c r="F99" i="1"/>
  <c r="U69" i="1"/>
  <c r="GM750" i="1"/>
  <c r="GP750" i="1" s="1"/>
  <c r="CE317" i="1"/>
  <c r="AV349" i="1"/>
  <c r="F583" i="1"/>
  <c r="BA511" i="1"/>
  <c r="BA696" i="1"/>
  <c r="AX732" i="1"/>
  <c r="F867" i="1"/>
  <c r="AX927" i="1"/>
  <c r="CH200" i="1"/>
  <c r="P200" i="1"/>
  <c r="CF200" i="1"/>
  <c r="AC189" i="1"/>
  <c r="CE200" i="1"/>
  <c r="BD728" i="1"/>
  <c r="F952" i="1"/>
  <c r="CG232" i="1"/>
  <c r="AX251" i="1"/>
  <c r="AZ30" i="1"/>
  <c r="F48" i="1"/>
  <c r="AZ281" i="1"/>
  <c r="CE69" i="1"/>
  <c r="AV77" i="1"/>
  <c r="GM519" i="1"/>
  <c r="GP519" i="1" s="1"/>
  <c r="AL30" i="1"/>
  <c r="Y37" i="1"/>
  <c r="AQ232" i="1"/>
  <c r="F261" i="1"/>
  <c r="F268" i="1"/>
  <c r="AS232" i="1"/>
  <c r="AO507" i="1"/>
  <c r="F700" i="1"/>
  <c r="F139" i="1"/>
  <c r="W109" i="1"/>
  <c r="AL317" i="1"/>
  <c r="Y349" i="1"/>
  <c r="AX69" i="1"/>
  <c r="F84" i="1"/>
  <c r="AC381" i="1"/>
  <c r="CE445" i="1"/>
  <c r="CF445" i="1"/>
  <c r="CH445" i="1"/>
  <c r="P445" i="1"/>
  <c r="W281" i="1"/>
  <c r="CI959" i="1"/>
  <c r="AZ975" i="1"/>
  <c r="Q563" i="1"/>
  <c r="AD511" i="1"/>
  <c r="GM394" i="1"/>
  <c r="GP394" i="1" s="1"/>
  <c r="R77" i="1"/>
  <c r="AE69" i="1"/>
  <c r="AQ959" i="1"/>
  <c r="F985" i="1"/>
  <c r="AF732" i="1"/>
  <c r="S860" i="1"/>
  <c r="F690" i="1"/>
  <c r="W662" i="1"/>
  <c r="AD317" i="1"/>
  <c r="Q349" i="1"/>
  <c r="AZ732" i="1"/>
  <c r="AZ927" i="1"/>
  <c r="F871" i="1"/>
  <c r="AS381" i="1"/>
  <c r="F462" i="1"/>
  <c r="AB959" i="1"/>
  <c r="O975" i="1"/>
  <c r="S511" i="1"/>
  <c r="F578" i="1"/>
  <c r="AX381" i="1"/>
  <c r="F452" i="1"/>
  <c r="AB115" i="1"/>
  <c r="X349" i="1"/>
  <c r="AQ281" i="1"/>
  <c r="AB77" i="1"/>
  <c r="AD381" i="1"/>
  <c r="Q445" i="1"/>
  <c r="AT511" i="1"/>
  <c r="F581" i="1"/>
  <c r="AT696" i="1"/>
  <c r="AS507" i="1"/>
  <c r="F713" i="1"/>
  <c r="AL662" i="1"/>
  <c r="Y666" i="1"/>
  <c r="AK595" i="1"/>
  <c r="X630" i="1"/>
  <c r="T511" i="1"/>
  <c r="T696" i="1"/>
  <c r="F584" i="1"/>
  <c r="CH317" i="1"/>
  <c r="AY349" i="1"/>
  <c r="V189" i="1"/>
  <c r="F223" i="1"/>
  <c r="F998" i="1"/>
  <c r="V959" i="1"/>
  <c r="O37" i="1"/>
  <c r="AE595" i="1"/>
  <c r="R630" i="1"/>
  <c r="CF69" i="1"/>
  <c r="AW77" i="1"/>
  <c r="AL511" i="1"/>
  <c r="Y563" i="1"/>
  <c r="W313" i="1"/>
  <c r="F499" i="1"/>
  <c r="F641" i="1"/>
  <c r="AZ595" i="1"/>
  <c r="AS317" i="1"/>
  <c r="F366" i="1"/>
  <c r="AS475" i="1"/>
  <c r="F138" i="1"/>
  <c r="V109" i="1"/>
  <c r="CH30" i="1"/>
  <c r="AY37" i="1"/>
  <c r="F100" i="1"/>
  <c r="V69" i="1"/>
  <c r="AH381" i="1"/>
  <c r="U445" i="1"/>
  <c r="BA232" i="1"/>
  <c r="F271" i="1"/>
  <c r="GM628" i="1"/>
  <c r="GP628" i="1" s="1"/>
  <c r="BA381" i="1"/>
  <c r="F465" i="1"/>
  <c r="U511" i="1"/>
  <c r="F585" i="1"/>
  <c r="U696" i="1"/>
  <c r="GM773" i="1"/>
  <c r="GP773" i="1" s="1"/>
  <c r="CF30" i="1"/>
  <c r="AW37" i="1"/>
  <c r="AP696" i="1"/>
  <c r="AP511" i="1"/>
  <c r="F572" i="1"/>
  <c r="F165" i="1"/>
  <c r="AY147" i="1"/>
  <c r="BC728" i="1"/>
  <c r="F943" i="1"/>
  <c r="V381" i="1"/>
  <c r="F468" i="1"/>
  <c r="F978" i="1"/>
  <c r="P959" i="1"/>
  <c r="AB251" i="1"/>
  <c r="Y77" i="1"/>
  <c r="AL69" i="1"/>
  <c r="GM332" i="1"/>
  <c r="GP332" i="1" s="1"/>
  <c r="AE381" i="1"/>
  <c r="R445" i="1"/>
  <c r="GP735" i="1"/>
  <c r="AZ662" i="1"/>
  <c r="F677" i="1"/>
  <c r="F637" i="1"/>
  <c r="AX595" i="1"/>
  <c r="GM235" i="1"/>
  <c r="GP235" i="1" s="1"/>
  <c r="AF662" i="1"/>
  <c r="S666" i="1"/>
  <c r="AT26" i="1"/>
  <c r="F299" i="1"/>
  <c r="AT1005" i="1"/>
  <c r="S77" i="1"/>
  <c r="AF69" i="1"/>
  <c r="U232" i="1"/>
  <c r="F273" i="1"/>
  <c r="AP281" i="1"/>
  <c r="AE511" i="1"/>
  <c r="R563" i="1"/>
  <c r="S251" i="1"/>
  <c r="AF232" i="1"/>
  <c r="AV147" i="1"/>
  <c r="F162" i="1"/>
  <c r="AT381" i="1"/>
  <c r="F463" i="1"/>
  <c r="CE30" i="1"/>
  <c r="AV37" i="1"/>
  <c r="AX511" i="1"/>
  <c r="AX696" i="1"/>
  <c r="F570" i="1"/>
  <c r="AZ563" i="1"/>
  <c r="CI511" i="1"/>
  <c r="F88" i="1"/>
  <c r="AB381" i="1"/>
  <c r="O445" i="1"/>
  <c r="V511" i="1"/>
  <c r="F586" i="1"/>
  <c r="V696" i="1"/>
  <c r="GP237" i="1"/>
  <c r="X77" i="1"/>
  <c r="AK69" i="1"/>
  <c r="AE317" i="1"/>
  <c r="W381" i="1"/>
  <c r="F469" i="1"/>
  <c r="AY232" i="1"/>
  <c r="F259" i="1"/>
  <c r="F220" i="1"/>
  <c r="BA189" i="1"/>
  <c r="X37" i="1"/>
  <c r="AK30" i="1"/>
  <c r="AC662" i="1"/>
  <c r="P666" i="1"/>
  <c r="CE666" i="1"/>
  <c r="CF666" i="1"/>
  <c r="CH666" i="1"/>
  <c r="P30" i="1"/>
  <c r="F40" i="1"/>
  <c r="GP384" i="1"/>
  <c r="F488" i="1"/>
  <c r="BB313" i="1"/>
  <c r="F456" i="1"/>
  <c r="AZ381" i="1"/>
  <c r="BD26" i="1"/>
  <c r="F306" i="1"/>
  <c r="BD1005" i="1"/>
  <c r="CF630" i="1"/>
  <c r="CE630" i="1"/>
  <c r="CH630" i="1"/>
  <c r="P630" i="1"/>
  <c r="AC595" i="1"/>
  <c r="K387" i="7" l="1"/>
  <c r="P387" i="7"/>
  <c r="P566" i="7"/>
  <c r="K566" i="7"/>
  <c r="K93" i="7"/>
  <c r="P93" i="7"/>
  <c r="I95" i="7" s="1"/>
  <c r="L791" i="8"/>
  <c r="P791" i="8"/>
  <c r="P849" i="8"/>
  <c r="L849" i="8"/>
  <c r="L1053" i="8"/>
  <c r="P1053" i="8"/>
  <c r="P316" i="8"/>
  <c r="L316" i="8"/>
  <c r="K795" i="7"/>
  <c r="P795" i="7"/>
  <c r="P487" i="8"/>
  <c r="L487" i="8"/>
  <c r="P170" i="7"/>
  <c r="K170" i="7"/>
  <c r="P594" i="8"/>
  <c r="L594" i="8"/>
  <c r="K588" i="7"/>
  <c r="P588" i="7"/>
  <c r="P1246" i="8"/>
  <c r="L1246" i="8"/>
  <c r="P909" i="8"/>
  <c r="L909" i="8"/>
  <c r="P481" i="7"/>
  <c r="K481" i="7"/>
  <c r="P978" i="7"/>
  <c r="K978" i="7"/>
  <c r="L383" i="8"/>
  <c r="P383" i="8"/>
  <c r="L421" i="8"/>
  <c r="P421" i="8"/>
  <c r="GP515" i="1"/>
  <c r="CD563" i="1" s="1"/>
  <c r="AU563" i="1" s="1"/>
  <c r="CA563" i="1"/>
  <c r="CA511" i="1" s="1"/>
  <c r="P308" i="8"/>
  <c r="L308" i="8"/>
  <c r="P684" i="8"/>
  <c r="L684" i="8"/>
  <c r="P1021" i="7"/>
  <c r="K1021" i="7"/>
  <c r="K1341" i="7"/>
  <c r="P1341" i="7"/>
  <c r="P1092" i="8"/>
  <c r="L1092" i="8"/>
  <c r="P1317" i="7"/>
  <c r="K1317" i="7"/>
  <c r="L393" i="8"/>
  <c r="P393" i="8"/>
  <c r="P942" i="8"/>
  <c r="L942" i="8"/>
  <c r="P1158" i="7"/>
  <c r="K1158" i="7"/>
  <c r="P970" i="7"/>
  <c r="K970" i="7"/>
  <c r="L715" i="8"/>
  <c r="P715" i="8"/>
  <c r="P1082" i="8"/>
  <c r="L1082" i="8"/>
  <c r="L863" i="8"/>
  <c r="P863" i="8"/>
  <c r="P557" i="7"/>
  <c r="K557" i="7"/>
  <c r="K1076" i="7"/>
  <c r="P1076" i="7"/>
  <c r="P893" i="7"/>
  <c r="K893" i="7"/>
  <c r="L870" i="8"/>
  <c r="P870" i="8"/>
  <c r="L1262" i="8"/>
  <c r="P1262" i="8"/>
  <c r="L258" i="8"/>
  <c r="P258" i="8"/>
  <c r="K550" i="7"/>
  <c r="P550" i="7"/>
  <c r="P400" i="8"/>
  <c r="L400" i="8"/>
  <c r="K1109" i="7"/>
  <c r="P1109" i="7"/>
  <c r="P1086" i="7"/>
  <c r="K1086" i="7"/>
  <c r="K252" i="7"/>
  <c r="P252" i="7"/>
  <c r="P1027" i="8"/>
  <c r="L1027" i="8"/>
  <c r="L1229" i="8"/>
  <c r="P1229" i="8"/>
  <c r="K377" i="7"/>
  <c r="P377" i="7"/>
  <c r="K857" i="7"/>
  <c r="P857" i="7"/>
  <c r="P70" i="8"/>
  <c r="J89" i="8" s="1"/>
  <c r="L70" i="8"/>
  <c r="K81" i="7"/>
  <c r="P81" i="7"/>
  <c r="K709" i="7"/>
  <c r="P709" i="7"/>
  <c r="K447" i="7"/>
  <c r="P447" i="7"/>
  <c r="P703" i="8"/>
  <c r="L703" i="8"/>
  <c r="K992" i="7"/>
  <c r="P992" i="7"/>
  <c r="CD630" i="1"/>
  <c r="CD595" i="1" s="1"/>
  <c r="K1137" i="7"/>
  <c r="P1137" i="7"/>
  <c r="L1236" i="8"/>
  <c r="P1236" i="8"/>
  <c r="GP241" i="1"/>
  <c r="CA251" i="1"/>
  <c r="K864" i="7"/>
  <c r="P864" i="7"/>
  <c r="K1230" i="7"/>
  <c r="P1230" i="7"/>
  <c r="P677" i="8"/>
  <c r="L677" i="8"/>
  <c r="K960" i="7"/>
  <c r="P960" i="7"/>
  <c r="K422" i="7"/>
  <c r="P422" i="7"/>
  <c r="P282" i="8"/>
  <c r="L282" i="8"/>
  <c r="P325" i="8"/>
  <c r="L325" i="8"/>
  <c r="P507" i="7"/>
  <c r="K507" i="7"/>
  <c r="P950" i="7"/>
  <c r="K950" i="7"/>
  <c r="K631" i="7"/>
  <c r="P631" i="7"/>
  <c r="K145" i="7"/>
  <c r="P145" i="7"/>
  <c r="P1069" i="7"/>
  <c r="K1069" i="7"/>
  <c r="L1178" i="8"/>
  <c r="P1178" i="8"/>
  <c r="L1101" i="8"/>
  <c r="P1101" i="8"/>
  <c r="P1172" i="8"/>
  <c r="L1172" i="8"/>
  <c r="L885" i="8"/>
  <c r="P885" i="8"/>
  <c r="K678" i="7"/>
  <c r="P678" i="7"/>
  <c r="P1223" i="7"/>
  <c r="K1223" i="7"/>
  <c r="P408" i="8"/>
  <c r="L408" i="8"/>
  <c r="L415" i="8"/>
  <c r="P415" i="8"/>
  <c r="L1157" i="8"/>
  <c r="P1157" i="8"/>
  <c r="K409" i="7"/>
  <c r="P409" i="7"/>
  <c r="P490" i="7"/>
  <c r="K490" i="7"/>
  <c r="P1047" i="7"/>
  <c r="K1047" i="7"/>
  <c r="P1166" i="7"/>
  <c r="K1166" i="7"/>
  <c r="L1286" i="8"/>
  <c r="P1286" i="8"/>
  <c r="P1280" i="7"/>
  <c r="K1280" i="7"/>
  <c r="L1270" i="8"/>
  <c r="P1270" i="8"/>
  <c r="P1294" i="8"/>
  <c r="L1294" i="8"/>
  <c r="P835" i="7"/>
  <c r="K835" i="7"/>
  <c r="L966" i="8"/>
  <c r="P966" i="8"/>
  <c r="K1288" i="7"/>
  <c r="P1288" i="7"/>
  <c r="L176" i="8"/>
  <c r="P176" i="8"/>
  <c r="P415" i="7"/>
  <c r="K415" i="7"/>
  <c r="L657" i="8"/>
  <c r="P657" i="8"/>
  <c r="K302" i="7"/>
  <c r="P302" i="7"/>
  <c r="P496" i="8"/>
  <c r="L496" i="8"/>
  <c r="P500" i="7"/>
  <c r="K500" i="7"/>
  <c r="P116" i="8"/>
  <c r="J126" i="8" s="1"/>
  <c r="L116" i="8"/>
  <c r="P541" i="8"/>
  <c r="L541" i="8"/>
  <c r="P513" i="8"/>
  <c r="L513" i="8"/>
  <c r="K276" i="7"/>
  <c r="P276" i="7"/>
  <c r="K581" i="7"/>
  <c r="P581" i="7"/>
  <c r="GP600" i="1"/>
  <c r="CA630" i="1"/>
  <c r="L151" i="8"/>
  <c r="P151" i="8"/>
  <c r="P556" i="8"/>
  <c r="L556" i="8"/>
  <c r="P637" i="8"/>
  <c r="L637" i="8"/>
  <c r="P879" i="7"/>
  <c r="K879" i="7"/>
  <c r="P1095" i="7"/>
  <c r="K1095" i="7"/>
  <c r="P934" i="8"/>
  <c r="L934" i="8"/>
  <c r="K319" i="7"/>
  <c r="P319" i="7"/>
  <c r="CD860" i="1"/>
  <c r="AY975" i="1"/>
  <c r="AY959" i="1" s="1"/>
  <c r="L647" i="8"/>
  <c r="P647" i="8"/>
  <c r="P71" i="7"/>
  <c r="K71" i="7"/>
  <c r="K522" i="7"/>
  <c r="P522" i="7"/>
  <c r="P597" i="7"/>
  <c r="K597" i="7"/>
  <c r="P755" i="8"/>
  <c r="L755" i="8"/>
  <c r="P927" i="8"/>
  <c r="L927" i="8"/>
  <c r="L1136" i="8"/>
  <c r="P1136" i="8"/>
  <c r="K1151" i="7"/>
  <c r="P1151" i="7"/>
  <c r="I454" i="7"/>
  <c r="K1208" i="7"/>
  <c r="P1208" i="7"/>
  <c r="K1172" i="7"/>
  <c r="P1172" i="7"/>
  <c r="L460" i="8"/>
  <c r="P460" i="8"/>
  <c r="P58" i="8"/>
  <c r="J60" i="8" s="1"/>
  <c r="L58" i="8"/>
  <c r="K402" i="7"/>
  <c r="P402" i="7"/>
  <c r="P604" i="7"/>
  <c r="K604" i="7"/>
  <c r="I651" i="7"/>
  <c r="F254" i="1"/>
  <c r="P232" i="1"/>
  <c r="K999" i="7"/>
  <c r="P999" i="7"/>
  <c r="P801" i="8"/>
  <c r="L801" i="8"/>
  <c r="L722" i="8"/>
  <c r="P722" i="8"/>
  <c r="L248" i="8"/>
  <c r="P248" i="8"/>
  <c r="AV251" i="1"/>
  <c r="CE232" i="1"/>
  <c r="J998" i="8"/>
  <c r="P984" i="8"/>
  <c r="L984" i="8"/>
  <c r="L991" i="8"/>
  <c r="P991" i="8"/>
  <c r="K843" i="7"/>
  <c r="P843" i="7"/>
  <c r="CE959" i="1"/>
  <c r="CD975" i="1"/>
  <c r="P572" i="8"/>
  <c r="L572" i="8"/>
  <c r="P1254" i="8"/>
  <c r="L1254" i="8"/>
  <c r="P815" i="7"/>
  <c r="I817" i="7" s="1"/>
  <c r="K815" i="7"/>
  <c r="P1264" i="7"/>
  <c r="K1264" i="7"/>
  <c r="P892" i="8"/>
  <c r="L892" i="8"/>
  <c r="CD251" i="1"/>
  <c r="CD232" i="1" s="1"/>
  <c r="Q281" i="1"/>
  <c r="K943" i="7"/>
  <c r="P943" i="7"/>
  <c r="L1338" i="8"/>
  <c r="P1338" i="8"/>
  <c r="P1115" i="8"/>
  <c r="L1115" i="8"/>
  <c r="I886" i="7"/>
  <c r="X115" i="1"/>
  <c r="CA975" i="1"/>
  <c r="K716" i="7"/>
  <c r="P716" i="7"/>
  <c r="P1014" i="7"/>
  <c r="K1014" i="7"/>
  <c r="P785" i="7"/>
  <c r="K785" i="7"/>
  <c r="K1144" i="7"/>
  <c r="P1144" i="7"/>
  <c r="K438" i="7"/>
  <c r="P438" i="7"/>
  <c r="P535" i="7"/>
  <c r="K535" i="7"/>
  <c r="V317" i="1"/>
  <c r="F372" i="1"/>
  <c r="V475" i="1"/>
  <c r="P949" i="8"/>
  <c r="L949" i="8"/>
  <c r="P671" i="7"/>
  <c r="K671" i="7"/>
  <c r="P611" i="7"/>
  <c r="K611" i="7"/>
  <c r="K921" i="7"/>
  <c r="P921" i="7"/>
  <c r="J976" i="8"/>
  <c r="K340" i="7"/>
  <c r="P340" i="7"/>
  <c r="L821" i="8"/>
  <c r="P821" i="8"/>
  <c r="J823" i="8" s="1"/>
  <c r="P603" i="8"/>
  <c r="L603" i="8"/>
  <c r="P1256" i="7"/>
  <c r="K1256" i="7"/>
  <c r="P332" i="8"/>
  <c r="L332" i="8"/>
  <c r="K394" i="7"/>
  <c r="P394" i="7"/>
  <c r="K850" i="7"/>
  <c r="P850" i="7"/>
  <c r="P841" i="8"/>
  <c r="L841" i="8"/>
  <c r="K1311" i="7"/>
  <c r="P1311" i="7"/>
  <c r="P1182" i="7"/>
  <c r="K1182" i="7"/>
  <c r="X563" i="1"/>
  <c r="CD349" i="1"/>
  <c r="AU349" i="1" s="1"/>
  <c r="P64" i="7"/>
  <c r="K64" i="7"/>
  <c r="AK662" i="1"/>
  <c r="L428" i="8"/>
  <c r="P428" i="8"/>
  <c r="P919" i="8"/>
  <c r="L919" i="8"/>
  <c r="K936" i="7"/>
  <c r="P936" i="7"/>
  <c r="P99" i="8"/>
  <c r="J101" i="8" s="1"/>
  <c r="L99" i="8"/>
  <c r="K661" i="7"/>
  <c r="P661" i="7"/>
  <c r="P1240" i="7"/>
  <c r="K1240" i="7"/>
  <c r="K985" i="7"/>
  <c r="P985" i="7"/>
  <c r="P339" i="8"/>
  <c r="L339" i="8"/>
  <c r="P110" i="7"/>
  <c r="K110" i="7"/>
  <c r="L1005" i="8"/>
  <c r="P1005" i="8"/>
  <c r="P587" i="8"/>
  <c r="L587" i="8"/>
  <c r="P506" i="8"/>
  <c r="L506" i="8"/>
  <c r="L956" i="8"/>
  <c r="P956" i="8"/>
  <c r="K514" i="7"/>
  <c r="P514" i="7"/>
  <c r="P758" i="7"/>
  <c r="K758" i="7"/>
  <c r="L1188" i="8"/>
  <c r="P1188" i="8"/>
  <c r="P326" i="7"/>
  <c r="K326" i="7"/>
  <c r="L1150" i="8"/>
  <c r="P1150" i="8"/>
  <c r="K685" i="7"/>
  <c r="P685" i="7"/>
  <c r="J1347" i="8"/>
  <c r="Y251" i="1"/>
  <c r="Y232" i="1" s="1"/>
  <c r="P355" i="7"/>
  <c r="K355" i="7"/>
  <c r="L1164" i="8"/>
  <c r="P1164" i="8"/>
  <c r="L764" i="8"/>
  <c r="P764" i="8"/>
  <c r="J807" i="8" s="1"/>
  <c r="K1324" i="7"/>
  <c r="P1324" i="7"/>
  <c r="P749" i="7"/>
  <c r="I801" i="7" s="1"/>
  <c r="K749" i="7"/>
  <c r="AW975" i="1"/>
  <c r="F880" i="1"/>
  <c r="P87" i="8"/>
  <c r="L87" i="8"/>
  <c r="F101" i="1"/>
  <c r="W69" i="1"/>
  <c r="BA927" i="1"/>
  <c r="CD37" i="1"/>
  <c r="AE959" i="1"/>
  <c r="F997" i="1"/>
  <c r="K641" i="7"/>
  <c r="P641" i="7"/>
  <c r="J899" i="8"/>
  <c r="P317" i="1"/>
  <c r="Q662" i="1"/>
  <c r="L1330" i="8"/>
  <c r="P1330" i="8"/>
  <c r="P224" i="8"/>
  <c r="J363" i="8" s="1"/>
  <c r="L224" i="8"/>
  <c r="P1062" i="7"/>
  <c r="K1062" i="7"/>
  <c r="I903" i="7"/>
  <c r="P290" i="8"/>
  <c r="L290" i="8"/>
  <c r="P580" i="8"/>
  <c r="L580" i="8"/>
  <c r="K118" i="7"/>
  <c r="P118" i="7"/>
  <c r="L1214" i="8"/>
  <c r="P1214" i="8"/>
  <c r="P1020" i="8"/>
  <c r="L1020" i="8"/>
  <c r="CA37" i="1"/>
  <c r="CA30" i="1" s="1"/>
  <c r="L667" i="8"/>
  <c r="P667" i="8"/>
  <c r="P1192" i="7"/>
  <c r="K1192" i="7"/>
  <c r="P729" i="8"/>
  <c r="L729" i="8"/>
  <c r="U927" i="1"/>
  <c r="U728" i="1" s="1"/>
  <c r="F364" i="1"/>
  <c r="P346" i="8"/>
  <c r="L346" i="8"/>
  <c r="U732" i="1"/>
  <c r="S475" i="1"/>
  <c r="P284" i="7"/>
  <c r="K284" i="7"/>
  <c r="P1221" i="8"/>
  <c r="L1221" i="8"/>
  <c r="I697" i="7"/>
  <c r="I928" i="7"/>
  <c r="P610" i="8"/>
  <c r="L610" i="8"/>
  <c r="L563" i="8"/>
  <c r="P563" i="8"/>
  <c r="P233" i="8"/>
  <c r="L233" i="8"/>
  <c r="J453" i="8"/>
  <c r="P1122" i="8"/>
  <c r="L1122" i="8"/>
  <c r="P1207" i="8"/>
  <c r="L1207" i="8"/>
  <c r="K913" i="7"/>
  <c r="P913" i="7"/>
  <c r="P310" i="7"/>
  <c r="K310" i="7"/>
  <c r="L1317" i="8"/>
  <c r="P1317" i="8"/>
  <c r="J1075" i="8"/>
  <c r="L49" i="8"/>
  <c r="P49" i="8"/>
  <c r="P1332" i="7"/>
  <c r="K1332" i="7"/>
  <c r="P723" i="7"/>
  <c r="K723" i="7"/>
  <c r="P52" i="7"/>
  <c r="I54" i="7" s="1"/>
  <c r="K52" i="7"/>
  <c r="P467" i="7"/>
  <c r="K467" i="7"/>
  <c r="L528" i="8"/>
  <c r="P528" i="8"/>
  <c r="I199" i="7"/>
  <c r="AL959" i="1"/>
  <c r="F302" i="1"/>
  <c r="X975" i="1"/>
  <c r="AL189" i="1"/>
  <c r="Y200" i="1"/>
  <c r="K152" i="7"/>
  <c r="P152" i="7"/>
  <c r="J1323" i="8"/>
  <c r="L473" i="8"/>
  <c r="P473" i="8"/>
  <c r="J1143" i="8"/>
  <c r="P1272" i="7"/>
  <c r="K1272" i="7"/>
  <c r="Q26" i="1"/>
  <c r="F293" i="1"/>
  <c r="T22" i="1"/>
  <c r="T1035" i="1"/>
  <c r="F1026" i="1"/>
  <c r="CD317" i="1"/>
  <c r="BB22" i="1"/>
  <c r="BB1035" i="1"/>
  <c r="F1018" i="1"/>
  <c r="X959" i="1"/>
  <c r="F1001" i="1"/>
  <c r="BD22" i="1"/>
  <c r="F1030" i="1"/>
  <c r="BD1035" i="1"/>
  <c r="S69" i="1"/>
  <c r="F92" i="1"/>
  <c r="Q317" i="1"/>
  <c r="F361" i="1"/>
  <c r="Q475" i="1"/>
  <c r="R189" i="1"/>
  <c r="F214" i="1"/>
  <c r="GP196" i="1"/>
  <c r="CD200" i="1" s="1"/>
  <c r="CA200" i="1"/>
  <c r="Q189" i="1"/>
  <c r="F212" i="1"/>
  <c r="AB732" i="1"/>
  <c r="O860" i="1"/>
  <c r="CD959" i="1"/>
  <c r="AU975" i="1"/>
  <c r="CA595" i="1"/>
  <c r="AR630" i="1"/>
  <c r="AL732" i="1"/>
  <c r="Y860" i="1"/>
  <c r="X69" i="1"/>
  <c r="F103" i="1"/>
  <c r="CF109" i="1"/>
  <c r="AW115" i="1"/>
  <c r="F657" i="1"/>
  <c r="Y595" i="1"/>
  <c r="AV200" i="1"/>
  <c r="CE189" i="1"/>
  <c r="R959" i="1"/>
  <c r="F989" i="1"/>
  <c r="T313" i="1"/>
  <c r="F496" i="1"/>
  <c r="X232" i="1"/>
  <c r="F277" i="1"/>
  <c r="AW232" i="1"/>
  <c r="F257" i="1"/>
  <c r="Q511" i="1"/>
  <c r="F575" i="1"/>
  <c r="Q696" i="1"/>
  <c r="Y959" i="1"/>
  <c r="F1002" i="1"/>
  <c r="X732" i="1"/>
  <c r="F886" i="1"/>
  <c r="X927" i="1"/>
  <c r="P381" i="1"/>
  <c r="F448" i="1"/>
  <c r="R662" i="1"/>
  <c r="F680" i="1"/>
  <c r="R232" i="1"/>
  <c r="F265" i="1"/>
  <c r="CE511" i="1"/>
  <c r="AV563" i="1"/>
  <c r="Y109" i="1"/>
  <c r="F142" i="1"/>
  <c r="CA666" i="1"/>
  <c r="GP664" i="1"/>
  <c r="CD666" i="1" s="1"/>
  <c r="X381" i="1"/>
  <c r="F471" i="1"/>
  <c r="CD511" i="1"/>
  <c r="F85" i="1"/>
  <c r="AY69" i="1"/>
  <c r="O115" i="1"/>
  <c r="AB109" i="1"/>
  <c r="O200" i="1"/>
  <c r="AB189" i="1"/>
  <c r="F693" i="1"/>
  <c r="Y662" i="1"/>
  <c r="AV30" i="1"/>
  <c r="F42" i="1"/>
  <c r="X511" i="1"/>
  <c r="F589" i="1"/>
  <c r="X696" i="1"/>
  <c r="U26" i="1"/>
  <c r="F303" i="1"/>
  <c r="BA317" i="1"/>
  <c r="F369" i="1"/>
  <c r="BA475" i="1"/>
  <c r="AW959" i="1"/>
  <c r="F981" i="1"/>
  <c r="U507" i="1"/>
  <c r="F718" i="1"/>
  <c r="S927" i="1"/>
  <c r="F875" i="1"/>
  <c r="S732" i="1"/>
  <c r="P475" i="1"/>
  <c r="CH381" i="1"/>
  <c r="AY445" i="1"/>
  <c r="Y30" i="1"/>
  <c r="F64" i="1"/>
  <c r="Y281" i="1"/>
  <c r="AW200" i="1"/>
  <c r="CF189" i="1"/>
  <c r="S959" i="1"/>
  <c r="F990" i="1"/>
  <c r="P109" i="1"/>
  <c r="F118" i="1"/>
  <c r="W728" i="1"/>
  <c r="F951" i="1"/>
  <c r="BA26" i="1"/>
  <c r="F301" i="1"/>
  <c r="BA1005" i="1"/>
  <c r="CF511" i="1"/>
  <c r="AW563" i="1"/>
  <c r="O666" i="1"/>
  <c r="AB662" i="1"/>
  <c r="AW630" i="1"/>
  <c r="CF595" i="1"/>
  <c r="AZ728" i="1"/>
  <c r="F938" i="1"/>
  <c r="F983" i="1"/>
  <c r="AT22" i="1"/>
  <c r="AT1035" i="1"/>
  <c r="F1023" i="1"/>
  <c r="F16" i="2" s="1"/>
  <c r="F18" i="2" s="1"/>
  <c r="AR975" i="1"/>
  <c r="CA959" i="1"/>
  <c r="S507" i="1"/>
  <c r="F711" i="1"/>
  <c r="P189" i="1"/>
  <c r="F203" i="1"/>
  <c r="R732" i="1"/>
  <c r="R927" i="1"/>
  <c r="F874" i="1"/>
  <c r="R109" i="1"/>
  <c r="F129" i="1"/>
  <c r="P511" i="1"/>
  <c r="P696" i="1"/>
  <c r="F566" i="1"/>
  <c r="AU37" i="1"/>
  <c r="CD30" i="1"/>
  <c r="CD732" i="1"/>
  <c r="AU860" i="1"/>
  <c r="CF662" i="1"/>
  <c r="AW666" i="1"/>
  <c r="R381" i="1"/>
  <c r="F459" i="1"/>
  <c r="Q69" i="1"/>
  <c r="F89" i="1"/>
  <c r="W507" i="1"/>
  <c r="F720" i="1"/>
  <c r="AX507" i="1"/>
  <c r="F703" i="1"/>
  <c r="BC22" i="1"/>
  <c r="BC1035" i="1"/>
  <c r="F1021" i="1"/>
  <c r="F45" i="1"/>
  <c r="AY30" i="1"/>
  <c r="X30" i="1"/>
  <c r="F63" i="1"/>
  <c r="X281" i="1"/>
  <c r="CE381" i="1"/>
  <c r="AV445" i="1"/>
  <c r="AY200" i="1"/>
  <c r="CH189" i="1"/>
  <c r="F51" i="1"/>
  <c r="R281" i="1"/>
  <c r="R30" i="1"/>
  <c r="AR37" i="1"/>
  <c r="F472" i="1"/>
  <c r="Y381" i="1"/>
  <c r="AZ511" i="1"/>
  <c r="AZ696" i="1"/>
  <c r="F574" i="1"/>
  <c r="AW69" i="1"/>
  <c r="F83" i="1"/>
  <c r="GP111" i="1"/>
  <c r="CD115" i="1" s="1"/>
  <c r="CA115" i="1"/>
  <c r="P732" i="1"/>
  <c r="P927" i="1"/>
  <c r="F863" i="1"/>
  <c r="CH732" i="1"/>
  <c r="AY860" i="1"/>
  <c r="AW30" i="1"/>
  <c r="F43" i="1"/>
  <c r="AW281" i="1"/>
  <c r="CE732" i="1"/>
  <c r="AV860" i="1"/>
  <c r="S281" i="1"/>
  <c r="CE109" i="1"/>
  <c r="AV115" i="1"/>
  <c r="U313" i="1"/>
  <c r="F497" i="1"/>
  <c r="AT507" i="1"/>
  <c r="F714" i="1"/>
  <c r="CH109" i="1"/>
  <c r="AY115" i="1"/>
  <c r="AY281" i="1" s="1"/>
  <c r="V507" i="1"/>
  <c r="F719" i="1"/>
  <c r="F977" i="1"/>
  <c r="O959" i="1"/>
  <c r="S232" i="1"/>
  <c r="F266" i="1"/>
  <c r="R511" i="1"/>
  <c r="F577" i="1"/>
  <c r="R696" i="1"/>
  <c r="X109" i="1"/>
  <c r="F141" i="1"/>
  <c r="AX728" i="1"/>
  <c r="F934" i="1"/>
  <c r="BA728" i="1"/>
  <c r="F947" i="1"/>
  <c r="Q232" i="1"/>
  <c r="F263" i="1"/>
  <c r="T507" i="1"/>
  <c r="F717" i="1"/>
  <c r="S313" i="1"/>
  <c r="F490" i="1"/>
  <c r="AW317" i="1"/>
  <c r="F355" i="1"/>
  <c r="S109" i="1"/>
  <c r="F130" i="1"/>
  <c r="AB317" i="1"/>
  <c r="O349" i="1"/>
  <c r="R317" i="1"/>
  <c r="F363" i="1"/>
  <c r="R475" i="1"/>
  <c r="F644" i="1"/>
  <c r="R595" i="1"/>
  <c r="AX232" i="1"/>
  <c r="F258" i="1"/>
  <c r="V732" i="1"/>
  <c r="V927" i="1"/>
  <c r="V1005" i="1" s="1"/>
  <c r="F883" i="1"/>
  <c r="AZ959" i="1"/>
  <c r="F986" i="1"/>
  <c r="O251" i="1"/>
  <c r="AB232" i="1"/>
  <c r="T728" i="1"/>
  <c r="F948" i="1"/>
  <c r="AR251" i="1"/>
  <c r="CA232" i="1"/>
  <c r="W26" i="1"/>
  <c r="F305" i="1"/>
  <c r="W1005" i="1"/>
  <c r="X662" i="1"/>
  <c r="F692" i="1"/>
  <c r="AY317" i="1"/>
  <c r="F357" i="1"/>
  <c r="CA445" i="1"/>
  <c r="AB69" i="1"/>
  <c r="O77" i="1"/>
  <c r="O281" i="1" s="1"/>
  <c r="F82" i="1"/>
  <c r="AV69" i="1"/>
  <c r="AT313" i="1"/>
  <c r="F493" i="1"/>
  <c r="AO22" i="1"/>
  <c r="F1009" i="1"/>
  <c r="AO1035" i="1"/>
  <c r="AX281" i="1"/>
  <c r="X189" i="1"/>
  <c r="F226" i="1"/>
  <c r="F633" i="1"/>
  <c r="P595" i="1"/>
  <c r="AP26" i="1"/>
  <c r="F290" i="1"/>
  <c r="AP1005" i="1"/>
  <c r="Y511" i="1"/>
  <c r="F590" i="1"/>
  <c r="Y696" i="1"/>
  <c r="AQ26" i="1"/>
  <c r="F291" i="1"/>
  <c r="AQ1005" i="1"/>
  <c r="AZ26" i="1"/>
  <c r="F292" i="1"/>
  <c r="Q732" i="1"/>
  <c r="Q927" i="1"/>
  <c r="F872" i="1"/>
  <c r="F486" i="1"/>
  <c r="AZ313" i="1"/>
  <c r="AQ507" i="1"/>
  <c r="F706" i="1"/>
  <c r="O595" i="1"/>
  <c r="F632" i="1"/>
  <c r="CH662" i="1"/>
  <c r="AY666" i="1"/>
  <c r="F980" i="1"/>
  <c r="AV959" i="1"/>
  <c r="AV666" i="1"/>
  <c r="CE662" i="1"/>
  <c r="F354" i="1"/>
  <c r="AV317" i="1"/>
  <c r="AV475" i="1"/>
  <c r="AQ313" i="1"/>
  <c r="F485" i="1"/>
  <c r="F669" i="1"/>
  <c r="P662" i="1"/>
  <c r="AP507" i="1"/>
  <c r="F705" i="1"/>
  <c r="CF732" i="1"/>
  <c r="AW860" i="1"/>
  <c r="F39" i="1"/>
  <c r="O30" i="1"/>
  <c r="Y69" i="1"/>
  <c r="F104" i="1"/>
  <c r="F642" i="1"/>
  <c r="Q595" i="1"/>
  <c r="AS313" i="1"/>
  <c r="F492" i="1"/>
  <c r="CH511" i="1"/>
  <c r="AY563" i="1"/>
  <c r="F681" i="1"/>
  <c r="S662" i="1"/>
  <c r="Q381" i="1"/>
  <c r="F457" i="1"/>
  <c r="CF381" i="1"/>
  <c r="AW445" i="1"/>
  <c r="AW475" i="1" s="1"/>
  <c r="O381" i="1"/>
  <c r="F447" i="1"/>
  <c r="CD445" i="1"/>
  <c r="O511" i="1"/>
  <c r="F565" i="1"/>
  <c r="GP71" i="1"/>
  <c r="CD77" i="1" s="1"/>
  <c r="CA77" i="1"/>
  <c r="CH595" i="1"/>
  <c r="AY630" i="1"/>
  <c r="P281" i="1"/>
  <c r="CE595" i="1"/>
  <c r="AV630" i="1"/>
  <c r="CA860" i="1"/>
  <c r="U381" i="1"/>
  <c r="F467" i="1"/>
  <c r="F656" i="1"/>
  <c r="X595" i="1"/>
  <c r="X475" i="1"/>
  <c r="F375" i="1"/>
  <c r="X317" i="1"/>
  <c r="R69" i="1"/>
  <c r="F91" i="1"/>
  <c r="Y317" i="1"/>
  <c r="F376" i="1"/>
  <c r="Y475" i="1"/>
  <c r="F716" i="1"/>
  <c r="BA507" i="1"/>
  <c r="CA349" i="1"/>
  <c r="F982" i="1"/>
  <c r="AX959" i="1"/>
  <c r="AQ728" i="1"/>
  <c r="F937" i="1"/>
  <c r="AX317" i="1"/>
  <c r="F356" i="1"/>
  <c r="AX475" i="1"/>
  <c r="AS1005" i="1"/>
  <c r="AZ232" i="1"/>
  <c r="F262" i="1"/>
  <c r="V26" i="1"/>
  <c r="F304" i="1"/>
  <c r="P998" i="8" l="1"/>
  <c r="L998" i="8"/>
  <c r="V313" i="1"/>
  <c r="F498" i="1"/>
  <c r="K903" i="7"/>
  <c r="P903" i="7"/>
  <c r="AV281" i="1"/>
  <c r="F286" i="1" s="1"/>
  <c r="U1005" i="1"/>
  <c r="F1027" i="1" s="1"/>
  <c r="P453" i="8"/>
  <c r="J1364" i="8" s="1"/>
  <c r="L453" i="8"/>
  <c r="I1352" i="7"/>
  <c r="L1323" i="8"/>
  <c r="P1323" i="8"/>
  <c r="J1358" i="8" s="1"/>
  <c r="P1347" i="8"/>
  <c r="L1347" i="8"/>
  <c r="AV232" i="1"/>
  <c r="F256" i="1"/>
  <c r="K454" i="7"/>
  <c r="P454" i="7"/>
  <c r="I616" i="7" s="1"/>
  <c r="L1143" i="8"/>
  <c r="P1143" i="8"/>
  <c r="K697" i="7"/>
  <c r="P697" i="7"/>
  <c r="F278" i="1"/>
  <c r="I357" i="7"/>
  <c r="I613" i="7"/>
  <c r="F227" i="1"/>
  <c r="Y189" i="1"/>
  <c r="I202" i="7"/>
  <c r="J205" i="8"/>
  <c r="I1358" i="7"/>
  <c r="P976" i="8"/>
  <c r="J1361" i="8" s="1"/>
  <c r="L976" i="8"/>
  <c r="AU630" i="1"/>
  <c r="AU595" i="1" s="1"/>
  <c r="P1075" i="8"/>
  <c r="L1075" i="8"/>
  <c r="AU251" i="1"/>
  <c r="I120" i="7"/>
  <c r="P886" i="7"/>
  <c r="K886" i="7"/>
  <c r="AR563" i="1"/>
  <c r="J208" i="8"/>
  <c r="P899" i="8"/>
  <c r="J1304" i="8" s="1"/>
  <c r="L899" i="8"/>
  <c r="J826" i="8"/>
  <c r="J731" i="8"/>
  <c r="K928" i="7"/>
  <c r="P928" i="7"/>
  <c r="I1290" i="7" s="1"/>
  <c r="I83" i="7"/>
  <c r="F949" i="1"/>
  <c r="P651" i="7"/>
  <c r="I725" i="7" s="1"/>
  <c r="K651" i="7"/>
  <c r="I820" i="7"/>
  <c r="AV26" i="1"/>
  <c r="O26" i="1"/>
  <c r="F283" i="1"/>
  <c r="BD18" i="1"/>
  <c r="F1060" i="1"/>
  <c r="CD109" i="1"/>
  <c r="AU115" i="1"/>
  <c r="AY511" i="1"/>
  <c r="F571" i="1"/>
  <c r="AY696" i="1"/>
  <c r="X507" i="1"/>
  <c r="F722" i="1"/>
  <c r="AW313" i="1"/>
  <c r="F481" i="1"/>
  <c r="CD662" i="1"/>
  <c r="AU666" i="1"/>
  <c r="Q728" i="1"/>
  <c r="F939" i="1"/>
  <c r="AR200" i="1"/>
  <c r="CA189" i="1"/>
  <c r="U22" i="1"/>
  <c r="U1035" i="1"/>
  <c r="O732" i="1"/>
  <c r="O927" i="1"/>
  <c r="F862" i="1"/>
  <c r="AZ507" i="1"/>
  <c r="F707" i="1"/>
  <c r="CD69" i="1"/>
  <c r="AU77" i="1"/>
  <c r="F270" i="1"/>
  <c r="AU232" i="1"/>
  <c r="Q507" i="1"/>
  <c r="F708" i="1"/>
  <c r="CD189" i="1"/>
  <c r="AU200" i="1"/>
  <c r="F994" i="1"/>
  <c r="AU959" i="1"/>
  <c r="AY381" i="1"/>
  <c r="F453" i="1"/>
  <c r="S26" i="1"/>
  <c r="F296" i="1"/>
  <c r="S1005" i="1"/>
  <c r="BA22" i="1"/>
  <c r="BA1035" i="1"/>
  <c r="F1025" i="1"/>
  <c r="AY26" i="1"/>
  <c r="F289" i="1"/>
  <c r="F568" i="1"/>
  <c r="AV511" i="1"/>
  <c r="AV696" i="1"/>
  <c r="AW109" i="1"/>
  <c r="F121" i="1"/>
  <c r="AU317" i="1"/>
  <c r="F368" i="1"/>
  <c r="O317" i="1"/>
  <c r="F351" i="1"/>
  <c r="O475" i="1"/>
  <c r="P26" i="1"/>
  <c r="F284" i="1"/>
  <c r="P1005" i="1"/>
  <c r="Y313" i="1"/>
  <c r="F502" i="1"/>
  <c r="F649" i="1"/>
  <c r="AV732" i="1"/>
  <c r="AV927" i="1"/>
  <c r="F865" i="1"/>
  <c r="AS22" i="1"/>
  <c r="F1022" i="1"/>
  <c r="E16" i="2" s="1"/>
  <c r="AS1035" i="1"/>
  <c r="V728" i="1"/>
  <c r="F950" i="1"/>
  <c r="AV662" i="1"/>
  <c r="F671" i="1"/>
  <c r="AR30" i="1"/>
  <c r="F65" i="1"/>
  <c r="AY732" i="1"/>
  <c r="AY927" i="1"/>
  <c r="F868" i="1"/>
  <c r="BC18" i="1"/>
  <c r="F1051" i="1"/>
  <c r="R728" i="1"/>
  <c r="F941" i="1"/>
  <c r="X728" i="1"/>
  <c r="F953" i="1"/>
  <c r="CA381" i="1"/>
  <c r="AR445" i="1"/>
  <c r="P313" i="1"/>
  <c r="F478" i="1"/>
  <c r="AU732" i="1"/>
  <c r="AU927" i="1"/>
  <c r="F879" i="1"/>
  <c r="AV189" i="1"/>
  <c r="F205" i="1"/>
  <c r="AX313" i="1"/>
  <c r="F482" i="1"/>
  <c r="S728" i="1"/>
  <c r="F942" i="1"/>
  <c r="R26" i="1"/>
  <c r="F295" i="1"/>
  <c r="R1005" i="1"/>
  <c r="P507" i="1"/>
  <c r="F699" i="1"/>
  <c r="Q313" i="1"/>
  <c r="F487" i="1"/>
  <c r="T18" i="1"/>
  <c r="F1056" i="1"/>
  <c r="Y26" i="1"/>
  <c r="F308" i="1"/>
  <c r="X26" i="1"/>
  <c r="F307" i="1"/>
  <c r="X1005" i="1"/>
  <c r="V22" i="1"/>
  <c r="V1035" i="1"/>
  <c r="F1028" i="1"/>
  <c r="F668" i="1"/>
  <c r="O662" i="1"/>
  <c r="F79" i="1"/>
  <c r="O69" i="1"/>
  <c r="F672" i="1"/>
  <c r="AW662" i="1"/>
  <c r="AY475" i="1"/>
  <c r="BB18" i="1"/>
  <c r="F1048" i="1"/>
  <c r="AR959" i="1"/>
  <c r="F1003" i="1"/>
  <c r="X313" i="1"/>
  <c r="F501" i="1"/>
  <c r="W22" i="1"/>
  <c r="W1035" i="1"/>
  <c r="F1029" i="1"/>
  <c r="AW381" i="1"/>
  <c r="F451" i="1"/>
  <c r="AQ22" i="1"/>
  <c r="F1015" i="1"/>
  <c r="AQ1035" i="1"/>
  <c r="O189" i="1"/>
  <c r="F202" i="1"/>
  <c r="AW732" i="1"/>
  <c r="AW927" i="1"/>
  <c r="F866" i="1"/>
  <c r="R313" i="1"/>
  <c r="F489" i="1"/>
  <c r="P728" i="1"/>
  <c r="F930" i="1"/>
  <c r="BA313" i="1"/>
  <c r="F495" i="1"/>
  <c r="Y732" i="1"/>
  <c r="Y927" i="1"/>
  <c r="F887" i="1"/>
  <c r="Q1005" i="1"/>
  <c r="AW595" i="1"/>
  <c r="F636" i="1"/>
  <c r="AP22" i="1"/>
  <c r="F1014" i="1"/>
  <c r="G16" i="2" s="1"/>
  <c r="G18" i="2" s="1"/>
  <c r="AP1035" i="1"/>
  <c r="R507" i="1"/>
  <c r="F710" i="1"/>
  <c r="AW511" i="1"/>
  <c r="F569" i="1"/>
  <c r="AW696" i="1"/>
  <c r="AV313" i="1"/>
  <c r="F480" i="1"/>
  <c r="CA662" i="1"/>
  <c r="AR666" i="1"/>
  <c r="AW26" i="1"/>
  <c r="F287" i="1"/>
  <c r="AW1005" i="1"/>
  <c r="AT18" i="1"/>
  <c r="F1053" i="1"/>
  <c r="I22" i="7" s="1"/>
  <c r="CA732" i="1"/>
  <c r="AR860" i="1"/>
  <c r="AY189" i="1"/>
  <c r="F208" i="1"/>
  <c r="O109" i="1"/>
  <c r="F117" i="1"/>
  <c r="AU511" i="1"/>
  <c r="F582" i="1"/>
  <c r="F638" i="1"/>
  <c r="AY595" i="1"/>
  <c r="F120" i="1"/>
  <c r="AV109" i="1"/>
  <c r="F253" i="1"/>
  <c r="O232" i="1"/>
  <c r="CA69" i="1"/>
  <c r="AR77" i="1"/>
  <c r="O696" i="1"/>
  <c r="CD381" i="1"/>
  <c r="AU445" i="1"/>
  <c r="AU475" i="1" s="1"/>
  <c r="AZ1005" i="1"/>
  <c r="AU30" i="1"/>
  <c r="F56" i="1"/>
  <c r="AX26" i="1"/>
  <c r="F288" i="1"/>
  <c r="AX1005" i="1"/>
  <c r="AY662" i="1"/>
  <c r="F674" i="1"/>
  <c r="AO18" i="1"/>
  <c r="F1039" i="1"/>
  <c r="AY109" i="1"/>
  <c r="F123" i="1"/>
  <c r="AR349" i="1"/>
  <c r="CA317" i="1"/>
  <c r="AV595" i="1"/>
  <c r="F635" i="1"/>
  <c r="Y507" i="1"/>
  <c r="F723" i="1"/>
  <c r="AR232" i="1"/>
  <c r="F279" i="1"/>
  <c r="AR115" i="1"/>
  <c r="CA109" i="1"/>
  <c r="AV381" i="1"/>
  <c r="F450" i="1"/>
  <c r="AW189" i="1"/>
  <c r="F206" i="1"/>
  <c r="AR511" i="1"/>
  <c r="F591" i="1"/>
  <c r="AR595" i="1"/>
  <c r="F658" i="1"/>
  <c r="I1298" i="7" l="1"/>
  <c r="J622" i="8"/>
  <c r="AU281" i="1"/>
  <c r="AU696" i="1"/>
  <c r="J619" i="8"/>
  <c r="AR281" i="1"/>
  <c r="I1355" i="7"/>
  <c r="J1296" i="8"/>
  <c r="AR26" i="1"/>
  <c r="F309" i="1"/>
  <c r="AU26" i="1"/>
  <c r="F300" i="1"/>
  <c r="AU1005" i="1"/>
  <c r="O313" i="1"/>
  <c r="F477" i="1"/>
  <c r="AW22" i="1"/>
  <c r="F1011" i="1"/>
  <c r="AW1035" i="1"/>
  <c r="BA18" i="1"/>
  <c r="F1055" i="1"/>
  <c r="O728" i="1"/>
  <c r="F929" i="1"/>
  <c r="AX22" i="1"/>
  <c r="F1012" i="1"/>
  <c r="AX1035" i="1"/>
  <c r="AR109" i="1"/>
  <c r="F143" i="1"/>
  <c r="AY507" i="1"/>
  <c r="F704" i="1"/>
  <c r="AU313" i="1"/>
  <c r="F494" i="1"/>
  <c r="U18" i="1"/>
  <c r="F1057" i="1"/>
  <c r="AU381" i="1"/>
  <c r="F464" i="1"/>
  <c r="AQ18" i="1"/>
  <c r="F1045" i="1"/>
  <c r="R22" i="1"/>
  <c r="F1019" i="1"/>
  <c r="R1035" i="1"/>
  <c r="V18" i="1"/>
  <c r="F1058" i="1"/>
  <c r="AZ22" i="1"/>
  <c r="AZ1035" i="1"/>
  <c r="F1016" i="1"/>
  <c r="AV507" i="1"/>
  <c r="F701" i="1"/>
  <c r="Q22" i="1"/>
  <c r="F1017" i="1"/>
  <c r="Q1035" i="1"/>
  <c r="S22" i="1"/>
  <c r="S1035" i="1"/>
  <c r="F1020" i="1"/>
  <c r="F694" i="1"/>
  <c r="AR662" i="1"/>
  <c r="AS18" i="1"/>
  <c r="F1052" i="1"/>
  <c r="I21" i="7" s="1"/>
  <c r="AU507" i="1"/>
  <c r="F715" i="1"/>
  <c r="AW507" i="1"/>
  <c r="F702" i="1"/>
  <c r="F228" i="1"/>
  <c r="AR189" i="1"/>
  <c r="AR696" i="1"/>
  <c r="AR732" i="1"/>
  <c r="F888" i="1"/>
  <c r="AR927" i="1"/>
  <c r="F685" i="1"/>
  <c r="AU662" i="1"/>
  <c r="AV1005" i="1"/>
  <c r="Y728" i="1"/>
  <c r="F954" i="1"/>
  <c r="E18" i="2"/>
  <c r="X22" i="1"/>
  <c r="F1031" i="1"/>
  <c r="X1035" i="1"/>
  <c r="AU189" i="1"/>
  <c r="F219" i="1"/>
  <c r="O1005" i="1"/>
  <c r="Y1005" i="1"/>
  <c r="AR317" i="1"/>
  <c r="F377" i="1"/>
  <c r="AR475" i="1"/>
  <c r="AW728" i="1"/>
  <c r="F933" i="1"/>
  <c r="AY1005" i="1"/>
  <c r="AY313" i="1"/>
  <c r="F483" i="1"/>
  <c r="AU728" i="1"/>
  <c r="F946" i="1"/>
  <c r="P22" i="1"/>
  <c r="F1008" i="1"/>
  <c r="P1035" i="1"/>
  <c r="AR381" i="1"/>
  <c r="F473" i="1"/>
  <c r="W18" i="1"/>
  <c r="F1059" i="1"/>
  <c r="F134" i="1"/>
  <c r="AU109" i="1"/>
  <c r="AV728" i="1"/>
  <c r="F932" i="1"/>
  <c r="AY728" i="1"/>
  <c r="F935" i="1"/>
  <c r="O507" i="1"/>
  <c r="F698" i="1"/>
  <c r="AP18" i="1"/>
  <c r="F1044" i="1"/>
  <c r="I23" i="7" s="1"/>
  <c r="AR69" i="1"/>
  <c r="F105" i="1"/>
  <c r="F96" i="1"/>
  <c r="AU69" i="1"/>
  <c r="S18" i="1" l="1"/>
  <c r="F1050" i="1"/>
  <c r="I25" i="7" s="1"/>
  <c r="AV22" i="1"/>
  <c r="F1010" i="1"/>
  <c r="AV1035" i="1"/>
  <c r="Q18" i="1"/>
  <c r="F1047" i="1"/>
  <c r="AU22" i="1"/>
  <c r="F1024" i="1"/>
  <c r="H16" i="2" s="1"/>
  <c r="AU1035" i="1"/>
  <c r="AZ18" i="1"/>
  <c r="F1046" i="1"/>
  <c r="J16" i="2"/>
  <c r="J18" i="2" s="1"/>
  <c r="AR313" i="1"/>
  <c r="F503" i="1"/>
  <c r="AW18" i="1"/>
  <c r="F1041" i="1"/>
  <c r="O22" i="1"/>
  <c r="F1007" i="1"/>
  <c r="O1035" i="1"/>
  <c r="AX18" i="1"/>
  <c r="F1042" i="1"/>
  <c r="AY22" i="1"/>
  <c r="AY1035" i="1"/>
  <c r="F1013" i="1"/>
  <c r="AR728" i="1"/>
  <c r="F955" i="1"/>
  <c r="Y22" i="1"/>
  <c r="Y1035" i="1"/>
  <c r="F1032" i="1"/>
  <c r="AR507" i="1"/>
  <c r="F724" i="1"/>
  <c r="P18" i="1"/>
  <c r="F1038" i="1"/>
  <c r="X18" i="1"/>
  <c r="F1061" i="1"/>
  <c r="AR1005" i="1"/>
  <c r="R18" i="1"/>
  <c r="F1049" i="1"/>
  <c r="AU18" i="1" l="1"/>
  <c r="F1054" i="1"/>
  <c r="I24" i="7" s="1"/>
  <c r="Y18" i="1"/>
  <c r="F1062" i="1"/>
  <c r="H18" i="2"/>
  <c r="I16" i="2"/>
  <c r="I18" i="2" s="1"/>
  <c r="AR22" i="1"/>
  <c r="F1033" i="1"/>
  <c r="AR1035" i="1"/>
  <c r="AV18" i="1"/>
  <c r="F1040" i="1"/>
  <c r="O18" i="1"/>
  <c r="F1037" i="1"/>
  <c r="AY18" i="1"/>
  <c r="F1043" i="1"/>
  <c r="AR18" i="1" l="1"/>
  <c r="F1063" i="1"/>
  <c r="F1064" i="1" l="1"/>
  <c r="H31" i="8"/>
  <c r="J1365" i="8" l="1"/>
  <c r="I1359" i="7"/>
  <c r="J1366" i="8" l="1"/>
  <c r="I1360" i="7"/>
  <c r="F1066" i="1"/>
  <c r="I1361" i="7" l="1"/>
  <c r="I20" i="7" s="1"/>
  <c r="J1367" i="8"/>
</calcChain>
</file>

<file path=xl/sharedStrings.xml><?xml version="1.0" encoding="utf-8"?>
<sst xmlns="http://schemas.openxmlformats.org/spreadsheetml/2006/main" count="26451" uniqueCount="1162">
  <si>
    <t>Smeta.RU  (495) 974-1589</t>
  </si>
  <si>
    <t>_PS_</t>
  </si>
  <si>
    <t>Smeta.RU</t>
  </si>
  <si>
    <t/>
  </si>
  <si>
    <t>Новый объект_(Копия)_(Копия)_(Копия)_(Копия)</t>
  </si>
  <si>
    <t>СН_1.5_на 4 мес.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</si>
  <si>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</si>
  <si>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</si>
  <si>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</si>
  <si>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</si>
  <si>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</si>
  <si>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</si>
  <si>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</si>
  <si>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Новый раздел</t>
  </si>
  <si>
    <t>1. Система водоснабжение и водоотведение.</t>
  </si>
  <si>
    <t>Новый подраздел</t>
  </si>
  <si>
    <t>Водомерный узел</t>
  </si>
  <si>
    <t>1</t>
  </si>
  <si>
    <t>1.23-2103-39-2/1</t>
  </si>
  <si>
    <t>Техническое обслуживание счетчиков холодной и горячей воды условным диаметром 25-40 мм.</t>
  </si>
  <si>
    <t>шт.</t>
  </si>
  <si>
    <t>СН-2012.1 Выпуск № 5 (в текущих ценах по состоянию на 01.10.2025 г.). 1.23-2103-39-2/1</t>
  </si>
  <si>
    <t>СН-2012</t>
  </si>
  <si>
    <t>Подрядные работы, гл. 1-5,7</t>
  </si>
  <si>
    <t>работа</t>
  </si>
  <si>
    <t>1.24-2103-10-2/1</t>
  </si>
  <si>
    <t>Техническое обслуживание и опломбировка фильтра магнитно-механического типа ФММ (ФМФ) диаметром 50-200 мм</t>
  </si>
  <si>
    <t>СН-2012.1 Выпуск № 5 (в текущих ценах по состоянию на 01.10.2025 г.). 1.24-2103-10-2/1</t>
  </si>
  <si>
    <t>)*2</t>
  </si>
  <si>
    <t>2</t>
  </si>
  <si>
    <t>1.23-2103-41-1/1</t>
  </si>
  <si>
    <t>Техническое обслуживание регулирующего клапана / Вентиль запорный муфтовый 15ч8р2 d=15 мм  , Трехходовой кран 14м1, Ру=1,6Мпа d=15 мм ТУ 26-07-1061-73</t>
  </si>
  <si>
    <t>СН-2012.1 Выпуск № 5 (в текущих ценах по состоянию на 01.10.2025 г.). 1.23-2103-41-1/1</t>
  </si>
  <si>
    <t>1.23-2103-7-2/1</t>
  </si>
  <si>
    <t>Техническое обслуживание приборов для измерения и регулирования давления и разряжения, манометры, тип: ОБМГВ-160, ОБМГН-100, ОБМГН-160 гидравлические и аналоги</t>
  </si>
  <si>
    <t>СН-2012.1 Выпуск № 5 (в текущих ценах по состоянию на 01.10.2025 г.). 1.23-2103-7-2/1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</si>
  <si>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</si>
  <si>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</si>
  <si>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</si>
  <si>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</si>
  <si>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</si>
  <si>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</si>
  <si>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</si>
  <si>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</si>
  <si>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</si>
  <si>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</si>
  <si>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</si>
  <si>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</si>
  <si>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</si>
  <si>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</si>
  <si>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</si>
  <si>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</si>
  <si>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</si>
  <si>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</si>
  <si>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</si>
  <si>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</si>
  <si>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</si>
  <si>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</si>
  <si>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</si>
  <si>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</si>
  <si>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</si>
  <si>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</si>
  <si>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</si>
  <si>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</si>
  <si>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</si>
  <si>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</si>
  <si>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</si>
  <si>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</si>
  <si>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</si>
  <si>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</si>
  <si>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</si>
  <si>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</si>
  <si>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</si>
  <si>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</si>
  <si>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</si>
  <si>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</si>
  <si>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</si>
  <si>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</si>
  <si>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</si>
  <si>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</si>
  <si>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</si>
  <si>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</si>
  <si>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</si>
  <si>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</si>
  <si>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</si>
  <si>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</si>
  <si>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</si>
  <si>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</si>
  <si>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</si>
  <si>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</si>
  <si>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Хозяйственно-питьевой водопровод холодной воды В1</t>
  </si>
  <si>
    <t>3</t>
  </si>
  <si>
    <t>1.15-2203-7-1/1</t>
  </si>
  <si>
    <t>Техническое обслуживание крана шарового латунного никелированного диаметром до 25 мм</t>
  </si>
  <si>
    <t>10 шт.</t>
  </si>
  <si>
    <t>СН-2012.1 Выпуск № 5 (в текущих ценах по состоянию на 01.10.2025 г.). 1.15-2203-7-1/1</t>
  </si>
  <si>
    <t>4</t>
  </si>
  <si>
    <t>1.15-2203-7-2/1</t>
  </si>
  <si>
    <t>Техническое обслуживание крана шарового латунного никелированного диаметром до 50 мм</t>
  </si>
  <si>
    <t>СН-2012.1 Выпуск № 5 (в текущих ценах по состоянию на 01.10.2025 г.). 1.15-2203-7-2/1</t>
  </si>
  <si>
    <t>5</t>
  </si>
  <si>
    <t>Техническое обслуживание регулирующего клапана / Смеситель локтевой однорычажный для умывальника ,  Смеситель настенный для душевого поддона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</si>
  <si>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</si>
  <si>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</si>
  <si>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</si>
  <si>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</si>
  <si>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)*4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</si>
  <si>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</si>
  <si>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</si>
  <si>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</si>
  <si>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Горячий и циркуляционный Водопровод Т3, Т4</t>
  </si>
  <si>
    <t>6</t>
  </si>
  <si>
    <t>Хозяйственно-бытовая канализация К1</t>
  </si>
  <si>
    <t>1.16-3101-3-1/1</t>
  </si>
  <si>
    <t>Прочистка канализационной сети внутренней</t>
  </si>
  <si>
    <t>СН-2012.1 Выпуск № 5 (в текущих ценах по состоянию на 01.10.2025 г.). 1.16-3101-3-1/1</t>
  </si>
  <si>
    <t>1.16-2101-1-1/1</t>
  </si>
  <si>
    <t>Осмотр трубопроводов канализации из чугунных труб диаметром 100-150 мм</t>
  </si>
  <si>
    <t>СН-2012.1 Выпуск № 5 (в текущих ценах по состоянию на 01.10.2025 г.). 1.16-2101-1-1/1</t>
  </si>
  <si>
    <t>1.16-2101-3-1/1</t>
  </si>
  <si>
    <t>Осмотр трубопроводов канализации из чугунных труб диаметром 100-150 мм с лестниц</t>
  </si>
  <si>
    <t>СН-2012.1 Выпуск № 5 (в текущих ценах по состоянию на 01.10.2025 г.). 1.16-2101-3-1/1</t>
  </si>
  <si>
    <t>1.16-2101-2-1/1</t>
  </si>
  <si>
    <t>Осмотр чугунных канализационных ревизий и прочисток</t>
  </si>
  <si>
    <t>СН-2012.1 Выпуск № 5 (в текущих ценах по состоянию на 01.10.2025 г.). 1.16-2101-2-1/1</t>
  </si>
  <si>
    <t>1.16-2201-2-1/1</t>
  </si>
  <si>
    <t>Осмотр трапа ТП диаметром 50 мм</t>
  </si>
  <si>
    <t>СН-2012.1 Выпуск № 5 (в текущих ценах по состоянию на 01.10.2025 г.). 1.16-2201-2-1/1</t>
  </si>
  <si>
    <t>1.16-2201-2-2/1</t>
  </si>
  <si>
    <t>Осмотр трапа ТП диаметром 100 мм</t>
  </si>
  <si>
    <t>СН-2012.1 Выпуск № 5 (в текущих ценах по состоянию на 01.10.2025 г.). 1.16-2201-2-2/1</t>
  </si>
  <si>
    <t>Осмотр трапа ТП диаметром 100 мм / Лоток водоотводной Norma DN100 H70 (1000x148x70 мм) Norma DN100 H70 Aquastok</t>
  </si>
  <si>
    <t>Внутренний водосток</t>
  </si>
  <si>
    <t>Осмотр трапа ТП диаметром 100 мм / Воронка кровельная HL 62.1 с электрообогревом  HL</t>
  </si>
  <si>
    <t>7</t>
  </si>
  <si>
    <t>1.23-2103-15-1/1</t>
  </si>
  <si>
    <t>Техническое обслуживание сигнализатора уровня / Датчик контроля протечек SW007</t>
  </si>
  <si>
    <t>СН-2012.1 Выпуск № 5 (в текущих ценах по состоянию на 01.10.2025 г.). 1.23-2103-15-1/1</t>
  </si>
  <si>
    <t>8</t>
  </si>
  <si>
    <t>1.16-2203-1-1/1</t>
  </si>
  <si>
    <t>Прочистка сифонов</t>
  </si>
  <si>
    <t>100 шт.</t>
  </si>
  <si>
    <t>СН-2012.1 Выпуск № 5 (в текущих ценах по состоянию на 01.10.2025 г.). 1.16-2203-1-1/1</t>
  </si>
  <si>
    <t>1.16-2303-3-1/1</t>
  </si>
  <si>
    <t>Техническое обслуживание компактной канализационной насосной установки</t>
  </si>
  <si>
    <t>СН-2012.1 Выпуск № 5 (в текущих ценах по состоянию на 01.10.2025 г.). 1.16-2303-3-1/1</t>
  </si>
  <si>
    <t>Сантехприборы и оборудование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</si>
  <si>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</si>
  <si>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</si>
  <si>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СН-2012.1 Выпуск № 5 (в текущих ценах по состоянию на 01.10.2025 г.). 1.16-2201-1-1/1</t>
  </si>
  <si>
    <t>)*17</t>
  </si>
  <si>
    <t>1.16-2201-1-2/1</t>
  </si>
  <si>
    <t>Осмотры санитарно-технических приборов и трубопроводов в туалетах общественных зданий - добавлять на осмотр каждого унитаза сверх одного</t>
  </si>
  <si>
    <t>СН-2012.1 Выпуск № 5 (в текущих ценах по состоянию на 01.10.2025 г.). 1.16-2201-1-2/1</t>
  </si>
  <si>
    <t>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</si>
  <si>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/ Душевой поддон 800x800 мелкий</t>
  </si>
  <si>
    <t>СН-2012.1 Выпуск № 5 (в текущих ценах по состоянию на 01.10.2025 г.). 1.16-2201-1-3/1</t>
  </si>
  <si>
    <t>9</t>
  </si>
  <si>
    <t>1.16-3201-2-1/1</t>
  </si>
  <si>
    <t>Укрепление расшатавшихся санитарно-технических приборов - умывальники</t>
  </si>
  <si>
    <t>СН-2012.1 Выпуск № 5 (в текущих ценах по состоянию на 01.10.2025 г.). 1.16-3201-2-1/1</t>
  </si>
  <si>
    <t>10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</si>
  <si>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</si>
  <si>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</si>
  <si>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</si>
  <si>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11</t>
  </si>
  <si>
    <t>1.16-3201-1-1/1</t>
  </si>
  <si>
    <t>Регулировка смывного бачка</t>
  </si>
  <si>
    <t>100 приборов</t>
  </si>
  <si>
    <t>СН-2012.1 Выпуск № 5 (в текущих ценах по состоянию на 01.10.2025 г.). 1.16-3201-1-1/1</t>
  </si>
  <si>
    <t>12</t>
  </si>
  <si>
    <t>13</t>
  </si>
  <si>
    <t>1.21-2303-24-1/1</t>
  </si>
  <si>
    <t>Техническое обслуживание электроводонагревателей объемом до 80 литров</t>
  </si>
  <si>
    <t>СН-2012.1 Выпуск № 5 (в текущих ценах по состоянию на 01.10.2025 г.). 1.21-2303-24-1/1</t>
  </si>
  <si>
    <t>14</t>
  </si>
  <si>
    <t>Техническое обслуживание регулирующего клапана / Набор для водонагервателя: клапан латунь с курком, сливная трубка 1/2 ВН-НР, 10бар  ITAP</t>
  </si>
  <si>
    <t>Система обратного осмоса Waterstry NW-RO50-A1 5 ступеней (50GPD, насос, бак 11,6л, кран D-13) (NW-RO50-A1) NW-RO50-A1 Waterstry</t>
  </si>
  <si>
    <t>15</t>
  </si>
  <si>
    <t>1.17-2103-14-10/1</t>
  </si>
  <si>
    <t>Техническое обслуживание мембранного расширительного бака объемом 18 л</t>
  </si>
  <si>
    <t>СН-2012.1 Выпуск № 5 (в текущих ценах по состоянию на 01.10.2025 г.). 1.17-2103-14-10/1</t>
  </si>
  <si>
    <t>16</t>
  </si>
  <si>
    <t>Техническое обслуживание регулирующего клапана / водоразборный кран установки обратного осмоса</t>
  </si>
  <si>
    <t>1.15-2303-3-1/1</t>
  </si>
  <si>
    <t>Техническое обслуживание системы очистки воды (фильтра очистки воды бытового назначения) с заменой одного картриджа</t>
  </si>
  <si>
    <t>СН-2012.1 Выпуск № 5 (в текущих ценах по состоянию на 01.10.2025 г.). 1.15-2303-3-1/1</t>
  </si>
  <si>
    <t>Цена поставщика</t>
  </si>
  <si>
    <t>Картридж (фильтр)</t>
  </si>
  <si>
    <t>ШТ</t>
  </si>
  <si>
    <t>1.15-2303-3-2/1</t>
  </si>
  <si>
    <t>Техническое обслуживание системы очистки воды (фильтра очистки воды бытового назначения) добавлять на замену каждого последующего картриджа сверх одного</t>
  </si>
  <si>
    <t>СН-2012.1 Выпуск № 5 (в текущих ценах по состоянию на 01.10.2025 г.). 1.15-2303-3-2/1</t>
  </si>
  <si>
    <t>2. Внутренние сети отопления</t>
  </si>
  <si>
    <t>2.1 Отопление</t>
  </si>
  <si>
    <t>17</t>
  </si>
  <si>
    <t>1.17-2103-8-1/1</t>
  </si>
  <si>
    <t>Техническое обслуживание инфракрасных потолочных панелей</t>
  </si>
  <si>
    <t>СН-2012.1 Выпуск № 5 (в текущих ценах по состоянию на 01.10.2025 г.). 1.17-2103-8-1/1</t>
  </si>
  <si>
    <t>18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</si>
  <si>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</si>
  <si>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 / Электрический конвектор напольный  220В ЭВУБ-1,5 ЗАО «Делсот» 1,5 кВт, 2,0 кВт</t>
  </si>
  <si>
    <t>СН-2012.1 Выпуск № 5 (в текущих ценах по состоянию на 01.10.2025 г.). 1.21-2303-50-1/1</t>
  </si>
  <si>
    <t>19</t>
  </si>
  <si>
    <t>1.17-2103-13-15/1</t>
  </si>
  <si>
    <t>Техническое обслуживание стальных панельных радиаторов типа 10 высотой 500 мм длиной до 1500 мм / Стальной трубчатый радиатор, тип PC-1-500, высота H = 540 мм, ширина В = 40 мм, радиатор 1-рядный:</t>
  </si>
  <si>
    <t>СН-2012.1 Выпуск № 5 (в текущих ценах по состоянию на 01.10.2025 г.). 1.17-2103-13-15/1</t>
  </si>
  <si>
    <t>20</t>
  </si>
  <si>
    <t>1.17-2103-13-19/1</t>
  </si>
  <si>
    <t>Техническое обслуживание стальных панельных радиаторов типа 20 высотой 500 мм длиной до 1500 мм / Стальной трубчатый радиатор, тип PC-2-500, высота H = 540 мм, ширина В = 100 мм, радиатор 2-рядный</t>
  </si>
  <si>
    <t>СН-2012.1 Выпуск № 5 (в текущих ценах по состоянию на 01.10.2025 г.). 1.17-2103-13-19/1</t>
  </si>
  <si>
    <t>21</t>
  </si>
  <si>
    <t>1.17-2103-13-27/1</t>
  </si>
  <si>
    <t>Техническое обслуживание стальных панельных радиаторов типа 33 высотой 500 мм длиной до 1500 мм / Стальной трубчатый радиатор, тип PC-3-500, высота H = 540 мм, ширина В = 160 мм, радиатор 3-рядный</t>
  </si>
  <si>
    <t>СН-2012.1 Выпуск № 5 (в текущих ценах по состоянию на 01.10.2025 г.). 1.17-2103-13-27/1</t>
  </si>
  <si>
    <t>22</t>
  </si>
  <si>
    <t>23</t>
  </si>
  <si>
    <t>24</t>
  </si>
  <si>
    <t>25</t>
  </si>
  <si>
    <t>1.17-2103-17-1/1</t>
  </si>
  <si>
    <t>Техническое обслуживание автоматического воздухоотводчика</t>
  </si>
  <si>
    <t>СН-2012.1 Выпуск № 5 (в текущих ценах по состоянию на 01.10.2025 г.). 1.17-2103-17-1/1</t>
  </si>
  <si>
    <t>1.15-2201-1-1/1</t>
  </si>
  <si>
    <t>Осмотр крана спускного / Кран дренажный для коллектора 1/2" VT.430.N.04 «Valtec»</t>
  </si>
  <si>
    <t>СН-2012.1 Выпуск № 5 (в текущих ценах по состоянию на 01.10.2025 г.). 1.15-2201-1-1/1</t>
  </si>
  <si>
    <t>1.23-2103-7-1/1</t>
  </si>
  <si>
    <t>Техническое обслуживание приборов для измерения и регулирования давления и разряжения, манометры, тип: ЭКМ-1, ЭКМ-2 показывающие электроконтактные и аналоги</t>
  </si>
  <si>
    <t>СН-2012.1 Выпуск № 5 (в текущих ценах по состоянию на 01.10.2025 г.). 1.23-2103-7-1/1</t>
  </si>
  <si>
    <t>Поверка манометров</t>
  </si>
  <si>
    <t>26</t>
  </si>
  <si>
    <t>Техническое обслуживание крана шарового латунного никелированного диаметром до 25 мм / Кран с накидной гайкой 1/2"х3/4" VT.241 «Valtec»</t>
  </si>
  <si>
    <t>27</t>
  </si>
  <si>
    <t>3.1-2203-61-1/1</t>
  </si>
  <si>
    <t>Техническое обслуживание шкафа навесного 700х1200, 300х400 / Шкаф коллекторный пристраиваемый</t>
  </si>
  <si>
    <t>СН-2012.3 Выпуск № 5 (в текущих ценах по состоянию на 01.10.2025 г.). 3.1-2203-61-1/1</t>
  </si>
  <si>
    <t>)*1</t>
  </si>
  <si>
    <t>)*0,70</t>
  </si>
  <si>
    <t>Поправка: СН-2012. Гл.1 Сб.22 п.3.6.2</t>
  </si>
  <si>
    <t>3.1-2201-58-1/1</t>
  </si>
  <si>
    <t>Технический осмотр шкафа навесного 700х1200, 300х400 / Шкаф коллекторный пристраиваемый</t>
  </si>
  <si>
    <t>СН-2012.3 Выпуск № 5 (в текущих ценах по состоянию на 01.10.2025 г.). 3.1-2201-58-1/1</t>
  </si>
  <si>
    <t>)*3)*1</t>
  </si>
  <si>
    <t>)*3)*0,75</t>
  </si>
  <si>
    <t>Поправка: СН-2012. Гл.1 Сб.22 п.3.6.1</t>
  </si>
  <si>
    <t>28</t>
  </si>
  <si>
    <t>1.23-2103-27-1/1</t>
  </si>
  <si>
    <t>Техническое обслуживание преобразователя давления МТ100 и аналогов  / Автоматический регулятор перепада давления Ду 15 50-300 мбар в к-те с запорно-регулирующим клапаном</t>
  </si>
  <si>
    <t>СН-2012.1 Выпуск № 5 (в текущих ценах по состоянию на 01.10.2025 г.). 1.23-2103-27-1/1</t>
  </si>
  <si>
    <t>29</t>
  </si>
  <si>
    <t>Техническое обслуживание регулирующего клапана / Клапан балансировочный ручной регулировки Ду 15 VT.054.N.04 «Valtec»</t>
  </si>
  <si>
    <t>30</t>
  </si>
  <si>
    <t>1.15-2303-4-1/1</t>
  </si>
  <si>
    <t>Прочистка сетчатых фильтров грубой очистки воды диаметром до 25 мм</t>
  </si>
  <si>
    <t>СН-2012.1 Выпуск № 5 (в текущих ценах по состоянию на 01.10.2025 г.). 1.15-2303-4-1/1</t>
  </si>
  <si>
    <t>31</t>
  </si>
  <si>
    <t>1.15-2303-4-2/1</t>
  </si>
  <si>
    <t>Прочистка сетчатых фильтров грубой очистки воды диаметром до 50 мм</t>
  </si>
  <si>
    <t>СН-2012.1 Выпуск № 5 (в текущих ценах по состоянию на 01.10.2025 г.). 1.15-2303-4-2/1</t>
  </si>
  <si>
    <t>32</t>
  </si>
  <si>
    <t>Техническое обслуживание крана шарового латунного никелированного диаметром до 25 мм / Кран шаровой с полусгоном</t>
  </si>
  <si>
    <t>33</t>
  </si>
  <si>
    <t>34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</si>
  <si>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</si>
  <si>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</si>
  <si>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</si>
  <si>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1.17-3205-2-2/1</t>
  </si>
  <si>
    <t>Гидравлическое испытание трубопроводов систем отопления диаметром до 100 мм</t>
  </si>
  <si>
    <t>СН-2012.1 Выпуск № 5 (в текущих ценах по состоянию на 01.10.2025 г.). 1.17-3205-2-2/1</t>
  </si>
  <si>
    <t>1.17-2103-11-2/1</t>
  </si>
  <si>
    <t>Гидропневматическая промывка трубопроводов диаметром до 100 мм</t>
  </si>
  <si>
    <t>СН-2012.1 Выпуск № 5 (в текущих ценах по состоянию на 01.10.2025 г.). 1.17-2103-11-2/1</t>
  </si>
  <si>
    <t>1.17-2103-11-1/1</t>
  </si>
  <si>
    <t>СН-2012.1 Выпуск № 5 (в текущих ценах по состоянию на 01.10.2025 г.). 1.17-2103-11-1/1</t>
  </si>
  <si>
    <t>2.2 Автоматизированный узел управления системой отопления и вентиляции воздуха</t>
  </si>
  <si>
    <t>Индивидуальный тепловой пункт системы отопления</t>
  </si>
  <si>
    <t>35</t>
  </si>
  <si>
    <t>Техническое обслуживание регулирующего клапана / Клапан запорно-регулирующий VB2 Ду40, kv25 с электроприводом привод AMV 20 Danfoss  ООО «Термаль 31»</t>
  </si>
  <si>
    <t>36</t>
  </si>
  <si>
    <t>1.23-2303-4-4/1</t>
  </si>
  <si>
    <t>Техническое обслуживание средств автоматизации, механизмы электрические однооборотные МЭО, ИМ</t>
  </si>
  <si>
    <t>СН-2012.1 Выпуск № 5 (в текущих ценах по состоянию на 01.10.2025 г.). 1.23-2303-4-4/1</t>
  </si>
  <si>
    <t>37</t>
  </si>
  <si>
    <t>1.24-2503-4-18/1</t>
  </si>
  <si>
    <t>Техническое обслуживание циркуляционных насосов систем отопления с тепловыми насосами - ежемесячное</t>
  </si>
  <si>
    <t>СН-2012.1 Выпуск № 5 (в текущих ценах по состоянию на 01.10.2025 г.). 1.24-2503-4-18/1</t>
  </si>
  <si>
    <t>38</t>
  </si>
  <si>
    <t>1.23-2103-21-1/1</t>
  </si>
  <si>
    <t>Техническое обслуживание преобразователей давления, перепада давления, тензорезисторных, дифференциальных (Сапфир)</t>
  </si>
  <si>
    <t>СН-2012.1 Выпуск № 5 (в текущих ценах по состоянию на 01.10.2025 г.). 1.23-2103-21-1/1</t>
  </si>
  <si>
    <t>39</t>
  </si>
  <si>
    <t>1.23-2303-7-2/1</t>
  </si>
  <si>
    <t>Техническое обслуживание реле давления, напора, тяги</t>
  </si>
  <si>
    <t>СН-2012.1 Выпуск № 5 (в текущих ценах по состоянию на 01.10.2025 г.). 1.23-2303-7-2/1</t>
  </si>
  <si>
    <t>40</t>
  </si>
  <si>
    <t>1.23-2303-12-2/1</t>
  </si>
  <si>
    <t>Техническое обслуживание контроллеров регулирования</t>
  </si>
  <si>
    <t>СН-2012.1 Выпуск № 5 (в текущих ценах по состоянию на 01.10.2025 г.). 1.23-2303-12-2/1</t>
  </si>
  <si>
    <t>41</t>
  </si>
  <si>
    <t>1.23-2103-9-7/1</t>
  </si>
  <si>
    <t>Техническое обслуживание приборов для измерения температуры, регулятор температуры дилатометрический, тип ТУДЭ / Комнатный датчик температуры, задатчик NTC20 T7460B Honeywell, Датчик температуры комнатный</t>
  </si>
  <si>
    <t>СН-2012.1 Выпуск № 5 (в текущих ценах по состоянию на 01.10.2025 г.). 1.23-2103-9-7/1</t>
  </si>
  <si>
    <t>42</t>
  </si>
  <si>
    <t>1.15-2203-8-2/1</t>
  </si>
  <si>
    <t>Техническое обслуживание затворов дисковых поворотных межфланцевых с ручным управлением диаметром 100-150 мм / Затвор поворотный Ду65 Ру16 ADL  ООО «Термаль 31»</t>
  </si>
  <si>
    <t>СН-2012.1 Выпуск № 5 (в текущих ценах по состоянию на 01.10.2025 г.). 1.15-2203-8-2/1</t>
  </si>
  <si>
    <t>43</t>
  </si>
  <si>
    <t>1.15-2203-7-3/1</t>
  </si>
  <si>
    <t>Техническое обслуживание крана шарового латунного никелированного диаметром до 100 мм</t>
  </si>
  <si>
    <t>СН-2012.1 Выпуск № 5 (в текущих ценах по состоянию на 01.10.2025 г.). 1.15-2203-7-3/1</t>
  </si>
  <si>
    <t>44</t>
  </si>
  <si>
    <t>Техническое обслуживание регулирующего клапана / Клапан предохранительный Ду25 Ру16 OR  ООО «Термаль 31»</t>
  </si>
  <si>
    <t>45</t>
  </si>
  <si>
    <t>1.15-2303-5-2/1</t>
  </si>
  <si>
    <t>Техническое обслуживание фильтров водяных фланцевых сетчатых диаметром до 80 мм</t>
  </si>
  <si>
    <t>СН-2012.1 Выпуск № 5 (в текущих ценах по состоянию на 01.10.2025 г.). 1.15-2303-5-2/1</t>
  </si>
  <si>
    <t>45,1</t>
  </si>
  <si>
    <t>21.26-1-111</t>
  </si>
  <si>
    <t>Прокладки из терморасширенного графита для обслуживания фильтра сетчатого чугунного фланцевого диаметром 80 мм</t>
  </si>
  <si>
    <t>СН-2012.21 Выпуск № 5 (в текущих ценах по состоянию на 01.10.2025 г.). 21.26-1-111</t>
  </si>
  <si>
    <t>46</t>
  </si>
  <si>
    <t>1.15-2203-9-2/1</t>
  </si>
  <si>
    <t>Техническое обслуживание клапанов обратных фланцевых диаметром 100-150 мм /Клапан обратный межфланцевый Ду65 Ру16 Гранлок  ООО «Термаль 31»</t>
  </si>
  <si>
    <t>СН-2012.1 Выпуск № 5 (в текущих ценах по состоянию на 01.10.2025 г.). 1.15-2203-9-2/1</t>
  </si>
  <si>
    <t>47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</si>
  <si>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</si>
  <si>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</t>
  </si>
  <si>
    <t>СН-2012.1 Выпуск № 5 (в текущих ценах по состоянию на 01.10.2025 г.). 1.23-2303-5-1/1</t>
  </si>
  <si>
    <t>48</t>
  </si>
  <si>
    <t>1.23-2103-18-1/1</t>
  </si>
  <si>
    <t>Техническое обслуживание термометра биметаллического, дилатометрического</t>
  </si>
  <si>
    <t>СН-2012.1 Выпуск № 5 (в текущих ценах по состоянию на 01.10.2025 г.). 1.23-2103-18-1/1</t>
  </si>
  <si>
    <t>1.17-2103-16-1/1</t>
  </si>
  <si>
    <t>Техническое обслуживание крана трехходового шарового под манометр</t>
  </si>
  <si>
    <t>СН-2012.1 Выпуск № 5 (в текущих ценах по состоянию на 01.10.2025 г.). 1.17-2103-16-1/1</t>
  </si>
  <si>
    <t>49</t>
  </si>
  <si>
    <t>50</t>
  </si>
  <si>
    <t>Распределительный коллектор системы отопления</t>
  </si>
  <si>
    <t>51</t>
  </si>
  <si>
    <t>52</t>
  </si>
  <si>
    <t>Техническое обслуживание регулирующего клапана / Автоматический балансировочный клапан , Ручной балансировочный клапан MNF</t>
  </si>
  <si>
    <t>53</t>
  </si>
  <si>
    <t>54</t>
  </si>
  <si>
    <t>Узел учета тепловой энергии</t>
  </si>
  <si>
    <t>55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</si>
  <si>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приборный Термик-ШПК</t>
  </si>
  <si>
    <t>56</t>
  </si>
  <si>
    <t>1.23-2103-8-1/1</t>
  </si>
  <si>
    <t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ЭРСВ-440Д В Ду 100 мм</t>
  </si>
  <si>
    <t>СН-2012.1 Выпуск № 5 (в текущих ценах по состоянию на 01.10.2025 г.). 1.23-2103-8-1/1</t>
  </si>
  <si>
    <t>57</t>
  </si>
  <si>
    <t>58</t>
  </si>
  <si>
    <t>1.23-2303-6-1/1</t>
  </si>
  <si>
    <t>Техническое обслуживание термопреобразователя сопротивления с унифицированным выходным сигналом</t>
  </si>
  <si>
    <t>СН-2012.1 Выпуск № 5 (в текущих ценах по состоянию на 01.10.2025 г.). 1.23-2303-6-1/1</t>
  </si>
  <si>
    <t>59</t>
  </si>
  <si>
    <t>Техническое обслуживание преобразователя давления МТ100 и аналогов</t>
  </si>
  <si>
    <t>60</t>
  </si>
  <si>
    <t>61</t>
  </si>
  <si>
    <t>1.15-2303-5-4/1</t>
  </si>
  <si>
    <t>Техническое обслуживание фильтров водяных фланцевых сетчатых диаметром до 200 мм</t>
  </si>
  <si>
    <t>СН-2012.1 Выпуск № 5 (в текущих ценах по состоянию на 01.10.2025 г.). 1.15-2303-5-4/1</t>
  </si>
  <si>
    <t>61,1</t>
  </si>
  <si>
    <t>21.26-1-115</t>
  </si>
  <si>
    <t>Прокладки из терморасширенного графита для обслуживания фильтра сетчатого чугунного фланцевого диаметром 200 мм</t>
  </si>
  <si>
    <t>СН-2012.21 Выпуск № 5 (в текущих ценах по состоянию на 01.10.2025 г.). 21.26-1-115</t>
  </si>
  <si>
    <t>62</t>
  </si>
  <si>
    <t>63</t>
  </si>
  <si>
    <t>64</t>
  </si>
  <si>
    <t>Ввод теплосети, распределительный коллектор системы вентиляции</t>
  </si>
  <si>
    <t>65</t>
  </si>
  <si>
    <t>66</t>
  </si>
  <si>
    <t>67</t>
  </si>
  <si>
    <t>1.15-2101-1-2/1</t>
  </si>
  <si>
    <t>Осмотр магистральных неизолированных внутренних трубопроводов диаметром до 300 мм</t>
  </si>
  <si>
    <t>СН-2012.1 Выпуск № 5 (в текущих ценах по состоянию на 01.10.2025 г.). 1.15-2101-1-2/1</t>
  </si>
  <si>
    <t>1.15-2101-2-2/1</t>
  </si>
  <si>
    <t>Осмотр магистральных неизолированных внутренних трубопроводов диаметром до 300 мм с лестниц</t>
  </si>
  <si>
    <t>СН-2012.1 Выпуск № 5 (в текущих ценах по состоянию на 01.10.2025 г.). 1.15-2101-2-2/1</t>
  </si>
  <si>
    <t>1.17-3205-2-3/1</t>
  </si>
  <si>
    <t>Гидравлическое испытание трубопроводов систем отопления диаметром до 200 мм</t>
  </si>
  <si>
    <t>СН-2012.1 Выпуск № 5 (в текущих ценах по состоянию на 01.10.2025 г.). 1.17-3205-2-3/1</t>
  </si>
  <si>
    <t>Гидропневматическая промывка трубопроводов диаметром до 50 мм</t>
  </si>
  <si>
    <t>3. Вентиляция и кондиционирование</t>
  </si>
  <si>
    <t>Вентиляция</t>
  </si>
  <si>
    <t>1.18-2403-5-1/1</t>
  </si>
  <si>
    <t>Техническое обслуживание и ремонт в течение года приточных установок с автоматикой, производительностью по воздуху до 5000 м3/ч</t>
  </si>
  <si>
    <t>установка</t>
  </si>
  <si>
    <t>СН-2012.1 Выпуск № 5 (в текущих ценах по состоянию на 01.10.2025 г.). 1.18-2403-5-1/1</t>
  </si>
  <si>
    <t>)/12*8</t>
  </si>
  <si>
    <t>1.18-2403-21-7/1</t>
  </si>
  <si>
    <t>Техническое обслуживание приточных установок производительностью до 5000 м3/ч - годовое</t>
  </si>
  <si>
    <t>СН-2012.1 Выпуск № 5 (в текущих ценах по состоянию на 01.10.2025 г.). 1.18-2403-21-7/1</t>
  </si>
  <si>
    <t>68</t>
  </si>
  <si>
    <t>1.18-2403-21-4/1</t>
  </si>
  <si>
    <t>Техническое обслуживание приточных установок производительностью до 5000 м3/ч - ежеквартальное</t>
  </si>
  <si>
    <t>СН-2012.1 Выпуск № 5 (в текущих ценах по состоянию на 01.10.2025 г.). 1.18-2403-21-4/1</t>
  </si>
  <si>
    <t>1.18-2403-21-1/1</t>
  </si>
  <si>
    <t>Техническое обслуживание приточных установок производительностью до 5000 м3/ч - ежемесячное</t>
  </si>
  <si>
    <t>СН-2012.1 Выпуск № 5 (в текущих ценах по состоянию на 01.10.2025 г.). 1.18-2403-21-1/1</t>
  </si>
  <si>
    <t>1.18-2403-5-2/1</t>
  </si>
  <si>
    <t>Техническое обслуживание и ремонт в течение года приточных установок с автоматикой, производительностью по воздуху до 10000 м3/ч</t>
  </si>
  <si>
    <t>СН-2012.1 Выпуск № 5 (в текущих ценах по состоянию на 01.10.2025 г.). 1.18-2403-5-2/1</t>
  </si>
  <si>
    <t>1.18-2403-21-8/1</t>
  </si>
  <si>
    <t>Техническое обслуживание приточных установок производительностью до 10000 м3/ч - годовое</t>
  </si>
  <si>
    <t>СН-2012.1 Выпуск № 5 (в текущих ценах по состоянию на 01.10.2025 г.). 1.18-2403-21-8/1</t>
  </si>
  <si>
    <t>69</t>
  </si>
  <si>
    <t>1.18-2403-21-5/1</t>
  </si>
  <si>
    <t>Техническое обслуживание приточных установок производительностью до 10000 м3/ч - ежеквартальное</t>
  </si>
  <si>
    <t>СН-2012.1 Выпуск № 5 (в текущих ценах по состоянию на 01.10.2025 г.). 1.18-2403-21-5/1</t>
  </si>
  <si>
    <t>1.18-2403-21-2/1</t>
  </si>
  <si>
    <t>Техническое обслуживание приточных установок производительностью до 10000 м3/ч - ежемесячное</t>
  </si>
  <si>
    <t>СН-2012.1 Выпуск № 5 (в текущих ценах по состоянию на 01.10.2025 г.). 1.18-2403-21-2/1</t>
  </si>
  <si>
    <t>1.18-2403-5-4/1</t>
  </si>
  <si>
    <t>Техническое обслуживание и ремонт в течение года приточных установок с автоматикой, производительностью по воздуху до 40000 м3/ч</t>
  </si>
  <si>
    <t>СН-2012.1 Выпуск № 5 (в текущих ценах по состоянию на 01.10.2025 г.). 1.18-2403-5-4/1</t>
  </si>
  <si>
    <t>1.18-2403-21-18/1</t>
  </si>
  <si>
    <t>Техническое обслуживание приточных установок производительностью до 40000 м3/ч - годовое</t>
  </si>
  <si>
    <t>СН-2012.1 Выпуск № 5 (в текущих ценах по состоянию на 01.10.2025 г.). 1.18-2403-21-18/1</t>
  </si>
  <si>
    <t>70</t>
  </si>
  <si>
    <t>1.18-2403-21-15/1</t>
  </si>
  <si>
    <t>Техническое обслуживание приточных установок производительностью до 40000 м3/ч - ежеквартальное</t>
  </si>
  <si>
    <t>СН-2012.1 Выпуск № 5 (в текущих ценах по состоянию на 01.10.2025 г.). 1.18-2403-21-15/1</t>
  </si>
  <si>
    <t>1.18-2403-21-12/1</t>
  </si>
  <si>
    <t>Техническое обслуживание приточных установок производительностью до 40000 м3/ч - ежемесячное</t>
  </si>
  <si>
    <t>СН-2012.1 Выпуск № 5 (в текущих ценах по состоянию на 01.10.2025 г.). 1.18-2403-21-12/1</t>
  </si>
  <si>
    <t>1.18-2303-2-2/1</t>
  </si>
  <si>
    <t>Промывка воздухонагревателей (калориферов) для установок производительностью до 10000 м3/ч</t>
  </si>
  <si>
    <t>СН-2012.1 Выпуск № 5 (в текущих ценах по состоянию на 01.10.2025 г.). 1.18-2303-2-2/1</t>
  </si>
  <si>
    <t>1.18-2303-2-4/1</t>
  </si>
  <si>
    <t>Промывка воздухонагревателей (калориферов) для установок производительностью до 40000 м3/ч</t>
  </si>
  <si>
    <t>СН-2012.1 Выпуск № 5 (в текущих ценах по состоянию на 01.10.2025 г.). 1.18-2303-2-4/1</t>
  </si>
  <si>
    <t>Промывка воздухонагревателей (калориферов) для установок производительностью до 10000 м3/ч /Водяной охладитель</t>
  </si>
  <si>
    <t>1.18-2403-11-4/1</t>
  </si>
  <si>
    <t>Техническое обслуживание в течение года холодильных установок мощностью до 23 кВт</t>
  </si>
  <si>
    <t>СН-2012.1 Выпуск № 5 (в текущих ценах по состоянию на 01.10.2025 г.). 1.18-2403-11-4/1</t>
  </si>
  <si>
    <t>71</t>
  </si>
  <si>
    <t>1.24-2103-45-4/1</t>
  </si>
  <si>
    <t>Техническое обслуживание ежеквартальное холодильных установок мощностью 420 кВт / применительно до 23 кВт</t>
  </si>
  <si>
    <t>СН-2012.1 Выпуск № 5 (в текущих ценах по состоянию на 01.10.2025 г.). 1.24-2103-45-4/1</t>
  </si>
  <si>
    <t>1.24-2103-45-1/1</t>
  </si>
  <si>
    <t>Техническое обслуживание ежемесячное холодильных установок мощностью 420 кВт / применительно до 23 кВт</t>
  </si>
  <si>
    <t>СН-2012.1 Выпуск № 5 (в текущих ценах по состоянию на 01.10.2025 г.). 1.24-2103-45-1/1</t>
  </si>
  <si>
    <t>1.18-2403-11-6/1</t>
  </si>
  <si>
    <t>Техническое обслуживание в течение года холодильных установок мощностью до 175 кВт</t>
  </si>
  <si>
    <t>СН-2012.1 Выпуск № 5 (в текущих ценах по состоянию на 01.10.2025 г.). 1.18-2403-11-6/1</t>
  </si>
  <si>
    <t>72</t>
  </si>
  <si>
    <t>Техническое обслуживание ежеквартальное холодильных установок мощностью 420 кВт / применительно до 175 кВт</t>
  </si>
  <si>
    <t>Техническое обслуживание ежемесячное холодильных установок мощностью 420 кВт / применительно до 175 кВт</t>
  </si>
  <si>
    <t>1.18-2403-8-4/1</t>
  </si>
  <si>
    <t>Техническое обслуживание и ремонт в течение года вытяжных установок производительностью по воздуху до 20000 м3/ч</t>
  </si>
  <si>
    <t>СН-2012.1 Выпуск № 5 (в текущих ценах по состоянию на 01.10.2025 г.). 1.18-2403-8-4/1</t>
  </si>
  <si>
    <t>1.18-2403-20-6/1</t>
  </si>
  <si>
    <t>Техническое обслуживание вытяжных установок производительностью до 20000 м3/ч - годовое</t>
  </si>
  <si>
    <t>СН-2012.1 Выпуск № 5 (в текущих ценах по состоянию на 01.10.2025 г.). 1.18-2403-20-6/1</t>
  </si>
  <si>
    <t>73</t>
  </si>
  <si>
    <t>1.18-2403-20-4/1</t>
  </si>
  <si>
    <t>Техническое обслуживание вытяжных установок производительностью до 20000 м3/ч - ежеквартальное</t>
  </si>
  <si>
    <t>СН-2012.1 Выпуск № 5 (в текущих ценах по состоянию на 01.10.2025 г.). 1.18-2403-20-4/1</t>
  </si>
  <si>
    <t>1.18-2403-20-2/1</t>
  </si>
  <si>
    <t>Техническое обслуживание вытяжных установок производительностью до 20000 м3/ч - ежемесячное</t>
  </si>
  <si>
    <t>СН-2012.1 Выпуск № 5 (в текущих ценах по состоянию на 01.10.2025 г.). 1.18-2403-20-2/1</t>
  </si>
  <si>
    <t>1.18-2403-8-2/1</t>
  </si>
  <si>
    <t>Техническое обслуживание и ремонт в течение года вытяжных установок производительностью по воздуху до 5000 м3/ч</t>
  </si>
  <si>
    <t>СН-2012.1 Выпуск № 5 (в текущих ценах по состоянию на 01.10.2025 г.). 1.18-2403-8-2/1</t>
  </si>
  <si>
    <t>1.18-2403-20-5/1</t>
  </si>
  <si>
    <t>Техническое обслуживание вытяжных установок производительностью до 5000 м3/ч - годовое</t>
  </si>
  <si>
    <t>СН-2012.1 Выпуск № 5 (в текущих ценах по состоянию на 01.10.2025 г.). 1.18-2403-20-5/1</t>
  </si>
  <si>
    <t>74</t>
  </si>
  <si>
    <t>1.18-2403-20-3/1</t>
  </si>
  <si>
    <t>Техническое обслуживание вытяжных установок производительностью до 5000 м3/ч - ежеквартальное</t>
  </si>
  <si>
    <t>СН-2012.1 Выпуск № 5 (в текущих ценах по состоянию на 01.10.2025 г.). 1.18-2403-20-3/1</t>
  </si>
  <si>
    <t>1.18-2403-20-1/1</t>
  </si>
  <si>
    <t>Техническое обслуживание вытяжных установок производительностью до 5000 м3/ч - ежемесячное</t>
  </si>
  <si>
    <t>СН-2012.1 Выпуск № 5 (в текущих ценах по состоянию на 01.10.2025 г.). 1.18-2403-20-1/1</t>
  </si>
  <si>
    <t>1.18-2403-8-5/1</t>
  </si>
  <si>
    <t>Техническое обслуживание и ремонт в течение года вытяжных установок производительностью по воздуху до 40000 м3/ч</t>
  </si>
  <si>
    <t>СН-2012.1 Выпуск № 5 (в текущих ценах по состоянию на 01.10.2025 г.). 1.18-2403-8-5/1</t>
  </si>
  <si>
    <t>)/12*4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</si>
  <si>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</si>
  <si>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</si>
  <si>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</si>
  <si>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</si>
  <si>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</si>
  <si>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</si>
  <si>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</si>
  <si>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1.18-2501-4-1/1</t>
  </si>
  <si>
    <t>Технический осмотр воздухораспределительных устройств с передвижных подмостей - сопла сферического, диффузора (Решетка вентиляционная - 4АПН,  АМН)</t>
  </si>
  <si>
    <t>СН-2012.1 Выпуск № 5 (в текущих ценах по состоянию на 01.10.2025 г.). 1.18-2501-4-1/1</t>
  </si>
  <si>
    <t>Технический осмотр воздухораспределительных устройств с передвижных подмостей - сопла сферического, диффузора</t>
  </si>
  <si>
    <t>Теплоснабжение, тепловые завесы</t>
  </si>
  <si>
    <t>75</t>
  </si>
  <si>
    <t>1.18-2303-5-4/1</t>
  </si>
  <si>
    <t>Техническое обслуживание горизонтальных тепловых завес с водяным теплообменником производительностью по воздуху до 5000 м3/ч</t>
  </si>
  <si>
    <t>СН-2012.1 Выпуск № 5 (в текущих ценах по состоянию на 01.10.2025 г.). 1.18-2303-5-4/1</t>
  </si>
  <si>
    <t>1.18-2403-7-1/1</t>
  </si>
  <si>
    <t>Техническое обслуживание в течение года узла регулирования температуры воды (воздуха)</t>
  </si>
  <si>
    <t>узел</t>
  </si>
  <si>
    <t>СН-2012.1 Выпуск № 5 (в текущих ценах по состоянию на 01.10.2025 г.). 1.18-2403-7-1/1</t>
  </si>
  <si>
    <t>Трубопроводы</t>
  </si>
  <si>
    <t>76</t>
  </si>
  <si>
    <t>Техническое обслуживание регулирующего клапана  /Ручной балансировочный клапан Leno MVT</t>
  </si>
  <si>
    <t>77</t>
  </si>
  <si>
    <t>78</t>
  </si>
  <si>
    <t>Кондиционирование</t>
  </si>
  <si>
    <t>Техническое обслуживание в течение года холодильных установок мощностью до 175 кВт /Чиллер HBA 064-00 для фанкойлов  Корф Холодопроизводительность 70 кВт</t>
  </si>
  <si>
    <t>79</t>
  </si>
  <si>
    <t>Техническое обслуживание ежеквартальное холодильных установок мощностью 420 кВт / применительно Чиллер HBA 064-00 для фанкойлов  Корф Холодопроизводительность 70 кВт</t>
  </si>
  <si>
    <t>Техническое обслуживание ежемесячное холодильных установок мощностью 420 кВт / применительно Чиллер HBA 064-00 для фанкойлов  Корф Холодопроизводительность 70 кВт</t>
  </si>
  <si>
    <t>80</t>
  </si>
  <si>
    <t>1.18-2403-17-3/1</t>
  </si>
  <si>
    <t>Техническое обслуживание внутренних кассетных блоков сплит систем мощностью до 5 кВт - полугодовое</t>
  </si>
  <si>
    <t>1 блок</t>
  </si>
  <si>
    <t>СН-2012.1 Выпуск № 5 (в текущих ценах по состоянию на 01.10.2025 г.). 1.18-2403-17-3/1</t>
  </si>
  <si>
    <t>1.18-2403-17-1/1</t>
  </si>
  <si>
    <t>Техническое обслуживание внутренних кассетных блоков сплит систем мощностью до 5 кВт - ежемесячное</t>
  </si>
  <si>
    <t>СН-2012.1 Выпуск № 5 (в текущих ценах по состоянию на 01.10.2025 г.). 1.18-2403-17-1/1</t>
  </si>
  <si>
    <t>)*3</t>
  </si>
  <si>
    <t>81</t>
  </si>
  <si>
    <t>Техническое обслуживание регулирующего клапана</t>
  </si>
  <si>
    <t>1.18-2403-11-7/1</t>
  </si>
  <si>
    <t>Техническое обслуживание в течение года холодильных установок мощностью до 300 кВт  /Чиллер LBA 980-2B-PR-RA  Корф Холодопроизводительность 858 кВт</t>
  </si>
  <si>
    <t>СН-2012.1 Выпуск № 5 (в текущих ценах по состоянию на 01.10.2025 г.). 1.18-2403-11-7/1</t>
  </si>
  <si>
    <t>82</t>
  </si>
  <si>
    <t>1.24-2103-45-6/1</t>
  </si>
  <si>
    <t>Техническое обслуживание ежеквартальное холодильных установок мощностью до 700 кВт / Чиллер LBA 980-2B-PR-RA  Корф Холодопроизводительность 858 кВт</t>
  </si>
  <si>
    <t>СН-2012.1 Выпуск № 5 (в текущих ценах по состоянию на 01.10.2025 г.). 1.24-2103-45-6/1</t>
  </si>
  <si>
    <t>1.24-2103-45-3/1</t>
  </si>
  <si>
    <t>Техническое обслуживание ежемесячное холодильных установок мощностью до 700 кВт  / Чиллер LBA 980-2B-PR-RA  Корф Холодопроизводительность 858 кВт</t>
  </si>
  <si>
    <t>СН-2012.1 Выпуск № 5 (в текущих ценах по состоянию на 01.10.2025 г.). 1.24-2103-45-3/1</t>
  </si>
  <si>
    <t>1.24-3105-1-2/1</t>
  </si>
  <si>
    <t>Химическая безразборная промывка пластинчатых теплообменников М15</t>
  </si>
  <si>
    <t>СН-2012.1 Выпуск № 5 (в текущих ценах по состоянию на 01.10.2025 г.). 1.24-3105-1-2/1</t>
  </si>
  <si>
    <t>1.18-2403-12-1/1</t>
  </si>
  <si>
    <t>Техническое обслуживание в течение года разного оборудования систем кондиционирования воздуха, центробежных насосов производительностью по воде 20 м3/ч</t>
  </si>
  <si>
    <t>насос</t>
  </si>
  <si>
    <t>СН-2012.1 Выпуск № 5 (в текущих ценах по состоянию на 01.10.2025 г.). 1.18-2403-12-1/1</t>
  </si>
  <si>
    <t>1.18-2403-12-2/1</t>
  </si>
  <si>
    <t>Техническое обслуживание в течение года разного оборудования систем кондиционирования воздуха, центробежных насосов производительностью по воде 40 м3/ч</t>
  </si>
  <si>
    <t>СН-2012.1 Выпуск № 5 (в текущих ценах по состоянию на 01.10.2025 г.). 1.18-2403-12-2/1</t>
  </si>
  <si>
    <t>83</t>
  </si>
  <si>
    <t>1.17-2103-14-1/1</t>
  </si>
  <si>
    <t>Техническое обслуживание мембранного расширительного бака объемом 100 л</t>
  </si>
  <si>
    <t>СН-2012.1 Выпуск № 5 (в текущих ценах по состоянию на 01.10.2025 г.). 1.17-2103-14-1/1</t>
  </si>
  <si>
    <t>1.18-2403-18-1/1</t>
  </si>
  <si>
    <t>Техническое обслуживание наружных блоков сплит систем мощностью до 10 кВт - ежемесячное</t>
  </si>
  <si>
    <t>СН-2012.1 Выпуск № 5 (в текущих ценах по состоянию на 01.10.2025 г.). 1.18-2403-18-1/1</t>
  </si>
  <si>
    <t>84</t>
  </si>
  <si>
    <t>1.18-2403-18-3/1</t>
  </si>
  <si>
    <t>Техническое обслуживание наружных блоков сплит систем мощностью до 10 кВт - полугодовое</t>
  </si>
  <si>
    <t>СН-2012.1 Выпуск № 5 (в текущих ценах по состоянию на 01.10.2025 г.). 1.18-2403-18-3/1</t>
  </si>
  <si>
    <t>1.18-2403-19-2/1</t>
  </si>
  <si>
    <t>Техническое обслуживание внутренних настенных блоков сплит систем мощностью до 7 кВт - ежемесячное</t>
  </si>
  <si>
    <t>СН-2012.1 Выпуск № 5 (в текущих ценах по состоянию на 01.10.2025 г.). 1.18-2403-19-2/1</t>
  </si>
  <si>
    <t>85</t>
  </si>
  <si>
    <t>1.18-2403-19-5/1</t>
  </si>
  <si>
    <t>Техническое обслуживание внутренних настенных блоков сплит систем мощностью до 7 кВт - полугодовое</t>
  </si>
  <si>
    <t>СН-2012.1 Выпуск № 5 (в текущих ценах по состоянию на 01.10.2025 г.). 1.18-2403-19-5/1</t>
  </si>
  <si>
    <t>1.17-3205-2-4/1</t>
  </si>
  <si>
    <t>Гидравлическое испытание трубопроводов систем отопления диаметром до 400 мм</t>
  </si>
  <si>
    <t>СН-2012.1 Выпуск № 5 (в текущих ценах по состоянию на 01.10.2025 г.). 1.17-3205-2-4/1</t>
  </si>
  <si>
    <t>Дренажный трубопровод</t>
  </si>
  <si>
    <t>Осмотр трапа ТП диаметром 50 мм /Капельная воронка HL21 HL</t>
  </si>
  <si>
    <t>Клапана сброса избыточного давления</t>
  </si>
  <si>
    <t>86</t>
  </si>
  <si>
    <t>1.18-2203-3-3/1</t>
  </si>
  <si>
    <t>Техническое обслуживание клапанов воздушных регулирующих с электроприводом диаметром/периметром до 560/1600 мм  /Клапан сброса избыточного давления. Сборный КСИД-ФС-0,5</t>
  </si>
  <si>
    <t>СН-2012.1 Выпуск № 5 (в текущих ценах по состоянию на 01.10.2025 г.). 1.18-2203-3-3/1</t>
  </si>
  <si>
    <t>4. Системы электроснабжения</t>
  </si>
  <si>
    <t>Электроснабжение</t>
  </si>
  <si>
    <t>ВРУ-1</t>
  </si>
  <si>
    <t>87</t>
  </si>
  <si>
    <t>1.21-2203-8-2/1</t>
  </si>
  <si>
    <t>Техническое обслуживание ящика ввода распределительного с рубильником и предохранителями, номинальный ток 600 А (ВП1, ВП2)</t>
  </si>
  <si>
    <t>СН-2012.1 Выпуск № 5 (в текущих ценах по состоянию на 01.10.2025 г.). 1.21-2203-8-2/1</t>
  </si>
  <si>
    <t>1.21-2201-8-2/1</t>
  </si>
  <si>
    <t>Технический осмотр ящика ввода распределительного с рубильником и предохранителями, номинальный ток 600 А</t>
  </si>
  <si>
    <t>СН-2012.1 Выпуск № 5 (в текущих ценах по состоянию на 01.10.2025 г.). 1.21-2201-8-2/1</t>
  </si>
  <si>
    <t>*3</t>
  </si>
  <si>
    <t>1.21-2203-29-1/1</t>
  </si>
  <si>
    <t>Техническое обслуживание измерительных трансформаторов</t>
  </si>
  <si>
    <t>СН-2012.1 Выпуск № 5 (в текущих ценах по состоянию на 01.10.2025 г.). 1.21-2203-29-1/1</t>
  </si>
  <si>
    <t>1.21-2301-1-1/1</t>
  </si>
  <si>
    <t>Технический осмотр трансформатора понижающего /Трансформатор тока 300/5A, точность 0.5, 6VA ТТЭ30-300/5 «EKF»</t>
  </si>
  <si>
    <t>СН-2012.1 Выпуск № 5 (в текущих ценах по состоянию на 01.10.2025 г.). 1.21-2301-1-1/1</t>
  </si>
  <si>
    <t>*4</t>
  </si>
  <si>
    <t>88</t>
  </si>
  <si>
    <t>1.21-2303-40-1/1</t>
  </si>
  <si>
    <t>Техническое обслуживание измерителя мощности типа PM710MG на лицевой панели распределительного устройства - полугодовое</t>
  </si>
  <si>
    <t>СН-2012.1 Выпуск № 5 (в текущих ценах по состоянию на 01.10.2025 г.). 1.21-2303-40-1/1</t>
  </si>
  <si>
    <t>1.21-2301-25-1/1</t>
  </si>
  <si>
    <t>Осмотр измерителя мощности типа PM710MG на лицевой панели распределительного устройства - ежедневный</t>
  </si>
  <si>
    <t>СН-2012.1 Выпуск № 5 (в текущих ценах по состоянию на 01.10.2025 г.). 1.21-2301-25-1/1</t>
  </si>
  <si>
    <t>)*121</t>
  </si>
  <si>
    <t>89</t>
  </si>
  <si>
    <t>1.21-2203-2-4/1</t>
  </si>
  <si>
    <t>Техническое обслуживание силового распределительного пункта с установочными автоматами, число групп 10  ( РП2)</t>
  </si>
  <si>
    <t>СН-2012.1 Выпуск № 5 (в текущих ценах по состоянию на 01.10.2025 г.). 1.21-2203-2-4/1</t>
  </si>
  <si>
    <t>1.21-2201-2-4/1</t>
  </si>
  <si>
    <t>Технический осмотр силового распределительного пункта с установочными автоматами, число групп 10</t>
  </si>
  <si>
    <t>СН-2012.1 Выпуск № 5 (в текущих ценах по состоянию на 01.10.2025 г.). 1.21-2201-2-4/1</t>
  </si>
  <si>
    <t>90</t>
  </si>
  <si>
    <t>1.21-2203-2-5/1</t>
  </si>
  <si>
    <t>Техническое обслуживание силового распределительного пункта с установочными автоматами, число групп 12 (РП1-1, РП-АВР1)</t>
  </si>
  <si>
    <t>СН-2012.1 Выпуск № 5 (в текущих ценах по состоянию на 01.10.2025 г.). 1.21-2203-2-5/1</t>
  </si>
  <si>
    <t>1.21-2201-2-5/1</t>
  </si>
  <si>
    <t>Технический осмотр силового распределительного пункта с установочными автоматами, число групп 12</t>
  </si>
  <si>
    <t>СН-2012.1 Выпуск № 5 (в текущих ценах по состоянию на 01.10.2025 г.). 1.21-2201-2-5/1</t>
  </si>
  <si>
    <t>91</t>
  </si>
  <si>
    <t>1.21-2203-27-2/1</t>
  </si>
  <si>
    <t>Техническое обслуживание контакторов номинальный ток до 250 А  /Контактор c катушкой управления AC 230В КМ-1-20 «EKF»</t>
  </si>
  <si>
    <t>СН-2012.1 Выпуск № 5 (в текущих ценах по состоянию на 01.10.2025 г.). 1.21-2203-27-2/1</t>
  </si>
  <si>
    <t>92</t>
  </si>
  <si>
    <t>1.21-2303-32-1/1</t>
  </si>
  <si>
    <t>Техническое обслуживание быстродействующего автоматического ввода резерва (БАВР)</t>
  </si>
  <si>
    <t>СН-2012.1 Выпуск № 5 (в текущих ценах по состоянию на 01.10.2025 г.). 1.21-2303-32-1/1</t>
  </si>
  <si>
    <t>1.21-2103-7-3/1</t>
  </si>
  <si>
    <t>Техническое обслуживание шинопроводов низкого напряжения закрытых на ток до 600 А, смонтированных на конструкциях по стенам</t>
  </si>
  <si>
    <t>10 м</t>
  </si>
  <si>
    <t>СН-2012.1 Выпуск № 5 (в текущих ценах по состоянию на 01.10.2025 г.). 1.21-2103-7-3/1</t>
  </si>
  <si>
    <t>1.21-2101-11-3/1</t>
  </si>
  <si>
    <t>Технический осмотр шинопроводов низкого напряжения закрытых на ток до 600 А, смонтированных на конструкциях по стенам</t>
  </si>
  <si>
    <t>СН-2012.1 Выпуск № 5 (в текущих ценах по состоянию на 01.10.2025 г.). 1.21-2101-11-3/1</t>
  </si>
  <si>
    <t>93</t>
  </si>
  <si>
    <t>1.21-2103-9-3/1</t>
  </si>
  <si>
    <t>Техническое обслуживание силовых сетей, проложенных по кирпичным и бетонным основаниям, провод сечением 4х1,5-6 мм2</t>
  </si>
  <si>
    <t>СН-2012.1 Выпуск № 5 (в текущих ценах по состоянию на 01.10.2025 г.). 1.21-2103-9-3/1</t>
  </si>
  <si>
    <t>94</t>
  </si>
  <si>
    <t>1.21-2103-9-4/1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</si>
  <si>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21-2103-9-3</t>
  </si>
  <si>
    <t>СН-2012.1 Выпуск № 5 (в текущих ценах по состоянию на 01.10.2025 г.). 1.21-2103-9-4/1</t>
  </si>
  <si>
    <t>95</t>
  </si>
  <si>
    <t>1.21-2203-37-1/1</t>
  </si>
  <si>
    <t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t>
  </si>
  <si>
    <t>СН-2012.1 Выпуск № 5 (в текущих ценах по состоянию на 01.10.2025 г.). 1.21-2203-37-1/1</t>
  </si>
  <si>
    <t>1.21-2201-17-2/1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</si>
  <si>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ежемесячный</t>
  </si>
  <si>
    <t>СН-2012.1 Выпуск № 5 (в текущих ценах по состоянию на 01.10.2025 г.). 1.21-2201-17-2/1</t>
  </si>
  <si>
    <t>1.21-2201-17-1/1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</si>
  <si>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ежедневный</t>
  </si>
  <si>
    <t>СН-2012.1 Выпуск № 5 (в текущих ценах по состоянию на 01.10.2025 г.). 1.21-2201-17-1/1</t>
  </si>
  <si>
    <t>)*118</t>
  </si>
  <si>
    <t>96</t>
  </si>
  <si>
    <t>1.21-2203-14-2/1</t>
  </si>
  <si>
    <t>Техническое обслуживание шкафа учета электроэнергии, с количеством счетчиков 2</t>
  </si>
  <si>
    <t>СН-2012.1 Выпуск № 5 (в текущих ценах по состоянию на 01.10.2025 г.). 1.21-2203-14-2/1</t>
  </si>
  <si>
    <t>ВРУ-2</t>
  </si>
  <si>
    <t>97</t>
  </si>
  <si>
    <t>Техническое обслуживание ящика ввода распределительного с рубильником и предохранителями, номинальный ток 600 А (ВП2-1, ВП2-2)</t>
  </si>
  <si>
    <t>98</t>
  </si>
  <si>
    <t>99</t>
  </si>
  <si>
    <t>Техническое обслуживание силового распределительного пункта с установочными автоматами, число групп 12  ( РП2-1,РП2-2)</t>
  </si>
  <si>
    <t>100</t>
  </si>
  <si>
    <t>101</t>
  </si>
  <si>
    <t>102</t>
  </si>
  <si>
    <t>103</t>
  </si>
  <si>
    <t>ВРУ-3</t>
  </si>
  <si>
    <t>104</t>
  </si>
  <si>
    <t>Техническое обслуживание ящика ввода распределительного с рубильником и предохранителями, номинальный ток 600 А (ВП3-1, ВП3-2)</t>
  </si>
  <si>
    <t>105</t>
  </si>
  <si>
    <t>106</t>
  </si>
  <si>
    <t>Техническое обслуживание силового распределительного пункта с установочными автоматами, число групп 10  ( РП3-2,ППУ-3)</t>
  </si>
  <si>
    <t>107</t>
  </si>
  <si>
    <t>1.21-2203-2-3/1</t>
  </si>
  <si>
    <t>Техническое обслуживание силового распределительного пункта с установочными автоматами, число групп 8 / РП3-2</t>
  </si>
  <si>
    <t>СН-2012.1 Выпуск № 5 (в текущих ценах по состоянию на 01.10.2025 г.). 1.21-2203-2-3/1</t>
  </si>
  <si>
    <t>1.21-2201-2-3/1</t>
  </si>
  <si>
    <t>Технический осмотр силового распределительного пункта с установочными автоматами, число групп 8</t>
  </si>
  <si>
    <t>СН-2012.1 Выпуск № 5 (в текущих ценах по состоянию на 01.10.2025 г.). 1.21-2201-2-3/1</t>
  </si>
  <si>
    <t>108</t>
  </si>
  <si>
    <t>Техническое обслуживание быстродействующего автоматического ввода резерва (БАВР) / АВР3</t>
  </si>
  <si>
    <t>Технический осмотр трансформатора понижающего / Трансформатор тока 100/5A, точность 0.5, 6VA ТТЭ30-100/5 «EKF»</t>
  </si>
  <si>
    <t>109</t>
  </si>
  <si>
    <t>110</t>
  </si>
  <si>
    <t>Техническое обслуживание силовых сетей, проложенных по кирпичным и бетонным основаниям, провод сечением 4х1,5-6 мм2 / 10х2,5</t>
  </si>
  <si>
    <t>111</t>
  </si>
  <si>
    <t>112</t>
  </si>
  <si>
    <t>113</t>
  </si>
  <si>
    <t>1.21-2203-14-1/1</t>
  </si>
  <si>
    <t>Техническое обслуживание шкафа учета электроэнергии, с количеством счетчиков 1</t>
  </si>
  <si>
    <t>СН-2012.1 Выпуск № 5 (в текущих ценах по состоянию на 01.10.2025 г.). 1.21-2203-14-1/1</t>
  </si>
  <si>
    <t>ВРУ-4</t>
  </si>
  <si>
    <t>114</t>
  </si>
  <si>
    <t>Техническое обслуживание ящика ввода распределительного с рубильником и предохранителями, номинальный ток 600 А (ВП4)</t>
  </si>
  <si>
    <t>Технический осмотр трансформатора понижающего / Трансформатор тока 400/5A, точность 0.5, 6VA ТТЭ40-400/5 «EKF»</t>
  </si>
  <si>
    <t>115</t>
  </si>
  <si>
    <t>116</t>
  </si>
  <si>
    <t>117</t>
  </si>
  <si>
    <t>118</t>
  </si>
  <si>
    <t>119</t>
  </si>
  <si>
    <t>Щитовое оборудование</t>
  </si>
  <si>
    <t>120</t>
  </si>
  <si>
    <t>1.20-2203-1-1/1</t>
  </si>
  <si>
    <t>Техническое обслуживание щита осветительного группового с установочными автоматами, число групп 2 / ЩАО2-4</t>
  </si>
  <si>
    <t>СН-2012.1 Выпуск № 5 (в текущих ценах по состоянию на 01.10.2025 г.). 1.20-2203-1-1/1</t>
  </si>
  <si>
    <t>1.20-2201-1-1/1</t>
  </si>
  <si>
    <t>Осмотр щита осветительного группового с установочными автоматами, число групп 2</t>
  </si>
  <si>
    <t>СН-2012.1 Выпуск № 5 (в текущих ценах по состоянию на 01.10.2025 г.). 1.20-2201-1-1/1</t>
  </si>
  <si>
    <t>)*16</t>
  </si>
  <si>
    <t>121</t>
  </si>
  <si>
    <t>1.20-2203-1-2/1</t>
  </si>
  <si>
    <t>Техническое обслуживание щита осветительного группового с установочными автоматами, число групп 4 / ЩО1-2, ЩО2-1, ЩО2-4, ЩАО1-2, ЩАО1-3, ЩАО2-1</t>
  </si>
  <si>
    <t>СН-2012.1 Выпуск № 5 (в текущих ценах по состоянию на 01.10.2025 г.). 1.20-2203-1-2/1</t>
  </si>
  <si>
    <t>1.20-2201-1-2/1</t>
  </si>
  <si>
    <t>Осмотр щита осветительного группового с установочными автоматами, число групп 4</t>
  </si>
  <si>
    <t>СН-2012.1 Выпуск № 5 (в текущих ценах по состоянию на 01.10.2025 г.). 1.20-2201-1-2/1</t>
  </si>
  <si>
    <t>122</t>
  </si>
  <si>
    <t>1.20-2203-1-3/1</t>
  </si>
  <si>
    <t>Техническое обслуживание щита осветительного группового с установочными автоматами, число групп 6 / ЩО1-1, ЩО1-3, ЩО2-2, ЩО2-3, ЩАО1-1, ЩАО1-4, ЩАО2-2, ЩАО2-3</t>
  </si>
  <si>
    <t>СН-2012.1 Выпуск № 5 (в текущих ценах по состоянию на 01.10.2025 г.). 1.20-2203-1-3/1</t>
  </si>
  <si>
    <t>1.20-2201-1-3/1</t>
  </si>
  <si>
    <t>Осмотр щита осветительного группового с установочными автоматами, число групп 6</t>
  </si>
  <si>
    <t>СН-2012.1 Выпуск № 5 (в текущих ценах по состоянию на 01.10.2025 г.). 1.20-2201-1-3/1</t>
  </si>
  <si>
    <t>123</t>
  </si>
  <si>
    <t>1.20-2203-1-4/1</t>
  </si>
  <si>
    <t>Техническое обслуживание щита осветительного группового с установочными автоматами, число групп 8 / ЩО1-4, ЩАО1-5</t>
  </si>
  <si>
    <t>СН-2012.1 Выпуск № 5 (в текущих ценах по состоянию на 01.10.2025 г.). 1.20-2203-1-4/1</t>
  </si>
  <si>
    <t>1.20-2201-1-4/1</t>
  </si>
  <si>
    <t>Осмотр щита осветительного группового с установочными автоматами, число групп 8</t>
  </si>
  <si>
    <t>СН-2012.1 Выпуск № 5 (в текущих ценах по состоянию на 01.10.2025 г.). 1.20-2201-1-4/1</t>
  </si>
  <si>
    <t>124</t>
  </si>
  <si>
    <t>1.20-2203-1-5/1</t>
  </si>
  <si>
    <t>Техническое обслуживание щита осветительного группового с установочными автоматами, число групп 10 / ЩАО1-5</t>
  </si>
  <si>
    <t>СН-2012.1 Выпуск № 5 (в текущих ценах по состоянию на 01.10.2025 г.). 1.20-2203-1-5/1</t>
  </si>
  <si>
    <t>1.20-2201-1-5/1</t>
  </si>
  <si>
    <t>Осмотр щита осветительного группового с установочными автоматами, число групп 10</t>
  </si>
  <si>
    <t>СН-2012.1 Выпуск № 5 (в текущих ценах по состоянию на 01.10.2025 г.). 1.20-2201-1-5/1</t>
  </si>
  <si>
    <t>125</t>
  </si>
  <si>
    <t>1.21-2203-2-1/1</t>
  </si>
  <si>
    <t>Техническое обслуживание силового распределительного пункта с установочными автоматами, число групп 4 / ЩТ-1, ЩТ-2, ЩТ-3, ЩВ-1, ЩВ-3, ЩВ-4</t>
  </si>
  <si>
    <t>СН-2012.1 Выпуск № 5 (в текущих ценах по состоянию на 01.10.2025 г.). 1.21-2203-2-1/1</t>
  </si>
  <si>
    <t>1.21-2201-2-1/1</t>
  </si>
  <si>
    <t>Технический осмотр силового распределительного пункта с установочными автоматами, число групп 4</t>
  </si>
  <si>
    <t>СН-2012.1 Выпуск № 5 (в текущих ценах по состоянию на 01.10.2025 г.). 1.21-2201-2-1/1</t>
  </si>
  <si>
    <t>126</t>
  </si>
  <si>
    <t>1.21-2203-2-2/1</t>
  </si>
  <si>
    <t>Техническое обслуживание силового распределительного пункта с установочными автоматами, число групп 6 / ЩС2-1, ЩС2-2, ЩС2-3, ЩК1-1,  ЩК2-1, ЩК2-2, ЩК2-3</t>
  </si>
  <si>
    <t>СН-2012.1 Выпуск № 5 (в текущих ценах по состоянию на 01.10.2025 г.). 1.21-2203-2-2/1</t>
  </si>
  <si>
    <t>1.21-2201-2-2/1</t>
  </si>
  <si>
    <t>Технический осмотр силового распределительного пункта с установочными автоматами, число групп 6</t>
  </si>
  <si>
    <t>СН-2012.1 Выпуск № 5 (в текущих ценах по состоянию на 01.10.2025 г.). 1.21-2201-2-2/1</t>
  </si>
  <si>
    <t>127</t>
  </si>
  <si>
    <t>Техническое обслуживание силового распределительного пункта с установочными автоматами, число групп 8 / ЩК1-2, ЩК1-4, ЩК1-5, ЩСерв-1,  ЩСерв-3</t>
  </si>
  <si>
    <t>*16</t>
  </si>
  <si>
    <t>128</t>
  </si>
  <si>
    <t>Техническое обслуживание силового распределительного пункта с установочными автоматами, число групп 10 / ЩК1-3, ЩВ-2, ЩОВ</t>
  </si>
  <si>
    <t>129</t>
  </si>
  <si>
    <t>Техническое обслуживание силового распределительного пункта с установочными автоматами, число групп 12 / ЩС1-1, ЩС1-2, ЩС1-3, ЩС1-4, ЩС1-5, ЩС2-4, ЩК2-4, ЩСерв-2</t>
  </si>
  <si>
    <t>130</t>
  </si>
  <si>
    <t>1.23-2203-3-1/1</t>
  </si>
  <si>
    <t>Техническое обслуживание светосигнальной арматуры с лампой накаливания, светодиодом</t>
  </si>
  <si>
    <t>СН-2012.1 Выпуск № 5 (в текущих ценах по состоянию на 01.10.2025 г.). 1.23-2203-3-1/1</t>
  </si>
  <si>
    <t>131</t>
  </si>
  <si>
    <t>132</t>
  </si>
  <si>
    <t>1.21-2203-17-1/1</t>
  </si>
  <si>
    <t>Техническое обслуживание ящика с понижающим трансформатором типа ЯТП</t>
  </si>
  <si>
    <t>СН-2012.1 Выпуск № 5 (в текущих ценах по состоянию на 01.10.2025 г.). 1.21-2203-17-1/1</t>
  </si>
  <si>
    <t>1.21-2201-20-1/1</t>
  </si>
  <si>
    <t>Технический осмотр ящика с понижающим трансформатором типа ЯТП - ежемесячный</t>
  </si>
  <si>
    <t>СН-2012.1 Выпуск № 5 (в текущих ценах по состоянию на 01.10.2025 г.). 1.21-2201-20-1/1</t>
  </si>
  <si>
    <t>Электроустановочные изделия</t>
  </si>
  <si>
    <t>133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</si>
  <si>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</si>
  <si>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</si>
  <si>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</si>
  <si>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</si>
  <si>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</si>
  <si>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СН-2012.1 Выпуск № 5 (в текущих ценах по состоянию на 01.10.2025 г.). 1.21-2301-22-1/1</t>
  </si>
  <si>
    <t>Светотехническое оборудование</t>
  </si>
  <si>
    <t>134</t>
  </si>
  <si>
    <t>1.20-2103-16-1/1</t>
  </si>
  <si>
    <t>Техническое обслуживание светильника светодиодного 592x592 мм, встраиваемого в подвесной потолок - годовое</t>
  </si>
  <si>
    <t>СН-2012.1 Выпуск № 5 (в текущих ценах по состоянию на 01.10.2025 г.). 1.20-2103-16-1/1</t>
  </si>
  <si>
    <t>Поправка: СН-2012. Гл.1 Сб.20 п.3. 1  Наименование: При работах, которые производятся на высоте свыше 2 м от пола от 2 до 8 м</t>
  </si>
  <si>
    <t>)*1,04</t>
  </si>
  <si>
    <t>Поправка: СН-2012. Гл.1 Сб.20 п.3. 1</t>
  </si>
  <si>
    <t>135</t>
  </si>
  <si>
    <t>1.20-2103-19-3/1</t>
  </si>
  <si>
    <t>Техническое обслуживание годовое светильника светодиодного потолочного типа Arctic 1500</t>
  </si>
  <si>
    <t>СН-2012.1 Выпуск № 5 (в текущих ценах по состоянию на 01.10.2025 г.). 1.20-2103-19-3/1</t>
  </si>
  <si>
    <t>136</t>
  </si>
  <si>
    <t>1.20-2103-19-2/1</t>
  </si>
  <si>
    <t>Техническое обслуживание годовое светильника светодиодного потолочного типа Arctic 1200</t>
  </si>
  <si>
    <t>СН-2012.1 Выпуск № 5 (в текущих ценах по состоянию на 01.10.2025 г.). 1.20-2103-19-2/1</t>
  </si>
  <si>
    <t>137</t>
  </si>
  <si>
    <t>1.22-2203-103-1/1</t>
  </si>
  <si>
    <t>Техническое обслуживание и регулировка светового настенного указателя (табло) "Выход"</t>
  </si>
  <si>
    <t>СН-2012.1 Выпуск № 5 (в текущих ценах по состоянию на 01.10.2025 г.). 1.22-2203-103-1/1</t>
  </si>
  <si>
    <t>3.1-2201-3-1/1</t>
  </si>
  <si>
    <t>Технический осмотр светозвукового сигнализатора "Выход"</t>
  </si>
  <si>
    <t>СН-2012.3 Выпуск № 5 (в текущих ценах по состоянию на 01.10.2025 г.). 3.1-2201-3-1/1</t>
  </si>
  <si>
    <t>138</t>
  </si>
  <si>
    <t>1.20-2103-24-1/1</t>
  </si>
  <si>
    <t>СН-2012.1 Выпуск № 5 (в текущих ценах по состоянию на 01.10.2025 г.). 1.20-2103-24-1/1</t>
  </si>
  <si>
    <t>Кабельные изделия</t>
  </si>
  <si>
    <t>139</t>
  </si>
  <si>
    <t>1.21-2103-9-1/1</t>
  </si>
  <si>
    <t>Техническое обслуживание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</si>
  <si>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1.21-2103-9-1/1</t>
  </si>
  <si>
    <t>1.21-2101-1-1/1</t>
  </si>
  <si>
    <t>Технический осмотр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</si>
  <si>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1.21-2101-1-1/1</t>
  </si>
  <si>
    <t>140</t>
  </si>
  <si>
    <t>1.21-2103-9-2/1</t>
  </si>
  <si>
    <t>Техническое обслуживание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</si>
  <si>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</si>
  <si>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</si>
  <si>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</si>
  <si>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1.21-2101-1-2/1</t>
  </si>
  <si>
    <t>141</t>
  </si>
  <si>
    <t>1.21-2101-1-3/1</t>
  </si>
  <si>
    <t>Технический осмотр силовых сетей, проложенных по кирпичным и бетонным основаниям, провод сечением 4х1,5-6 мм2</t>
  </si>
  <si>
    <t>СН-2012.1 Выпуск № 5 (в текущих ценах по состоянию на 01.10.2025 г.). 1.21-2101-1-3/1</t>
  </si>
  <si>
    <t>142</t>
  </si>
  <si>
    <t>1.21-2103-9-5/1</t>
  </si>
  <si>
    <t>Техническое обслуживание силовых сетей, проложенных по кирпичным и бетонным основаниям, провод сечением 3х10-16 мм2 (5х10, 5х16)</t>
  </si>
  <si>
    <t>СН-2012.1 Выпуск № 5 (в текущих ценах по состоянию на 01.10.2025 г.). 1.21-2103-9-5/1</t>
  </si>
  <si>
    <t>143</t>
  </si>
  <si>
    <t>1.21-2103-9-6/1</t>
  </si>
  <si>
    <t>Техническое обслуживание силовых сетей, проложенных по кирпичным и бетонным основаниям, добавлять на каждый последующий провод к поз. 21-2103-9-5</t>
  </si>
  <si>
    <t>СН-2012.1 Выпуск № 5 (в текущих ценах по состоянию на 01.10.2025 г.). 1.21-2103-9-6/1</t>
  </si>
  <si>
    <t>1.21-2101-1-5/1</t>
  </si>
  <si>
    <t>Технический осмотр силовых сетей, проложенных по кирпичным и бетонным основаниям, провод сечением 3х10-16 мм2</t>
  </si>
  <si>
    <t>СН-2012.1 Выпуск № 5 (в текущих ценах по состоянию на 01.10.2025 г.). 1.21-2101-1-5/1</t>
  </si>
  <si>
    <t>144</t>
  </si>
  <si>
    <t>1.21-2103-9-7/1</t>
  </si>
  <si>
    <t>Техническое обслуживание силовых сетей, проложенных по кирпичным и бетонным основаниям, провод сечением 3х25-35 мм2 (5х25, 5х35, 5х50, 5х95, 5х120)</t>
  </si>
  <si>
    <t>СН-2012.1 Выпуск № 5 (в текущих ценах по состоянию на 01.10.2025 г.). 1.21-2103-9-7/1</t>
  </si>
  <si>
    <t>145</t>
  </si>
  <si>
    <t>1.21-2103-9-8/1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</si>
  <si>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</t>
  </si>
  <si>
    <t>СН-2012.1 Выпуск № 5 (в текущих ценах по состоянию на 01.10.2025 г.). 1.21-2103-9-8/1</t>
  </si>
  <si>
    <t>1.21-2101-1-7/1</t>
  </si>
  <si>
    <t>Технический осмотр силовых сетей, проложенных по кирпичным и бетонным основаниям, провод сечением 3х25-35 мм2</t>
  </si>
  <si>
    <t>СН-2012.1 Выпуск № 5 (в текущих ценах по состоянию на 01.10.2025 г.). 1.21-2101-1-7/1</t>
  </si>
  <si>
    <t>Система молниезащиты и заземления</t>
  </si>
  <si>
    <t>1.21-2103-3-1/1</t>
  </si>
  <si>
    <t>Техническое обслуживание сетей заземления магистральных,</t>
  </si>
  <si>
    <t>СН-2012.1 Выпуск № 5 (в текущих ценах по состоянию на 01.10.2025 г.). 1.21-2103-3-1/1</t>
  </si>
  <si>
    <t>1.21-2101-7-1/1</t>
  </si>
  <si>
    <t>Технический осмотр сетей заземления магистральных</t>
  </si>
  <si>
    <t>СН-2012.1 Выпуск № 5 (в текущих ценах по состоянию на 01.10.2025 г.). 1.21-2101-7-1/1</t>
  </si>
  <si>
    <t>5. Автоматизация и диспетчеризация инженерных систем.</t>
  </si>
  <si>
    <t>146</t>
  </si>
  <si>
    <t>3.1-2203-56-1/1</t>
  </si>
  <si>
    <t>Техническое обслуживание преобразователя интерфейсов ПИ-01</t>
  </si>
  <si>
    <t>СН-2012.3 Выпуск № 5 (в текущих ценах по состоянию на 01.10.2025 г.). 3.1-2203-56-1/1</t>
  </si>
  <si>
    <t>3.1-2201-54-1/1</t>
  </si>
  <si>
    <t>Технический осмотр преобразователя интерфейсов ПИ-01</t>
  </si>
  <si>
    <t>СН-2012.3 Выпуск № 5 (в текущих ценах по состоянию на 01.10.2025 г.). 3.1-2201-54-1/1</t>
  </si>
  <si>
    <t>147</t>
  </si>
  <si>
    <t>Техническое обслуживание приборов для измерения температуры, регулятор температуры дилатометрический, тип ТУДЭ</t>
  </si>
  <si>
    <t>148</t>
  </si>
  <si>
    <t>1.23-2303-12-1/1</t>
  </si>
  <si>
    <t>Техническое обслуживание контроллеров логических операций</t>
  </si>
  <si>
    <t>СН-2012.1 Выпуск № 5 (в текущих ценах по состоянию на 01.10.2025 г.). 1.23-2303-12-1/1</t>
  </si>
  <si>
    <t>149</t>
  </si>
  <si>
    <t>1.22-2203-78-1/1</t>
  </si>
  <si>
    <t>Техническое обслуживание блока питания типа БРП-12-01Л</t>
  </si>
  <si>
    <t>СН-2012.1 Выпуск № 5 (в текущих ценах по состоянию на 01.10.2025 г.). 1.22-2203-78-1/1</t>
  </si>
  <si>
    <t>1.22-2201-67-1/1</t>
  </si>
  <si>
    <t>Технический осмотр блока питания типа БРП-12-01Л</t>
  </si>
  <si>
    <t>СН-2012.1 Выпуск № 5 (в текущих ценах по состоянию на 01.10.2025 г.). 1.22-2201-67-1/1</t>
  </si>
  <si>
    <t>1.27-2103-1-2/1</t>
  </si>
  <si>
    <t>Техническое обслуживание компьютерного оборудования, профилактика электронных составляющих ПК / Рабочая станция</t>
  </si>
  <si>
    <t>СН-2012.1 Выпуск № 5 (в текущих ценах по состоянию на 01.10.2025 г.). 1.27-2103-1-2/1</t>
  </si>
  <si>
    <t>1.22-2203-2-3/1</t>
  </si>
  <si>
    <t>Техническое обслуживание видеомонитора</t>
  </si>
  <si>
    <t>СН-2012.1 Выпуск № 5 (в текущих ценах по состоянию на 01.10.2025 г.). 1.22-2203-2-3/1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</si>
  <si>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</si>
  <si>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</si>
  <si>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</si>
  <si>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Вентустановки</t>
  </si>
  <si>
    <t>150</t>
  </si>
  <si>
    <t>Система защиты от протечек</t>
  </si>
  <si>
    <t>151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</si>
  <si>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</si>
  <si>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</si>
  <si>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</si>
  <si>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</si>
  <si>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</si>
  <si>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</si>
  <si>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</si>
  <si>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</si>
  <si>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</si>
  <si>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</si>
  <si>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</si>
  <si>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</si>
  <si>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</si>
  <si>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21.1-25-13</t>
  </si>
  <si>
    <t>СН-2012.21 Выпуск № 5 (в текущих ценах по состоянию на 01.10.2025 г.). 21.1-25-13</t>
  </si>
  <si>
    <t>Вода</t>
  </si>
  <si>
    <t>м3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</si>
  <si>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</si>
  <si>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</si>
  <si>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</si>
  <si>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маш.-ч</t>
  </si>
  <si>
    <t>21.1-15-56</t>
  </si>
  <si>
    <t>Проволока из цветных металлов медная, толщина 1-1,5 мм</t>
  </si>
  <si>
    <t>кг</t>
  </si>
  <si>
    <t>21.1-15-66</t>
  </si>
  <si>
    <t>СН-2012.21 Выпуск № 5 (в текущих ценах по состоянию на 01.10.2025 г.). 21.1-15-66</t>
  </si>
  <si>
    <t>Свинец технический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</si>
  <si>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</si>
  <si>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</si>
  <si>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</si>
  <si>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т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</si>
  <si>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</si>
  <si>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</si>
  <si>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</si>
  <si>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</si>
  <si>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</si>
  <si>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</si>
  <si>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21.1-20-7</t>
  </si>
  <si>
    <t>СН-2012.21 Выпуск № 5 (в текущих ценах по состоянию на 01.10.2025 г.). 21.1-20-7</t>
  </si>
  <si>
    <t>Ветошь</t>
  </si>
  <si>
    <t>21.1-1-11</t>
  </si>
  <si>
    <t>СН-2012.21 Выпуск № 5 (в текущих ценах по состоянию на 01.10.2025 г.). 21.1-1-11</t>
  </si>
  <si>
    <t>Герметик силиконовый</t>
  </si>
  <si>
    <t>л</t>
  </si>
  <si>
    <t>22.1-30-56</t>
  </si>
  <si>
    <t>СН-2012.22 Выпуск № 5 (в текущих ценах по состоянию на 01.10.2025 г.). 22.1-30-56</t>
  </si>
  <si>
    <t>Шуруповерты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</si>
  <si>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</si>
  <si>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</si>
  <si>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</si>
  <si>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</si>
  <si>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21.1-24-25</t>
  </si>
  <si>
    <t>СН-2012.21 Выпуск № 5 (в текущих ценах по состоянию на 01.10.2025 г.). 21.1-24-25</t>
  </si>
  <si>
    <t>Средство жидкое моющее универсальное концентрированное нейтральное для посуды и различных поверхностей</t>
  </si>
  <si>
    <t>21.1-24-5</t>
  </si>
  <si>
    <t>СН-2012.21 Выпуск № 5 (в текущих ценах по состоянию на 01.10.2025 г.). 21.1-24-5</t>
  </si>
  <si>
    <t>Средство дезинфицирующее жидкое на основе гипохлорита натрия</t>
  </si>
  <si>
    <t>21.1-4-43</t>
  </si>
  <si>
    <t>СН-2012.21 Выпуск № 5 (в текущих ценах по состоянию на 01.10.2025 г.). 21.1-4-43</t>
  </si>
  <si>
    <t>Смазка универсальная, силиконовая с фторопластом, водостойкая, диапазон температур применения от -50 до +230°С, тюбик 30 г</t>
  </si>
  <si>
    <t>21.18-7-2</t>
  </si>
  <si>
    <t>Прокладка уплотнительная паронитовая, толщина 0,5-2,5 мм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</si>
  <si>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</si>
  <si>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</si>
  <si>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</si>
  <si>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22.1-14-13</t>
  </si>
  <si>
    <t>СН-2012.22 Выпуск № 5 (в текущих ценах по состоянию на 01.10.2025 г.). 22.1-14-13</t>
  </si>
  <si>
    <t>Пылесосы промышленные</t>
  </si>
  <si>
    <t>21.1-16-103</t>
  </si>
  <si>
    <t>СН-2012.21 Выпуск № 5 (в текущих ценах по состоянию на 01.10.2025 г.). 21.1-16-103</t>
  </si>
  <si>
    <t>Спирт этиловый ректификат</t>
  </si>
  <si>
    <t>21.1-20-1</t>
  </si>
  <si>
    <t>СН-2012.21 Выпуск № 5 (в текущих ценах по состоянию на 01.10.2025 г.). 21.1-20-1</t>
  </si>
  <si>
    <t>Бязь</t>
  </si>
  <si>
    <t>м2</t>
  </si>
  <si>
    <t>21.1-25-388</t>
  </si>
  <si>
    <t>СН-2012.21 Выпуск № 5 (в текущих ценах по состоянию на 01.10.2025 г.). 21.1-25-388</t>
  </si>
  <si>
    <t>Шкурка шлифовальная на бумажной основе</t>
  </si>
  <si>
    <t>21.1-6-138</t>
  </si>
  <si>
    <t>СН-2012.21 Выпуск № 5 (в текущих ценах по состоянию на 01.10.2025 г.). 21.1-6-138</t>
  </si>
  <si>
    <t>Эмаль, марка ПФ-115 (белая), пентафталевая</t>
  </si>
  <si>
    <t>21.1-4-3</t>
  </si>
  <si>
    <t>СН-2012.21 Выпуск № 5 (в текущих ценах по состоянию на 01.10.2025 г.). 21.1-4-3</t>
  </si>
  <si>
    <t>Бензин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</si>
  <si>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</si>
  <si>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</si>
  <si>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</si>
  <si>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</si>
  <si>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</si>
  <si>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</si>
  <si>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</si>
  <si>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</si>
  <si>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21.1-6-90</t>
  </si>
  <si>
    <t>СН-2012.21 Выпуск № 5 (в текущих ценах по состоянию на 01.10.2025 г.). 21.1-6-90</t>
  </si>
  <si>
    <t>Олифа для окраски комбинированная оксоль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</si>
  <si>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</si>
  <si>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</si>
  <si>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</si>
  <si>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5728811000</t>
  </si>
  <si>
    <t>Прокладки из листового терморасширенного графита</t>
  </si>
  <si>
    <t>21.1-4-17</t>
  </si>
  <si>
    <t>СН-2012.21 Выпуск № 5 (в текущих ценах по состоянию на 01.10.2025 г.). 21.1-4-17</t>
  </si>
  <si>
    <t>Масло индустриальное, марка И-30А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</si>
  <si>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</si>
  <si>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</si>
  <si>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</si>
  <si>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</si>
  <si>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</si>
  <si>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</si>
  <si>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</si>
  <si>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</si>
  <si>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</si>
  <si>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</si>
  <si>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</si>
  <si>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</si>
  <si>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</si>
  <si>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</si>
  <si>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</si>
  <si>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</si>
  <si>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</si>
  <si>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</si>
  <si>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</si>
  <si>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</si>
  <si>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</si>
  <si>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</si>
  <si>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</si>
  <si>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</si>
  <si>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</si>
  <si>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</si>
  <si>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</si>
  <si>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</si>
  <si>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</si>
  <si>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</si>
  <si>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21.1-6-68</t>
  </si>
  <si>
    <t>СН-2012.21 Выпуск № 5 (в текущих ценах по состоянию на 01.10.2025 г.). 21.1-6-68</t>
  </si>
  <si>
    <t>Лак битумный, марка БТ-577</t>
  </si>
  <si>
    <t>СН-2012.21 Выпуск № 5 (в текущих ценах по состоянию на 01.10.2025 г.). 21.18-7-2</t>
  </si>
  <si>
    <t>22.1-17-208</t>
  </si>
  <si>
    <t>СН-2012.22 Выпуск № 5 (в текущих ценах по состоянию на 01.10.2025 г.). 22.1-17-208</t>
  </si>
  <si>
    <t>Установки для удаления отложений в стальных, чугунных и медных теплообменниках, производительность 3360 л/час</t>
  </si>
  <si>
    <t>21.1-24-45</t>
  </si>
  <si>
    <t>СН-2012.21 Выпуск № 5 (в текущих ценах по состоянию на 01.10.2025 г.). 21.1-24-45</t>
  </si>
  <si>
    <t>Состав жидкий концентрированный восстанавливающий для удаления коррозии и известковых отложений в системах нагревающих/охлаждающих и кондиционирования воздуха, типа "Cillit HS 23 RS"</t>
  </si>
  <si>
    <t>21.1-4-41</t>
  </si>
  <si>
    <t>СН-2012.21 Выпуск № 5 (в текущих ценах по состоянию на 01.10.2025 г.). 21.1-4-41</t>
  </si>
  <si>
    <t>Смазка густая (типа "Литол"), марка "Моbilux"</t>
  </si>
  <si>
    <t>21.1-20-23</t>
  </si>
  <si>
    <t>СН-2012.21 Выпуск № 5 (в текущих ценах по состоянию на 01.10.2025 г.). 21.1-20-23</t>
  </si>
  <si>
    <t>Парусина (брезент)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</si>
  <si>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</si>
  <si>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</si>
  <si>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</si>
  <si>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</si>
  <si>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</si>
  <si>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</si>
  <si>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</si>
  <si>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</si>
  <si>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</si>
  <si>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</si>
  <si>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</si>
  <si>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</si>
  <si>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22.1-17-213</t>
  </si>
  <si>
    <t>СН-2012.22 Выпуск № 5 (в текущих ценах по состоянию на 01.10.2025 г.). 22.1-17-213</t>
  </si>
  <si>
    <t>Мойки высокого давления импортного производства, расход воды 650 л/ч, мощность 3,3 кВт</t>
  </si>
  <si>
    <t>21.1-4-34</t>
  </si>
  <si>
    <t>СН-2012.21 Выпуск № 5 (в текущих ценах по состоянию на 01.10.2025 г.). 21.1-4-34</t>
  </si>
  <si>
    <t>Растворитель нефтяной, марка Нефрас С-50/170</t>
  </si>
  <si>
    <t>21.26-2-2</t>
  </si>
  <si>
    <t>СН-2012.21 Выпуск № 5 (в текущих ценах по состоянию на 01.10.2025 г.). 21.26-2-2</t>
  </si>
  <si>
    <t>Бумага индикаторная (полоски) универсальная pH 0-12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</si>
  <si>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</si>
  <si>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</si>
  <si>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</si>
  <si>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</si>
  <si>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</si>
  <si>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</si>
  <si>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21.1-25-1143</t>
  </si>
  <si>
    <t>СН-2012.21 Выпуск № 5 (в текущих ценах по состоянию на 01.10.2025 г.). 21.1-25-1143</t>
  </si>
  <si>
    <t>Обезжириватель универсальный на углеводородной основе</t>
  </si>
  <si>
    <t>21.1-25-389</t>
  </si>
  <si>
    <t>СН-2012.21 Выпуск № 5 (в текущих ценах по состоянию на 01.10.2025 г.). 21.1-25-389</t>
  </si>
  <si>
    <t>Шкурка шлифовальная на тканевой основе водостойкая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</si>
  <si>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</si>
  <si>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</si>
  <si>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</si>
  <si>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21.1-6-111</t>
  </si>
  <si>
    <t>СН-2012.21 Выпуск № 5 (в текущих ценах по состоянию на 01.10.2025 г.). 21.1-6-111</t>
  </si>
  <si>
    <t>Растворители универсальные № 645-650</t>
  </si>
  <si>
    <t>21.1-4-33</t>
  </si>
  <si>
    <t>СН-2012.21 Выпуск № 5 (в текущих ценах по состоянию на 01.10.2025 г.). 21.1-4-33</t>
  </si>
  <si>
    <t>Растворитель нефтяной, марка Нефрас С2-80/120</t>
  </si>
  <si>
    <t>Техническое обслуживание стальных панельных радиаторов типа 10 высотой 500 мм длиной до 1500 мм / Стальной трубчатый радиатор, тип PC-1-500, высота H = 540 мм, ширина В= 40 мм, радиатор 1-рядный, с встроенным термостатическим вентилем Danfoss RTD-N BIV с предварительной настройкой, нижнее подключение (правостороннее либо левостороннее)</t>
  </si>
  <si>
    <t>Техническое обслуживание стальных панельных радиаторов типа 20 высотой 500 мм длиной до 1500 мм / Стальной трубчатый радиатор, тип PC-2-500, высота H = 540 мм, ширина В= 100 мм, радиатор 2-рядный, с встроенным термостатическим вентилем Danfoss RTD-N BIV с предварительной настройкой, нижнее подключение (правостороннее либо левостороннее)</t>
  </si>
  <si>
    <t>Техническое обслуживание стальных панельных радиаторов типа 33 высотой 500 мм длиной до 1500 мм / Стальной трубчатый радиатор, тип PC-3-500, высота H = 540 мм, ширина В= 160 мм, радиатор 3-рядный, с встроенным термостатическим вентилем Danfoss RTD-N BIV с предварительной настройкой, нижнее подключение (правостороннее либо левостороннее)</t>
  </si>
  <si>
    <t>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</si>
  <si>
    <t>Поправка: СН-2012. Гл.1 Сб.22 п.3.6.1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осмотру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</si>
  <si>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Устройство управления в комплекте с датчиками температуры, влажности ETR/F-1447A «Electrolux»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</si>
  <si>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для склада IP65 230V/50Hz/E ДСП4001-4006 ИЭК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</si>
  <si>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</si>
  <si>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</si>
  <si>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</si>
  <si>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</si>
  <si>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</si>
  <si>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</si>
  <si>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</si>
  <si>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</si>
  <si>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</si>
  <si>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</si>
  <si>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</si>
  <si>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</si>
  <si>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</si>
  <si>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</si>
  <si>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</si>
  <si>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</si>
  <si>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</si>
  <si>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</si>
  <si>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</si>
  <si>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</si>
  <si>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</si>
  <si>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</si>
  <si>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</si>
  <si>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</si>
  <si>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</si>
  <si>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</si>
  <si>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</si>
  <si>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</si>
  <si>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МР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</si>
  <si>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</si>
  <si>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</si>
  <si>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</si>
  <si>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</si>
  <si>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</si>
  <si>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</si>
  <si>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</si>
  <si>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НР и СП от ЗПМ</t>
  </si>
  <si>
    <r>
      <t>3.1-2203-61-1/1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</si>
  <si>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шкафа навесного 700х1200, 300х400 / Шкаф коллекторный пристраиваемый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</si>
  <si>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r>
      <t>1.20-2103-16-1/1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</si>
  <si>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592x592 мм, встраиваемого в подвесной потолок - годовое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</si>
  <si>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1.20-2103-19-3/1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</si>
  <si>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годовое светильника светодиодного потолочного типа Arctic 1500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</si>
  <si>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1.20-2103-19-2/1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</si>
  <si>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годовое светильника светодиодного потолочного типа Arctic 1200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</si>
  <si>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1.22-2203-103-1/1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</si>
  <si>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и регулировка светового настенного указателя (табло) "Выход"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</si>
  <si>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r>
      <t>1.20-2103-24-1/1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</si>
  <si>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для склада IP65 230V/50Hz/E ДСП4001-4006 ИЭК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</si>
  <si>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3.1-2203-56-1/1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</si>
  <si>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преобразователя интерфейсов ПИ-01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</si>
  <si>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</si>
  <si>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</si>
  <si>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</si>
  <si>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</si>
  <si>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</si>
  <si>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</si>
  <si>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</si>
  <si>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</si>
  <si>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</si>
  <si>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</si>
  <si>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</si>
  <si>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</si>
  <si>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</si>
  <si>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</si>
  <si>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</si>
  <si>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</si>
  <si>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</si>
  <si>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</si>
  <si>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</si>
  <si>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</si>
  <si>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</si>
  <si>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</si>
  <si>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</si>
  <si>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</si>
  <si>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</si>
  <si>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</si>
  <si>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</si>
  <si>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</si>
  <si>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</si>
  <si>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</si>
  <si>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</si>
  <si>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</si>
  <si>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</si>
  <si>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</si>
  <si>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</si>
  <si>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Сдал   </t>
  </si>
  <si>
    <t xml:space="preserve">Принял   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</si>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</sst>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6" xfId="0" applyBorder="1"/>
    <xf numFmtId="165" fontId="15" fillId="0" borderId="6" xfId="0" applyNumberFormat="1" applyFont="1" applyBorder="1" applyAlignment="1">
      <alignment horizontal="right"/>
    </xf>
    <xf numFmtId="165" fontId="14" fillId="0" borderId="0" xfId="0" applyNumberFormat="1" applyFont="1" applyAlignment="1">
      <alignment horizontal="right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8" fillId="0" borderId="0" xfId="0" applyFont="1" applyAlignment="1">
      <alignment vertical="top" wrapText="1"/>
    </xf>
    <xf numFmtId="0" fontId="16" fillId="0" borderId="0" xfId="0" applyFont="1" applyAlignment="1">
      <alignment horizontal="left" wrapText="1"/>
    </xf>
    <xf numFmtId="0" fontId="10" fillId="0" borderId="0" xfId="0" quotePrefix="1" applyFont="1" applyAlignment="1">
      <alignment horizontal="righ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165" fontId="15" fillId="0" borderId="6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0" fillId="0" borderId="3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368"/>
  <sheetViews>
    <sheetView tabSelected="1" topLeftCell="A1331" zoomScaleNormal="100" workbookViewId="0">
      <selection activeCell="I1359" sqref="I1359:J1360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28" width="0" hidden="1" customWidth="1"/>
    <col min="29" max="29" width="135.7109375" hidden="1" customWidth="1"/>
    <col min="30" max="31" width="0" hidden="1" customWidth="1"/>
    <col min="32" max="32" width="116.7109375" hidden="1" customWidth="1"/>
    <col min="33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55" t="s">
        <v>1075</v>
      </c>
      <c r="K2" s="55"/>
    </row>
    <row r="3" spans="1:11" ht="16.5" x14ac:dyDescent="0.25">
      <c r="A3" s="11"/>
      <c r="B3" s="58" t="s">
        <v>1073</v>
      </c>
      <c r="C3" s="58"/>
      <c r="D3" s="58"/>
      <c r="E3" s="58"/>
      <c r="F3" s="10"/>
      <c r="G3" s="58" t="s">
        <v>1074</v>
      </c>
      <c r="H3" s="58"/>
      <c r="I3" s="58"/>
      <c r="J3" s="58"/>
      <c r="K3" s="58"/>
    </row>
    <row r="4" spans="1:11" ht="14.25" x14ac:dyDescent="0.2">
      <c r="A4" s="10"/>
      <c r="B4" s="52"/>
      <c r="C4" s="52"/>
      <c r="D4" s="52"/>
      <c r="E4" s="52"/>
      <c r="F4" s="10"/>
      <c r="G4" s="52"/>
      <c r="H4" s="52"/>
      <c r="I4" s="52"/>
      <c r="J4" s="52"/>
      <c r="K4" s="52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52" t="str">
        <f>CONCATENATE("______________________ ", IF(Source!AL12&lt;&gt;"", Source!AL12, ""))</f>
        <v xml:space="preserve">______________________ </v>
      </c>
      <c r="C6" s="52"/>
      <c r="D6" s="52"/>
      <c r="E6" s="52"/>
      <c r="F6" s="10"/>
      <c r="G6" s="52" t="str">
        <f>CONCATENATE("______________________ ", IF(Source!AH12&lt;&gt;"", Source!AH12, ""))</f>
        <v xml:space="preserve">______________________ </v>
      </c>
      <c r="H6" s="52"/>
      <c r="I6" s="52"/>
      <c r="J6" s="52"/>
      <c r="K6" s="52"/>
    </row>
    <row r="7" spans="1:11" ht="14.25" customHeight="1" x14ac:dyDescent="0.2">
      <c r="A7" s="13"/>
      <c r="B7" s="42" t="s">
        <v>1076</v>
      </c>
      <c r="C7" s="42"/>
      <c r="D7" s="42"/>
      <c r="E7" s="42"/>
      <c r="F7" s="10"/>
      <c r="G7" s="42" t="s">
        <v>1076</v>
      </c>
      <c r="H7" s="42"/>
      <c r="I7" s="42"/>
      <c r="J7" s="42"/>
      <c r="K7" s="42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customHeight="1" x14ac:dyDescent="0.25">
      <c r="A10" s="56" t="str">
        <f>CONCATENATE( "ЛОКАЛЬНАЯ СМЕТА № ",IF(Source!F12&lt;&gt;"Новый объект", Source!F12, ""))</f>
        <v>ЛОКАЛЬНАЯ СМЕТА № Новый объект_(Копия)_(Копия)_(Копия)_(Копия)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1" ht="12.75" customHeight="1" x14ac:dyDescent="0.2">
      <c r="A11" s="54" t="s">
        <v>1077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customHeight="1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4.25" hidden="1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3" t="str">
        <f>IF(Source!G12&lt;&gt;"Новый объект", Source!G12, "")</f>
        <v>СН_1.5_на 4 мес. (10%) испр.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</row>
    <row r="16" spans="1:11" ht="12.75" customHeight="1" x14ac:dyDescent="0.2">
      <c r="A16" s="54" t="s">
        <v>1078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customHeight="1" x14ac:dyDescent="0.2">
      <c r="A18" s="42" t="str">
        <f>CONCATENATE( "Основание: чертежи № ", Source!J12)</f>
        <v xml:space="preserve">Основание: чертежи № 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52" t="s">
        <v>1079</v>
      </c>
      <c r="G20" s="52"/>
      <c r="H20" s="52"/>
      <c r="I20" s="43">
        <f>I1361/1000</f>
        <v>3014.5893799999999</v>
      </c>
      <c r="J20" s="43"/>
      <c r="K20" s="10" t="s">
        <v>1080</v>
      </c>
    </row>
    <row r="21" spans="1:11" ht="14.25" hidden="1" customHeight="1" x14ac:dyDescent="0.2">
      <c r="A21" s="10"/>
      <c r="B21" s="10"/>
      <c r="C21" s="10"/>
      <c r="D21" s="10"/>
      <c r="E21" s="10"/>
      <c r="F21" s="52" t="s">
        <v>1081</v>
      </c>
      <c r="G21" s="52"/>
      <c r="H21" s="52"/>
      <c r="I21" s="43">
        <f>ROUND((Source!F1052)/1000, 2)</f>
        <v>0</v>
      </c>
      <c r="J21" s="43"/>
      <c r="K21" s="10" t="s">
        <v>1080</v>
      </c>
    </row>
    <row r="22" spans="1:11" ht="14.25" hidden="1" customHeight="1" x14ac:dyDescent="0.2">
      <c r="A22" s="10"/>
      <c r="B22" s="10"/>
      <c r="C22" s="10"/>
      <c r="D22" s="10"/>
      <c r="E22" s="10"/>
      <c r="F22" s="52" t="s">
        <v>1082</v>
      </c>
      <c r="G22" s="52"/>
      <c r="H22" s="52"/>
      <c r="I22" s="43">
        <f>ROUND((Source!F1053)/1000, 2)</f>
        <v>0</v>
      </c>
      <c r="J22" s="43"/>
      <c r="K22" s="10" t="s">
        <v>1080</v>
      </c>
    </row>
    <row r="23" spans="1:11" ht="14.25" hidden="1" customHeight="1" x14ac:dyDescent="0.2">
      <c r="A23" s="10"/>
      <c r="B23" s="10"/>
      <c r="C23" s="10"/>
      <c r="D23" s="10"/>
      <c r="E23" s="10"/>
      <c r="F23" s="52" t="s">
        <v>1083</v>
      </c>
      <c r="G23" s="52"/>
      <c r="H23" s="52"/>
      <c r="I23" s="43">
        <f>ROUND((Source!F1044)/1000, 2)</f>
        <v>0</v>
      </c>
      <c r="J23" s="43"/>
      <c r="K23" s="10" t="s">
        <v>1080</v>
      </c>
    </row>
    <row r="24" spans="1:11" ht="14.25" hidden="1" customHeight="1" x14ac:dyDescent="0.2">
      <c r="A24" s="10"/>
      <c r="B24" s="10"/>
      <c r="C24" s="10"/>
      <c r="D24" s="10"/>
      <c r="E24" s="10"/>
      <c r="F24" s="52" t="s">
        <v>1084</v>
      </c>
      <c r="G24" s="52"/>
      <c r="H24" s="52"/>
      <c r="I24" s="43">
        <f>ROUND((Source!F1054+Source!F1055)/1000, 2)</f>
        <v>2470.9699999999998</v>
      </c>
      <c r="J24" s="43"/>
      <c r="K24" s="10" t="s">
        <v>1080</v>
      </c>
    </row>
    <row r="25" spans="1:11" ht="14.25" x14ac:dyDescent="0.2">
      <c r="A25" s="10"/>
      <c r="B25" s="10"/>
      <c r="C25" s="10"/>
      <c r="D25" s="10"/>
      <c r="E25" s="10"/>
      <c r="F25" s="52" t="s">
        <v>1085</v>
      </c>
      <c r="G25" s="52"/>
      <c r="H25" s="52"/>
      <c r="I25" s="43">
        <f>(Source!F1050+ Source!F1049)/1000</f>
        <v>1345.7816699999998</v>
      </c>
      <c r="J25" s="43"/>
      <c r="K25" s="10" t="s">
        <v>1080</v>
      </c>
    </row>
    <row r="26" spans="1:11" ht="14.25" x14ac:dyDescent="0.2">
      <c r="A26" s="10" t="s">
        <v>1099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customHeight="1" x14ac:dyDescent="0.2">
      <c r="A27" s="49" t="s">
        <v>1086</v>
      </c>
      <c r="B27" s="49" t="s">
        <v>1087</v>
      </c>
      <c r="C27" s="49" t="s">
        <v>1088</v>
      </c>
      <c r="D27" s="49" t="s">
        <v>1089</v>
      </c>
      <c r="E27" s="49" t="s">
        <v>1090</v>
      </c>
      <c r="F27" s="49" t="s">
        <v>1091</v>
      </c>
      <c r="G27" s="49" t="s">
        <v>1092</v>
      </c>
      <c r="H27" s="49" t="s">
        <v>1093</v>
      </c>
      <c r="I27" s="49" t="s">
        <v>1094</v>
      </c>
      <c r="J27" s="49" t="s">
        <v>1095</v>
      </c>
      <c r="K27" s="16" t="s">
        <v>1096</v>
      </c>
    </row>
    <row r="28" spans="1:11" ht="28.5" x14ac:dyDescent="0.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17" t="s">
        <v>1097</v>
      </c>
    </row>
    <row r="29" spans="1:11" ht="28.5" x14ac:dyDescent="0.2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17" t="s">
        <v>1098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2" spans="1:11" ht="16.5" customHeight="1" x14ac:dyDescent="0.25">
      <c r="A32" s="48" t="str">
        <f>CONCATENATE("Локальная смета: ",IF(Source!G20&lt;&gt;"Новая локальная смета", Source!G20, ""))</f>
        <v xml:space="preserve">Локальная смета: 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</row>
    <row r="34" spans="1:22" ht="16.5" customHeight="1" x14ac:dyDescent="0.25">
      <c r="A34" s="48" t="str">
        <f>CONCATENATE("Раздел: ",IF(Source!G24&lt;&gt;"Новый раздел", Source!G24, ""))</f>
        <v>Раздел: 1. Система водоснабжение и водоотведение.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</row>
    <row r="36" spans="1:22" ht="16.5" customHeight="1" x14ac:dyDescent="0.25">
      <c r="A36" s="48" t="str">
        <f>CONCATENATE("Подраздел: ",IF(Source!G28&lt;&gt;"Новый подраздел", Source!G28, ""))</f>
        <v>Подраздел: Водомерный узел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</row>
    <row r="37" spans="1:22" ht="42.75" x14ac:dyDescent="0.2">
      <c r="A37" s="18">
        <v>1</v>
      </c>
      <c r="B37" s="18" t="str">
        <f>Source!F32</f>
        <v>1.23-2103-39-2/1</v>
      </c>
      <c r="C37" s="18" t="str">
        <f>Source!G32</f>
        <v>Техническое обслуживание счетчиков холодной и горячей воды условным диаметром 25-40 мм.</v>
      </c>
      <c r="D37" s="19" t="str">
        <f>Source!H32</f>
        <v>шт.</v>
      </c>
      <c r="E37" s="9">
        <f>Source!I32</f>
        <v>1</v>
      </c>
      <c r="F37" s="21"/>
      <c r="G37" s="20"/>
      <c r="H37" s="9"/>
      <c r="I37" s="9"/>
      <c r="J37" s="21"/>
      <c r="K37" s="21"/>
      <c r="Q37">
        <f>ROUND((Source!BZ32/100)*ROUND((Source!AF32*Source!AV32)*Source!I32, 2), 2)</f>
        <v>818.52</v>
      </c>
      <c r="R37">
        <f>Source!X32</f>
        <v>818.52</v>
      </c>
      <c r="S37">
        <f>ROUND((Source!CA32/100)*ROUND((Source!AF32*Source!AV32)*Source!I32, 2), 2)</f>
        <v>116.93</v>
      </c>
      <c r="T37">
        <f>Source!Y32</f>
        <v>116.93</v>
      </c>
      <c r="U37">
        <f>ROUND((175/100)*ROUND((Source!AE32*Source!AV32)*Source!I32, 2), 2)</f>
        <v>0</v>
      </c>
      <c r="V37">
        <f>ROUND((108/100)*ROUND(Source!CS32*Source!I32, 2), 2)</f>
        <v>0</v>
      </c>
    </row>
    <row r="38" spans="1:22" ht="14.25" x14ac:dyDescent="0.2">
      <c r="A38" s="18"/>
      <c r="B38" s="18"/>
      <c r="C38" s="18" t="s">
        <v>1100</v>
      </c>
      <c r="D38" s="19"/>
      <c r="E38" s="9"/>
      <c r="F38" s="21">
        <f>Source!AO32</f>
        <v>1169.31</v>
      </c>
      <c r="G38" s="20" t="str">
        <f>Source!DG32</f>
        <v/>
      </c>
      <c r="H38" s="9">
        <f>Source!AV32</f>
        <v>1</v>
      </c>
      <c r="I38" s="9">
        <f>IF(Source!BA32&lt;&gt; 0, Source!BA32, 1)</f>
        <v>1</v>
      </c>
      <c r="J38" s="21">
        <f>Source!S32</f>
        <v>1169.31</v>
      </c>
      <c r="K38" s="21"/>
    </row>
    <row r="39" spans="1:22" ht="14.25" x14ac:dyDescent="0.2">
      <c r="A39" s="18"/>
      <c r="B39" s="18"/>
      <c r="C39" s="18" t="s">
        <v>1101</v>
      </c>
      <c r="D39" s="19"/>
      <c r="E39" s="9"/>
      <c r="F39" s="21">
        <f>Source!AL32</f>
        <v>0.19</v>
      </c>
      <c r="G39" s="20" t="str">
        <f>Source!DD32</f>
        <v/>
      </c>
      <c r="H39" s="9">
        <f>Source!AW32</f>
        <v>1</v>
      </c>
      <c r="I39" s="9">
        <f>IF(Source!BC32&lt;&gt; 0, Source!BC32, 1)</f>
        <v>1</v>
      </c>
      <c r="J39" s="21">
        <f>Source!P32</f>
        <v>0.19</v>
      </c>
      <c r="K39" s="21"/>
    </row>
    <row r="40" spans="1:22" ht="14.25" x14ac:dyDescent="0.2">
      <c r="A40" s="18"/>
      <c r="B40" s="18"/>
      <c r="C40" s="18" t="s">
        <v>1102</v>
      </c>
      <c r="D40" s="19" t="s">
        <v>1103</v>
      </c>
      <c r="E40" s="9">
        <f>Source!AT32</f>
        <v>70</v>
      </c>
      <c r="F40" s="21"/>
      <c r="G40" s="20"/>
      <c r="H40" s="9"/>
      <c r="I40" s="9"/>
      <c r="J40" s="21">
        <f>SUM(R37:R39)</f>
        <v>818.52</v>
      </c>
      <c r="K40" s="21"/>
    </row>
    <row r="41" spans="1:22" ht="14.25" x14ac:dyDescent="0.2">
      <c r="A41" s="18"/>
      <c r="B41" s="18"/>
      <c r="C41" s="18" t="s">
        <v>1104</v>
      </c>
      <c r="D41" s="19" t="s">
        <v>1103</v>
      </c>
      <c r="E41" s="9">
        <f>Source!AU32</f>
        <v>10</v>
      </c>
      <c r="F41" s="21"/>
      <c r="G41" s="20"/>
      <c r="H41" s="9"/>
      <c r="I41" s="9"/>
      <c r="J41" s="21">
        <f>SUM(T37:T40)</f>
        <v>116.93</v>
      </c>
      <c r="K41" s="21"/>
    </row>
    <row r="42" spans="1:22" ht="14.25" x14ac:dyDescent="0.2">
      <c r="A42" s="18"/>
      <c r="B42" s="18"/>
      <c r="C42" s="18" t="s">
        <v>1105</v>
      </c>
      <c r="D42" s="19" t="s">
        <v>1106</v>
      </c>
      <c r="E42" s="9">
        <f>Source!AQ32</f>
        <v>2.08</v>
      </c>
      <c r="F42" s="21"/>
      <c r="G42" s="20" t="str">
        <f>Source!DI32</f>
        <v/>
      </c>
      <c r="H42" s="9">
        <f>Source!AV32</f>
        <v>1</v>
      </c>
      <c r="I42" s="9"/>
      <c r="J42" s="21"/>
      <c r="K42" s="21">
        <f>Source!U32</f>
        <v>2.08</v>
      </c>
    </row>
    <row r="43" spans="1:22" ht="15" x14ac:dyDescent="0.25">
      <c r="A43" s="23"/>
      <c r="B43" s="23"/>
      <c r="C43" s="23"/>
      <c r="D43" s="23"/>
      <c r="E43" s="23"/>
      <c r="F43" s="23"/>
      <c r="G43" s="23"/>
      <c r="H43" s="23"/>
      <c r="I43" s="44">
        <f>J38+J39+J40+J41</f>
        <v>2104.9499999999998</v>
      </c>
      <c r="J43" s="44"/>
      <c r="K43" s="24">
        <f>IF(Source!I32&lt;&gt;0, ROUND(I43/Source!I32, 2), 0)</f>
        <v>2104.9499999999998</v>
      </c>
      <c r="P43" s="22">
        <f>I43</f>
        <v>2104.9499999999998</v>
      </c>
    </row>
    <row r="44" spans="1:22" ht="71.25" x14ac:dyDescent="0.2">
      <c r="A44" s="18">
        <v>2</v>
      </c>
      <c r="B44" s="18" t="str">
        <f>Source!F34</f>
        <v>1.23-2103-41-1/1</v>
      </c>
      <c r="C44" s="18" t="str">
        <f>Source!G34</f>
        <v>Техническое обслуживание регулирующего клапана / Вентиль запорный муфтовый 15ч8р2 d=15 мм  , Трехходовой кран 14м1, Ру=1,6Мпа d=15 мм ТУ 26-07-1061-73</v>
      </c>
      <c r="D44" s="19" t="str">
        <f>Source!H34</f>
        <v>шт.</v>
      </c>
      <c r="E44" s="9">
        <f>Source!I34</f>
        <v>2</v>
      </c>
      <c r="F44" s="21"/>
      <c r="G44" s="20"/>
      <c r="H44" s="9"/>
      <c r="I44" s="9"/>
      <c r="J44" s="21"/>
      <c r="K44" s="21"/>
      <c r="Q44">
        <f>ROUND((Source!BZ34/100)*ROUND((Source!AF34*Source!AV34)*Source!I34, 2), 2)</f>
        <v>291.2</v>
      </c>
      <c r="R44">
        <f>Source!X34</f>
        <v>291.2</v>
      </c>
      <c r="S44">
        <f>ROUND((Source!CA34/100)*ROUND((Source!AF34*Source!AV34)*Source!I34, 2), 2)</f>
        <v>41.6</v>
      </c>
      <c r="T44">
        <f>Source!Y34</f>
        <v>41.6</v>
      </c>
      <c r="U44">
        <f>ROUND((175/100)*ROUND((Source!AE34*Source!AV34)*Source!I34, 2), 2)</f>
        <v>173.5</v>
      </c>
      <c r="V44">
        <f>ROUND((108/100)*ROUND(Source!CS34*Source!I34, 2), 2)</f>
        <v>107.07</v>
      </c>
    </row>
    <row r="45" spans="1:22" ht="14.25" x14ac:dyDescent="0.2">
      <c r="A45" s="18"/>
      <c r="B45" s="18"/>
      <c r="C45" s="18" t="s">
        <v>1100</v>
      </c>
      <c r="D45" s="19"/>
      <c r="E45" s="9"/>
      <c r="F45" s="21">
        <f>Source!AO34</f>
        <v>208</v>
      </c>
      <c r="G45" s="20" t="str">
        <f>Source!DG34</f>
        <v/>
      </c>
      <c r="H45" s="9">
        <f>Source!AV34</f>
        <v>1</v>
      </c>
      <c r="I45" s="9">
        <f>IF(Source!BA34&lt;&gt; 0, Source!BA34, 1)</f>
        <v>1</v>
      </c>
      <c r="J45" s="21">
        <f>Source!S34</f>
        <v>416</v>
      </c>
      <c r="K45" s="21"/>
    </row>
    <row r="46" spans="1:22" ht="14.25" x14ac:dyDescent="0.2">
      <c r="A46" s="18"/>
      <c r="B46" s="18"/>
      <c r="C46" s="18" t="s">
        <v>1107</v>
      </c>
      <c r="D46" s="19"/>
      <c r="E46" s="9"/>
      <c r="F46" s="21">
        <f>Source!AM34</f>
        <v>78.180000000000007</v>
      </c>
      <c r="G46" s="20" t="str">
        <f>Source!DE34</f>
        <v/>
      </c>
      <c r="H46" s="9">
        <f>Source!AV34</f>
        <v>1</v>
      </c>
      <c r="I46" s="9">
        <f>IF(Source!BB34&lt;&gt; 0, Source!BB34, 1)</f>
        <v>1</v>
      </c>
      <c r="J46" s="21">
        <f>Source!Q34</f>
        <v>156.36000000000001</v>
      </c>
      <c r="K46" s="21"/>
    </row>
    <row r="47" spans="1:22" ht="14.25" x14ac:dyDescent="0.2">
      <c r="A47" s="18"/>
      <c r="B47" s="18"/>
      <c r="C47" s="18" t="s">
        <v>1108</v>
      </c>
      <c r="D47" s="19"/>
      <c r="E47" s="9"/>
      <c r="F47" s="21">
        <f>Source!AN34</f>
        <v>49.57</v>
      </c>
      <c r="G47" s="20" t="str">
        <f>Source!DF34</f>
        <v/>
      </c>
      <c r="H47" s="9">
        <f>Source!AV34</f>
        <v>1</v>
      </c>
      <c r="I47" s="9">
        <f>IF(Source!BS34&lt;&gt; 0, Source!BS34, 1)</f>
        <v>1</v>
      </c>
      <c r="J47" s="25">
        <f>Source!R34</f>
        <v>99.14</v>
      </c>
      <c r="K47" s="21"/>
    </row>
    <row r="48" spans="1:22" ht="14.25" x14ac:dyDescent="0.2">
      <c r="A48" s="18"/>
      <c r="B48" s="18"/>
      <c r="C48" s="18" t="s">
        <v>1102</v>
      </c>
      <c r="D48" s="19" t="s">
        <v>1103</v>
      </c>
      <c r="E48" s="9">
        <f>Source!AT34</f>
        <v>70</v>
      </c>
      <c r="F48" s="21"/>
      <c r="G48" s="20"/>
      <c r="H48" s="9"/>
      <c r="I48" s="9"/>
      <c r="J48" s="21">
        <f>SUM(R44:R47)</f>
        <v>291.2</v>
      </c>
      <c r="K48" s="21"/>
    </row>
    <row r="49" spans="1:22" ht="14.25" x14ac:dyDescent="0.2">
      <c r="A49" s="18"/>
      <c r="B49" s="18"/>
      <c r="C49" s="18" t="s">
        <v>1104</v>
      </c>
      <c r="D49" s="19" t="s">
        <v>1103</v>
      </c>
      <c r="E49" s="9">
        <f>Source!AU34</f>
        <v>10</v>
      </c>
      <c r="F49" s="21"/>
      <c r="G49" s="20"/>
      <c r="H49" s="9"/>
      <c r="I49" s="9"/>
      <c r="J49" s="21">
        <f>SUM(T44:T48)</f>
        <v>41.6</v>
      </c>
      <c r="K49" s="21"/>
    </row>
    <row r="50" spans="1:22" ht="14.25" x14ac:dyDescent="0.2">
      <c r="A50" s="18"/>
      <c r="B50" s="18"/>
      <c r="C50" s="18" t="s">
        <v>1109</v>
      </c>
      <c r="D50" s="19" t="s">
        <v>1103</v>
      </c>
      <c r="E50" s="9">
        <f>108</f>
        <v>108</v>
      </c>
      <c r="F50" s="21"/>
      <c r="G50" s="20"/>
      <c r="H50" s="9"/>
      <c r="I50" s="9"/>
      <c r="J50" s="21">
        <f>SUM(V44:V49)</f>
        <v>107.07</v>
      </c>
      <c r="K50" s="21"/>
    </row>
    <row r="51" spans="1:22" ht="14.25" x14ac:dyDescent="0.2">
      <c r="A51" s="18"/>
      <c r="B51" s="18"/>
      <c r="C51" s="18" t="s">
        <v>1105</v>
      </c>
      <c r="D51" s="19" t="s">
        <v>1106</v>
      </c>
      <c r="E51" s="9">
        <f>Source!AQ34</f>
        <v>0.37</v>
      </c>
      <c r="F51" s="21"/>
      <c r="G51" s="20" t="str">
        <f>Source!DI34</f>
        <v/>
      </c>
      <c r="H51" s="9">
        <f>Source!AV34</f>
        <v>1</v>
      </c>
      <c r="I51" s="9"/>
      <c r="J51" s="21"/>
      <c r="K51" s="21">
        <f>Source!U34</f>
        <v>0.74</v>
      </c>
    </row>
    <row r="52" spans="1:22" ht="15" x14ac:dyDescent="0.25">
      <c r="A52" s="23"/>
      <c r="B52" s="23"/>
      <c r="C52" s="23"/>
      <c r="D52" s="23"/>
      <c r="E52" s="23"/>
      <c r="F52" s="23"/>
      <c r="G52" s="23"/>
      <c r="H52" s="23"/>
      <c r="I52" s="44">
        <f>J45+J46+J48+J49+J50</f>
        <v>1012.23</v>
      </c>
      <c r="J52" s="44"/>
      <c r="K52" s="24">
        <f>IF(Source!I34&lt;&gt;0, ROUND(I52/Source!I34, 2), 0)</f>
        <v>506.12</v>
      </c>
      <c r="P52" s="22">
        <f>I52</f>
        <v>1012.23</v>
      </c>
    </row>
    <row r="54" spans="1:22" ht="15" customHeight="1" x14ac:dyDescent="0.25">
      <c r="A54" s="46" t="str">
        <f>CONCATENATE("Итого по подразделу: ",IF(Source!G37&lt;&gt;"Новый подраздел", Source!G37, ""))</f>
        <v>Итого по подразделу: Водомерный узел</v>
      </c>
      <c r="B54" s="46"/>
      <c r="C54" s="46"/>
      <c r="D54" s="46"/>
      <c r="E54" s="46"/>
      <c r="F54" s="46"/>
      <c r="G54" s="46"/>
      <c r="H54" s="46"/>
      <c r="I54" s="45">
        <f>SUM(P36:P53)</f>
        <v>3117.18</v>
      </c>
      <c r="J54" s="45"/>
      <c r="K54" s="26"/>
    </row>
    <row r="57" spans="1:22" ht="16.5" customHeight="1" x14ac:dyDescent="0.25">
      <c r="A57" s="48" t="str">
        <f>CONCATENATE("Подраздел: ",IF(Source!G67&lt;&gt;"Новый подраздел", Source!G67, ""))</f>
        <v>Подраздел: Хозяйственно-питьевой водопровод холодной воды В1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</row>
    <row r="58" spans="1:22" ht="42.75" x14ac:dyDescent="0.2">
      <c r="A58" s="18">
        <v>3</v>
      </c>
      <c r="B58" s="18" t="str">
        <f>Source!F71</f>
        <v>1.15-2203-7-1/1</v>
      </c>
      <c r="C58" s="18" t="str">
        <f>Source!G71</f>
        <v>Техническое обслуживание крана шарового латунного никелированного диаметром до 25 мм</v>
      </c>
      <c r="D58" s="19" t="str">
        <f>Source!H71</f>
        <v>10 шт.</v>
      </c>
      <c r="E58" s="9">
        <f>Source!I71</f>
        <v>4.7</v>
      </c>
      <c r="F58" s="21"/>
      <c r="G58" s="20"/>
      <c r="H58" s="9"/>
      <c r="I58" s="9"/>
      <c r="J58" s="21"/>
      <c r="K58" s="21"/>
      <c r="Q58">
        <f>ROUND((Source!BZ71/100)*ROUND((Source!AF71*Source!AV71)*Source!I71, 2), 2)</f>
        <v>914.19</v>
      </c>
      <c r="R58">
        <f>Source!X71</f>
        <v>914.19</v>
      </c>
      <c r="S58">
        <f>ROUND((Source!CA71/100)*ROUND((Source!AF71*Source!AV71)*Source!I71, 2), 2)</f>
        <v>130.6</v>
      </c>
      <c r="T58">
        <f>Source!Y71</f>
        <v>130.6</v>
      </c>
      <c r="U58">
        <f>ROUND((175/100)*ROUND((Source!AE71*Source!AV71)*Source!I71, 2), 2)</f>
        <v>0</v>
      </c>
      <c r="V58">
        <f>ROUND((108/100)*ROUND(Source!CS71*Source!I71, 2), 2)</f>
        <v>0</v>
      </c>
    </row>
    <row r="59" spans="1:22" x14ac:dyDescent="0.2">
      <c r="C59" s="28" t="str">
        <f>"Объем: "&amp;Source!I71&amp;"=(34+"&amp;"13)/"&amp;"10"</f>
        <v>Объем: 4,7=(34+13)/10</v>
      </c>
    </row>
    <row r="60" spans="1:22" ht="14.25" x14ac:dyDescent="0.2">
      <c r="A60" s="18"/>
      <c r="B60" s="18"/>
      <c r="C60" s="18" t="s">
        <v>1100</v>
      </c>
      <c r="D60" s="19"/>
      <c r="E60" s="9"/>
      <c r="F60" s="21">
        <f>Source!AO71</f>
        <v>277.87</v>
      </c>
      <c r="G60" s="20" t="str">
        <f>Source!DG71</f>
        <v/>
      </c>
      <c r="H60" s="9">
        <f>Source!AV71</f>
        <v>1</v>
      </c>
      <c r="I60" s="9">
        <f>IF(Source!BA71&lt;&gt; 0, Source!BA71, 1)</f>
        <v>1</v>
      </c>
      <c r="J60" s="21">
        <f>Source!S71</f>
        <v>1305.99</v>
      </c>
      <c r="K60" s="21"/>
    </row>
    <row r="61" spans="1:22" ht="14.25" x14ac:dyDescent="0.2">
      <c r="A61" s="18"/>
      <c r="B61" s="18"/>
      <c r="C61" s="18" t="s">
        <v>1102</v>
      </c>
      <c r="D61" s="19" t="s">
        <v>1103</v>
      </c>
      <c r="E61" s="9">
        <f>Source!AT71</f>
        <v>70</v>
      </c>
      <c r="F61" s="21"/>
      <c r="G61" s="20"/>
      <c r="H61" s="9"/>
      <c r="I61" s="9"/>
      <c r="J61" s="21">
        <f>SUM(R58:R60)</f>
        <v>914.19</v>
      </c>
      <c r="K61" s="21"/>
    </row>
    <row r="62" spans="1:22" ht="14.25" x14ac:dyDescent="0.2">
      <c r="A62" s="18"/>
      <c r="B62" s="18"/>
      <c r="C62" s="18" t="s">
        <v>1104</v>
      </c>
      <c r="D62" s="19" t="s">
        <v>1103</v>
      </c>
      <c r="E62" s="9">
        <f>Source!AU71</f>
        <v>10</v>
      </c>
      <c r="F62" s="21"/>
      <c r="G62" s="20"/>
      <c r="H62" s="9"/>
      <c r="I62" s="9"/>
      <c r="J62" s="21">
        <f>SUM(T58:T61)</f>
        <v>130.6</v>
      </c>
      <c r="K62" s="21"/>
    </row>
    <row r="63" spans="1:22" ht="14.25" x14ac:dyDescent="0.2">
      <c r="A63" s="18"/>
      <c r="B63" s="18"/>
      <c r="C63" s="18" t="s">
        <v>1105</v>
      </c>
      <c r="D63" s="19" t="s">
        <v>1106</v>
      </c>
      <c r="E63" s="9">
        <f>Source!AQ71</f>
        <v>0.45</v>
      </c>
      <c r="F63" s="21"/>
      <c r="G63" s="20" t="str">
        <f>Source!DI71</f>
        <v/>
      </c>
      <c r="H63" s="9">
        <f>Source!AV71</f>
        <v>1</v>
      </c>
      <c r="I63" s="9"/>
      <c r="J63" s="21"/>
      <c r="K63" s="21">
        <f>Source!U71</f>
        <v>2.1150000000000002</v>
      </c>
    </row>
    <row r="64" spans="1:22" ht="15" x14ac:dyDescent="0.25">
      <c r="A64" s="23"/>
      <c r="B64" s="23"/>
      <c r="C64" s="23"/>
      <c r="D64" s="23"/>
      <c r="E64" s="23"/>
      <c r="F64" s="23"/>
      <c r="G64" s="23"/>
      <c r="H64" s="23"/>
      <c r="I64" s="44">
        <f>J60+J61+J62</f>
        <v>2350.7800000000002</v>
      </c>
      <c r="J64" s="44"/>
      <c r="K64" s="24">
        <f>IF(Source!I71&lt;&gt;0, ROUND(I64/Source!I71, 2), 0)</f>
        <v>500.17</v>
      </c>
      <c r="P64" s="22">
        <f>I64</f>
        <v>2350.7800000000002</v>
      </c>
    </row>
    <row r="65" spans="1:22" ht="42.75" x14ac:dyDescent="0.2">
      <c r="A65" s="18">
        <v>4</v>
      </c>
      <c r="B65" s="18" t="str">
        <f>Source!F72</f>
        <v>1.15-2203-7-2/1</v>
      </c>
      <c r="C65" s="18" t="str">
        <f>Source!G72</f>
        <v>Техническое обслуживание крана шарового латунного никелированного диаметром до 50 мм</v>
      </c>
      <c r="D65" s="19" t="str">
        <f>Source!H72</f>
        <v>10 шт.</v>
      </c>
      <c r="E65" s="9">
        <f>Source!I72</f>
        <v>0.3</v>
      </c>
      <c r="F65" s="21"/>
      <c r="G65" s="20"/>
      <c r="H65" s="9"/>
      <c r="I65" s="9"/>
      <c r="J65" s="21"/>
      <c r="K65" s="21"/>
      <c r="Q65">
        <f>ROUND((Source!BZ72/100)*ROUND((Source!AF72*Source!AV72)*Source!I72, 2), 2)</f>
        <v>79.099999999999994</v>
      </c>
      <c r="R65">
        <f>Source!X72</f>
        <v>79.099999999999994</v>
      </c>
      <c r="S65">
        <f>ROUND((Source!CA72/100)*ROUND((Source!AF72*Source!AV72)*Source!I72, 2), 2)</f>
        <v>11.3</v>
      </c>
      <c r="T65">
        <f>Source!Y72</f>
        <v>11.3</v>
      </c>
      <c r="U65">
        <f>ROUND((175/100)*ROUND((Source!AE72*Source!AV72)*Source!I72, 2), 2)</f>
        <v>0</v>
      </c>
      <c r="V65">
        <f>ROUND((108/100)*ROUND(Source!CS72*Source!I72, 2), 2)</f>
        <v>0</v>
      </c>
    </row>
    <row r="66" spans="1:22" x14ac:dyDescent="0.2">
      <c r="C66" s="28" t="str">
        <f>"Объем: "&amp;Source!I72&amp;"=3/"&amp;"10"</f>
        <v>Объем: 0,3=3/10</v>
      </c>
    </row>
    <row r="67" spans="1:22" ht="14.25" x14ac:dyDescent="0.2">
      <c r="A67" s="18"/>
      <c r="B67" s="18"/>
      <c r="C67" s="18" t="s">
        <v>1100</v>
      </c>
      <c r="D67" s="19"/>
      <c r="E67" s="9"/>
      <c r="F67" s="21">
        <f>Source!AO72</f>
        <v>376.67</v>
      </c>
      <c r="G67" s="20" t="str">
        <f>Source!DG72</f>
        <v/>
      </c>
      <c r="H67" s="9">
        <f>Source!AV72</f>
        <v>1</v>
      </c>
      <c r="I67" s="9">
        <f>IF(Source!BA72&lt;&gt; 0, Source!BA72, 1)</f>
        <v>1</v>
      </c>
      <c r="J67" s="21">
        <f>Source!S72</f>
        <v>113</v>
      </c>
      <c r="K67" s="21"/>
    </row>
    <row r="68" spans="1:22" ht="14.25" x14ac:dyDescent="0.2">
      <c r="A68" s="18"/>
      <c r="B68" s="18"/>
      <c r="C68" s="18" t="s">
        <v>1102</v>
      </c>
      <c r="D68" s="19" t="s">
        <v>1103</v>
      </c>
      <c r="E68" s="9">
        <f>Source!AT72</f>
        <v>70</v>
      </c>
      <c r="F68" s="21"/>
      <c r="G68" s="20"/>
      <c r="H68" s="9"/>
      <c r="I68" s="9"/>
      <c r="J68" s="21">
        <f>SUM(R65:R67)</f>
        <v>79.099999999999994</v>
      </c>
      <c r="K68" s="21"/>
    </row>
    <row r="69" spans="1:22" ht="14.25" x14ac:dyDescent="0.2">
      <c r="A69" s="18"/>
      <c r="B69" s="18"/>
      <c r="C69" s="18" t="s">
        <v>1104</v>
      </c>
      <c r="D69" s="19" t="s">
        <v>1103</v>
      </c>
      <c r="E69" s="9">
        <f>Source!AU72</f>
        <v>10</v>
      </c>
      <c r="F69" s="21"/>
      <c r="G69" s="20"/>
      <c r="H69" s="9"/>
      <c r="I69" s="9"/>
      <c r="J69" s="21">
        <f>SUM(T65:T68)</f>
        <v>11.3</v>
      </c>
      <c r="K69" s="21"/>
    </row>
    <row r="70" spans="1:22" ht="14.25" x14ac:dyDescent="0.2">
      <c r="A70" s="18"/>
      <c r="B70" s="18"/>
      <c r="C70" s="18" t="s">
        <v>1105</v>
      </c>
      <c r="D70" s="19" t="s">
        <v>1106</v>
      </c>
      <c r="E70" s="9">
        <f>Source!AQ72</f>
        <v>0.61</v>
      </c>
      <c r="F70" s="21"/>
      <c r="G70" s="20" t="str">
        <f>Source!DI72</f>
        <v/>
      </c>
      <c r="H70" s="9">
        <f>Source!AV72</f>
        <v>1</v>
      </c>
      <c r="I70" s="9"/>
      <c r="J70" s="21"/>
      <c r="K70" s="21">
        <f>Source!U72</f>
        <v>0.183</v>
      </c>
    </row>
    <row r="71" spans="1:22" ht="15" x14ac:dyDescent="0.25">
      <c r="A71" s="23"/>
      <c r="B71" s="23"/>
      <c r="C71" s="23"/>
      <c r="D71" s="23"/>
      <c r="E71" s="23"/>
      <c r="F71" s="23"/>
      <c r="G71" s="23"/>
      <c r="H71" s="23"/>
      <c r="I71" s="44">
        <f>J67+J68+J69</f>
        <v>203.4</v>
      </c>
      <c r="J71" s="44"/>
      <c r="K71" s="24">
        <f>IF(Source!I72&lt;&gt;0, ROUND(I71/Source!I72, 2), 0)</f>
        <v>678</v>
      </c>
      <c r="P71" s="22">
        <f>I71</f>
        <v>203.4</v>
      </c>
    </row>
    <row r="72" spans="1:22" ht="71.25" x14ac:dyDescent="0.2">
      <c r="A72" s="18">
        <v>5</v>
      </c>
      <c r="B72" s="18" t="str">
        <f>Source!F73</f>
        <v>1.23-2103-41-1/1</v>
      </c>
      <c r="C72" s="18" t="str">
        <f>Source!G73</f>
        <v>Техническое обслуживание регулирующего клапана / Смеситель локтевой однорычажный для умывальника ,  Смеситель настенный для душевого поддона</v>
      </c>
      <c r="D72" s="19" t="str">
        <f>Source!H73</f>
        <v>шт.</v>
      </c>
      <c r="E72" s="9">
        <f>Source!I73</f>
        <v>24</v>
      </c>
      <c r="F72" s="21"/>
      <c r="G72" s="20"/>
      <c r="H72" s="9"/>
      <c r="I72" s="9"/>
      <c r="J72" s="21"/>
      <c r="K72" s="21"/>
      <c r="Q72">
        <f>ROUND((Source!BZ73/100)*ROUND((Source!AF73*Source!AV73)*Source!I73, 2), 2)</f>
        <v>3494.4</v>
      </c>
      <c r="R72">
        <f>Source!X73</f>
        <v>3494.4</v>
      </c>
      <c r="S72">
        <f>ROUND((Source!CA73/100)*ROUND((Source!AF73*Source!AV73)*Source!I73, 2), 2)</f>
        <v>499.2</v>
      </c>
      <c r="T72">
        <f>Source!Y73</f>
        <v>499.2</v>
      </c>
      <c r="U72">
        <f>ROUND((175/100)*ROUND((Source!AE73*Source!AV73)*Source!I73, 2), 2)</f>
        <v>2081.94</v>
      </c>
      <c r="V72">
        <f>ROUND((108/100)*ROUND(Source!CS73*Source!I73, 2), 2)</f>
        <v>1284.8499999999999</v>
      </c>
    </row>
    <row r="73" spans="1:22" x14ac:dyDescent="0.2">
      <c r="C73" s="28" t="str">
        <f>"Объем: "&amp;Source!I73&amp;"=14+"&amp;"10"</f>
        <v>Объем: 24=14+10</v>
      </c>
    </row>
    <row r="74" spans="1:22" ht="14.25" x14ac:dyDescent="0.2">
      <c r="A74" s="18"/>
      <c r="B74" s="18"/>
      <c r="C74" s="18" t="s">
        <v>1100</v>
      </c>
      <c r="D74" s="19"/>
      <c r="E74" s="9"/>
      <c r="F74" s="21">
        <f>Source!AO73</f>
        <v>208</v>
      </c>
      <c r="G74" s="20" t="str">
        <f>Source!DG73</f>
        <v/>
      </c>
      <c r="H74" s="9">
        <f>Source!AV73</f>
        <v>1</v>
      </c>
      <c r="I74" s="9">
        <f>IF(Source!BA73&lt;&gt; 0, Source!BA73, 1)</f>
        <v>1</v>
      </c>
      <c r="J74" s="21">
        <f>Source!S73</f>
        <v>4992</v>
      </c>
      <c r="K74" s="21"/>
    </row>
    <row r="75" spans="1:22" ht="14.25" x14ac:dyDescent="0.2">
      <c r="A75" s="18"/>
      <c r="B75" s="18"/>
      <c r="C75" s="18" t="s">
        <v>1107</v>
      </c>
      <c r="D75" s="19"/>
      <c r="E75" s="9"/>
      <c r="F75" s="21">
        <f>Source!AM73</f>
        <v>78.180000000000007</v>
      </c>
      <c r="G75" s="20" t="str">
        <f>Source!DE73</f>
        <v/>
      </c>
      <c r="H75" s="9">
        <f>Source!AV73</f>
        <v>1</v>
      </c>
      <c r="I75" s="9">
        <f>IF(Source!BB73&lt;&gt; 0, Source!BB73, 1)</f>
        <v>1</v>
      </c>
      <c r="J75" s="21">
        <f>Source!Q73</f>
        <v>1876.32</v>
      </c>
      <c r="K75" s="21"/>
    </row>
    <row r="76" spans="1:22" ht="14.25" x14ac:dyDescent="0.2">
      <c r="A76" s="18"/>
      <c r="B76" s="18"/>
      <c r="C76" s="18" t="s">
        <v>1108</v>
      </c>
      <c r="D76" s="19"/>
      <c r="E76" s="9"/>
      <c r="F76" s="21">
        <f>Source!AN73</f>
        <v>49.57</v>
      </c>
      <c r="G76" s="20" t="str">
        <f>Source!DF73</f>
        <v/>
      </c>
      <c r="H76" s="9">
        <f>Source!AV73</f>
        <v>1</v>
      </c>
      <c r="I76" s="9">
        <f>IF(Source!BS73&lt;&gt; 0, Source!BS73, 1)</f>
        <v>1</v>
      </c>
      <c r="J76" s="25">
        <f>Source!R73</f>
        <v>1189.68</v>
      </c>
      <c r="K76" s="21"/>
    </row>
    <row r="77" spans="1:22" ht="14.25" x14ac:dyDescent="0.2">
      <c r="A77" s="18"/>
      <c r="B77" s="18"/>
      <c r="C77" s="18" t="s">
        <v>1102</v>
      </c>
      <c r="D77" s="19" t="s">
        <v>1103</v>
      </c>
      <c r="E77" s="9">
        <f>Source!AT73</f>
        <v>70</v>
      </c>
      <c r="F77" s="21"/>
      <c r="G77" s="20"/>
      <c r="H77" s="9"/>
      <c r="I77" s="9"/>
      <c r="J77" s="21">
        <f>SUM(R72:R76)</f>
        <v>3494.4</v>
      </c>
      <c r="K77" s="21"/>
    </row>
    <row r="78" spans="1:22" ht="14.25" x14ac:dyDescent="0.2">
      <c r="A78" s="18"/>
      <c r="B78" s="18"/>
      <c r="C78" s="18" t="s">
        <v>1104</v>
      </c>
      <c r="D78" s="19" t="s">
        <v>1103</v>
      </c>
      <c r="E78" s="9">
        <f>Source!AU73</f>
        <v>10</v>
      </c>
      <c r="F78" s="21"/>
      <c r="G78" s="20"/>
      <c r="H78" s="9"/>
      <c r="I78" s="9"/>
      <c r="J78" s="21">
        <f>SUM(T72:T77)</f>
        <v>499.2</v>
      </c>
      <c r="K78" s="21"/>
    </row>
    <row r="79" spans="1:22" ht="14.25" x14ac:dyDescent="0.2">
      <c r="A79" s="18"/>
      <c r="B79" s="18"/>
      <c r="C79" s="18" t="s">
        <v>1109</v>
      </c>
      <c r="D79" s="19" t="s">
        <v>1103</v>
      </c>
      <c r="E79" s="9">
        <f>108</f>
        <v>108</v>
      </c>
      <c r="F79" s="21"/>
      <c r="G79" s="20"/>
      <c r="H79" s="9"/>
      <c r="I79" s="9"/>
      <c r="J79" s="21">
        <f>SUM(V72:V78)</f>
        <v>1284.8499999999999</v>
      </c>
      <c r="K79" s="21"/>
    </row>
    <row r="80" spans="1:22" ht="14.25" x14ac:dyDescent="0.2">
      <c r="A80" s="18"/>
      <c r="B80" s="18"/>
      <c r="C80" s="18" t="s">
        <v>1105</v>
      </c>
      <c r="D80" s="19" t="s">
        <v>1106</v>
      </c>
      <c r="E80" s="9">
        <f>Source!AQ73</f>
        <v>0.37</v>
      </c>
      <c r="F80" s="21"/>
      <c r="G80" s="20" t="str">
        <f>Source!DI73</f>
        <v/>
      </c>
      <c r="H80" s="9">
        <f>Source!AV73</f>
        <v>1</v>
      </c>
      <c r="I80" s="9"/>
      <c r="J80" s="21"/>
      <c r="K80" s="21">
        <f>Source!U73</f>
        <v>8.879999999999999</v>
      </c>
    </row>
    <row r="81" spans="1:22" ht="15" x14ac:dyDescent="0.25">
      <c r="A81" s="23"/>
      <c r="B81" s="23"/>
      <c r="C81" s="23"/>
      <c r="D81" s="23"/>
      <c r="E81" s="23"/>
      <c r="F81" s="23"/>
      <c r="G81" s="23"/>
      <c r="H81" s="23"/>
      <c r="I81" s="44">
        <f>J74+J75+J77+J78+J79</f>
        <v>12146.77</v>
      </c>
      <c r="J81" s="44"/>
      <c r="K81" s="24">
        <f>IF(Source!I73&lt;&gt;0, ROUND(I81/Source!I73, 2), 0)</f>
        <v>506.12</v>
      </c>
      <c r="P81" s="22">
        <f>I81</f>
        <v>12146.77</v>
      </c>
    </row>
    <row r="83" spans="1:22" ht="15" customHeight="1" x14ac:dyDescent="0.25">
      <c r="A83" s="46" t="str">
        <f>CONCATENATE("Итого по подразделу: ",IF(Source!G77&lt;&gt;"Новый подраздел", Source!G77, ""))</f>
        <v>Итого по подразделу: Хозяйственно-питьевой водопровод холодной воды В1</v>
      </c>
      <c r="B83" s="46"/>
      <c r="C83" s="46"/>
      <c r="D83" s="46"/>
      <c r="E83" s="46"/>
      <c r="F83" s="46"/>
      <c r="G83" s="46"/>
      <c r="H83" s="46"/>
      <c r="I83" s="45">
        <f>SUM(P57:P82)</f>
        <v>14700.95</v>
      </c>
      <c r="J83" s="45"/>
      <c r="K83" s="26"/>
    </row>
    <row r="86" spans="1:22" ht="16.5" customHeight="1" x14ac:dyDescent="0.25">
      <c r="A86" s="48" t="str">
        <f>CONCATENATE("Подраздел: ",IF(Source!G107&lt;&gt;"Новый подраздел", Source!G107, ""))</f>
        <v>Подраздел: Горячий и циркуляционный Водопровод Т3, Т4</v>
      </c>
      <c r="B86" s="48"/>
      <c r="C86" s="48"/>
      <c r="D86" s="48"/>
      <c r="E86" s="48"/>
      <c r="F86" s="48"/>
      <c r="G86" s="48"/>
      <c r="H86" s="48"/>
      <c r="I86" s="48"/>
      <c r="J86" s="48"/>
      <c r="K86" s="48"/>
    </row>
    <row r="87" spans="1:22" ht="42.75" x14ac:dyDescent="0.2">
      <c r="A87" s="18">
        <v>6</v>
      </c>
      <c r="B87" s="18" t="str">
        <f>Source!F111</f>
        <v>1.15-2203-7-1/1</v>
      </c>
      <c r="C87" s="18" t="str">
        <f>Source!G111</f>
        <v>Техническое обслуживание крана шарового латунного никелированного диаметром до 25 мм</v>
      </c>
      <c r="D87" s="19" t="str">
        <f>Source!H111</f>
        <v>10 шт.</v>
      </c>
      <c r="E87" s="9">
        <f>Source!I111</f>
        <v>3.2</v>
      </c>
      <c r="F87" s="21"/>
      <c r="G87" s="20"/>
      <c r="H87" s="9"/>
      <c r="I87" s="9"/>
      <c r="J87" s="21"/>
      <c r="K87" s="21"/>
      <c r="Q87">
        <f>ROUND((Source!BZ111/100)*ROUND((Source!AF111*Source!AV111)*Source!I111, 2), 2)</f>
        <v>622.42999999999995</v>
      </c>
      <c r="R87">
        <f>Source!X111</f>
        <v>622.42999999999995</v>
      </c>
      <c r="S87">
        <f>ROUND((Source!CA111/100)*ROUND((Source!AF111*Source!AV111)*Source!I111, 2), 2)</f>
        <v>88.92</v>
      </c>
      <c r="T87">
        <f>Source!Y111</f>
        <v>88.92</v>
      </c>
      <c r="U87">
        <f>ROUND((175/100)*ROUND((Source!AE111*Source!AV111)*Source!I111, 2), 2)</f>
        <v>0</v>
      </c>
      <c r="V87">
        <f>ROUND((108/100)*ROUND(Source!CS111*Source!I111, 2), 2)</f>
        <v>0</v>
      </c>
    </row>
    <row r="88" spans="1:22" x14ac:dyDescent="0.2">
      <c r="C88" s="28" t="str">
        <f>"Объем: "&amp;Source!I111&amp;"=(32)/"&amp;"10"</f>
        <v>Объем: 3,2=(32)/10</v>
      </c>
    </row>
    <row r="89" spans="1:22" ht="14.25" x14ac:dyDescent="0.2">
      <c r="A89" s="18"/>
      <c r="B89" s="18"/>
      <c r="C89" s="18" t="s">
        <v>1100</v>
      </c>
      <c r="D89" s="19"/>
      <c r="E89" s="9"/>
      <c r="F89" s="21">
        <f>Source!AO111</f>
        <v>277.87</v>
      </c>
      <c r="G89" s="20" t="str">
        <f>Source!DG111</f>
        <v/>
      </c>
      <c r="H89" s="9">
        <f>Source!AV111</f>
        <v>1</v>
      </c>
      <c r="I89" s="9">
        <f>IF(Source!BA111&lt;&gt; 0, Source!BA111, 1)</f>
        <v>1</v>
      </c>
      <c r="J89" s="21">
        <f>Source!S111</f>
        <v>889.18</v>
      </c>
      <c r="K89" s="21"/>
    </row>
    <row r="90" spans="1:22" ht="14.25" x14ac:dyDescent="0.2">
      <c r="A90" s="18"/>
      <c r="B90" s="18"/>
      <c r="C90" s="18" t="s">
        <v>1102</v>
      </c>
      <c r="D90" s="19" t="s">
        <v>1103</v>
      </c>
      <c r="E90" s="9">
        <f>Source!AT111</f>
        <v>70</v>
      </c>
      <c r="F90" s="21"/>
      <c r="G90" s="20"/>
      <c r="H90" s="9"/>
      <c r="I90" s="9"/>
      <c r="J90" s="21">
        <f>SUM(R87:R89)</f>
        <v>622.42999999999995</v>
      </c>
      <c r="K90" s="21"/>
    </row>
    <row r="91" spans="1:22" ht="14.25" x14ac:dyDescent="0.2">
      <c r="A91" s="18"/>
      <c r="B91" s="18"/>
      <c r="C91" s="18" t="s">
        <v>1104</v>
      </c>
      <c r="D91" s="19" t="s">
        <v>1103</v>
      </c>
      <c r="E91" s="9">
        <f>Source!AU111</f>
        <v>10</v>
      </c>
      <c r="F91" s="21"/>
      <c r="G91" s="20"/>
      <c r="H91" s="9"/>
      <c r="I91" s="9"/>
      <c r="J91" s="21">
        <f>SUM(T87:T90)</f>
        <v>88.92</v>
      </c>
      <c r="K91" s="21"/>
    </row>
    <row r="92" spans="1:22" ht="14.25" x14ac:dyDescent="0.2">
      <c r="A92" s="18"/>
      <c r="B92" s="18"/>
      <c r="C92" s="18" t="s">
        <v>1105</v>
      </c>
      <c r="D92" s="19" t="s">
        <v>1106</v>
      </c>
      <c r="E92" s="9">
        <f>Source!AQ111</f>
        <v>0.45</v>
      </c>
      <c r="F92" s="21"/>
      <c r="G92" s="20" t="str">
        <f>Source!DI111</f>
        <v/>
      </c>
      <c r="H92" s="9">
        <f>Source!AV111</f>
        <v>1</v>
      </c>
      <c r="I92" s="9"/>
      <c r="J92" s="21"/>
      <c r="K92" s="21">
        <f>Source!U111</f>
        <v>1.4400000000000002</v>
      </c>
    </row>
    <row r="93" spans="1:22" ht="15" x14ac:dyDescent="0.25">
      <c r="A93" s="23"/>
      <c r="B93" s="23"/>
      <c r="C93" s="23"/>
      <c r="D93" s="23"/>
      <c r="E93" s="23"/>
      <c r="F93" s="23"/>
      <c r="G93" s="23"/>
      <c r="H93" s="23"/>
      <c r="I93" s="44">
        <f>J89+J90+J91</f>
        <v>1600.53</v>
      </c>
      <c r="J93" s="44"/>
      <c r="K93" s="24">
        <f>IF(Source!I111&lt;&gt;0, ROUND(I93/Source!I111, 2), 0)</f>
        <v>500.17</v>
      </c>
      <c r="P93" s="22">
        <f>I93</f>
        <v>1600.53</v>
      </c>
    </row>
    <row r="95" spans="1:22" ht="15" customHeight="1" x14ac:dyDescent="0.25">
      <c r="A95" s="46" t="str">
        <f>CONCATENATE("Итого по подразделу: ",IF(Source!G115&lt;&gt;"Новый подраздел", Source!G115, ""))</f>
        <v>Итого по подразделу: Горячий и циркуляционный Водопровод Т3, Т4</v>
      </c>
      <c r="B95" s="46"/>
      <c r="C95" s="46"/>
      <c r="D95" s="46"/>
      <c r="E95" s="46"/>
      <c r="F95" s="46"/>
      <c r="G95" s="46"/>
      <c r="H95" s="46"/>
      <c r="I95" s="45">
        <f>SUM(P86:P94)</f>
        <v>1600.53</v>
      </c>
      <c r="J95" s="45"/>
      <c r="K95" s="26"/>
    </row>
    <row r="98" spans="1:22" ht="16.5" customHeight="1" x14ac:dyDescent="0.25">
      <c r="A98" s="48" t="str">
        <f>CONCATENATE("Подраздел: ",IF(Source!G145&lt;&gt;"Новый подраздел", Source!G145, ""))</f>
        <v>Подраздел: Хозяйственно-бытовая канализация К1</v>
      </c>
      <c r="B98" s="48"/>
      <c r="C98" s="48"/>
      <c r="D98" s="48"/>
      <c r="E98" s="48"/>
      <c r="F98" s="48"/>
      <c r="G98" s="48"/>
      <c r="H98" s="48"/>
      <c r="I98" s="48"/>
      <c r="J98" s="48"/>
      <c r="K98" s="48"/>
    </row>
    <row r="100" spans="1:22" ht="15" customHeight="1" x14ac:dyDescent="0.25">
      <c r="A100" s="46" t="str">
        <f>CONCATENATE("Итого по подразделу: ",IF(Source!G157&lt;&gt;"Новый подраздел", Source!G157, ""))</f>
        <v>Итого по подразделу: Хозяйственно-бытовая канализация К1</v>
      </c>
      <c r="B100" s="46"/>
      <c r="C100" s="46"/>
      <c r="D100" s="46"/>
      <c r="E100" s="46"/>
      <c r="F100" s="46"/>
      <c r="G100" s="46"/>
      <c r="H100" s="46"/>
      <c r="I100" s="45">
        <f>SUM(P98:P99)</f>
        <v>0</v>
      </c>
      <c r="J100" s="45"/>
      <c r="K100" s="26"/>
    </row>
    <row r="103" spans="1:22" ht="16.5" customHeight="1" x14ac:dyDescent="0.25">
      <c r="A103" s="48" t="str">
        <f>CONCATENATE("Подраздел: ",IF(Source!G187&lt;&gt;"Новый подраздел", Source!G187, ""))</f>
        <v>Подраздел: Внутренний водосток</v>
      </c>
      <c r="B103" s="48"/>
      <c r="C103" s="48"/>
      <c r="D103" s="48"/>
      <c r="E103" s="48"/>
      <c r="F103" s="48"/>
      <c r="G103" s="48"/>
      <c r="H103" s="48"/>
      <c r="I103" s="48"/>
      <c r="J103" s="48"/>
      <c r="K103" s="48"/>
    </row>
    <row r="104" spans="1:22" ht="42.75" x14ac:dyDescent="0.2">
      <c r="A104" s="18">
        <v>7</v>
      </c>
      <c r="B104" s="18" t="str">
        <f>Source!F196</f>
        <v>1.23-2103-15-1/1</v>
      </c>
      <c r="C104" s="18" t="str">
        <f>Source!G196</f>
        <v>Техническое обслуживание сигнализатора уровня / Датчик контроля протечек SW007</v>
      </c>
      <c r="D104" s="19" t="str">
        <f>Source!H196</f>
        <v>шт.</v>
      </c>
      <c r="E104" s="9">
        <f>Source!I196</f>
        <v>9</v>
      </c>
      <c r="F104" s="21"/>
      <c r="G104" s="20"/>
      <c r="H104" s="9"/>
      <c r="I104" s="9"/>
      <c r="J104" s="21"/>
      <c r="K104" s="21"/>
      <c r="Q104">
        <f>ROUND((Source!BZ196/100)*ROUND((Source!AF196*Source!AV196)*Source!I196, 2), 2)</f>
        <v>9615.19</v>
      </c>
      <c r="R104">
        <f>Source!X196</f>
        <v>9615.19</v>
      </c>
      <c r="S104">
        <f>ROUND((Source!CA196/100)*ROUND((Source!AF196*Source!AV196)*Source!I196, 2), 2)</f>
        <v>1373.6</v>
      </c>
      <c r="T104">
        <f>Source!Y196</f>
        <v>1373.6</v>
      </c>
      <c r="U104">
        <f>ROUND((175/100)*ROUND((Source!AE196*Source!AV196)*Source!I196, 2), 2)</f>
        <v>0</v>
      </c>
      <c r="V104">
        <f>ROUND((108/100)*ROUND(Source!CS196*Source!I196, 2), 2)</f>
        <v>0</v>
      </c>
    </row>
    <row r="105" spans="1:22" ht="14.25" x14ac:dyDescent="0.2">
      <c r="A105" s="18"/>
      <c r="B105" s="18"/>
      <c r="C105" s="18" t="s">
        <v>1100</v>
      </c>
      <c r="D105" s="19"/>
      <c r="E105" s="9"/>
      <c r="F105" s="21">
        <f>Source!AO196</f>
        <v>763.11</v>
      </c>
      <c r="G105" s="20" t="str">
        <f>Source!DG196</f>
        <v>)*2</v>
      </c>
      <c r="H105" s="9">
        <f>Source!AV196</f>
        <v>1</v>
      </c>
      <c r="I105" s="9">
        <f>IF(Source!BA196&lt;&gt; 0, Source!BA196, 1)</f>
        <v>1</v>
      </c>
      <c r="J105" s="21">
        <f>Source!S196</f>
        <v>13735.98</v>
      </c>
      <c r="K105" s="21"/>
    </row>
    <row r="106" spans="1:22" ht="14.25" x14ac:dyDescent="0.2">
      <c r="A106" s="18"/>
      <c r="B106" s="18"/>
      <c r="C106" s="18" t="s">
        <v>1101</v>
      </c>
      <c r="D106" s="19"/>
      <c r="E106" s="9"/>
      <c r="F106" s="21">
        <f>Source!AL196</f>
        <v>22.54</v>
      </c>
      <c r="G106" s="20" t="str">
        <f>Source!DD196</f>
        <v>)*2</v>
      </c>
      <c r="H106" s="9">
        <f>Source!AW196</f>
        <v>1</v>
      </c>
      <c r="I106" s="9">
        <f>IF(Source!BC196&lt;&gt; 0, Source!BC196, 1)</f>
        <v>1</v>
      </c>
      <c r="J106" s="21">
        <f>Source!P196</f>
        <v>405.72</v>
      </c>
      <c r="K106" s="21"/>
    </row>
    <row r="107" spans="1:22" ht="14.25" x14ac:dyDescent="0.2">
      <c r="A107" s="18"/>
      <c r="B107" s="18"/>
      <c r="C107" s="18" t="s">
        <v>1102</v>
      </c>
      <c r="D107" s="19" t="s">
        <v>1103</v>
      </c>
      <c r="E107" s="9">
        <f>Source!AT196</f>
        <v>70</v>
      </c>
      <c r="F107" s="21"/>
      <c r="G107" s="20"/>
      <c r="H107" s="9"/>
      <c r="I107" s="9"/>
      <c r="J107" s="21">
        <f>SUM(R104:R106)</f>
        <v>9615.19</v>
      </c>
      <c r="K107" s="21"/>
    </row>
    <row r="108" spans="1:22" ht="14.25" x14ac:dyDescent="0.2">
      <c r="A108" s="18"/>
      <c r="B108" s="18"/>
      <c r="C108" s="18" t="s">
        <v>1104</v>
      </c>
      <c r="D108" s="19" t="s">
        <v>1103</v>
      </c>
      <c r="E108" s="9">
        <f>Source!AU196</f>
        <v>10</v>
      </c>
      <c r="F108" s="21"/>
      <c r="G108" s="20"/>
      <c r="H108" s="9"/>
      <c r="I108" s="9"/>
      <c r="J108" s="21">
        <f>SUM(T104:T107)</f>
        <v>1373.6</v>
      </c>
      <c r="K108" s="21"/>
    </row>
    <row r="109" spans="1:22" ht="14.25" x14ac:dyDescent="0.2">
      <c r="A109" s="18"/>
      <c r="B109" s="18"/>
      <c r="C109" s="18" t="s">
        <v>1105</v>
      </c>
      <c r="D109" s="19" t="s">
        <v>1106</v>
      </c>
      <c r="E109" s="9">
        <f>Source!AQ196</f>
        <v>0.92</v>
      </c>
      <c r="F109" s="21"/>
      <c r="G109" s="20" t="str">
        <f>Source!DI196</f>
        <v>)*2</v>
      </c>
      <c r="H109" s="9">
        <f>Source!AV196</f>
        <v>1</v>
      </c>
      <c r="I109" s="9"/>
      <c r="J109" s="21"/>
      <c r="K109" s="21">
        <f>Source!U196</f>
        <v>16.560000000000002</v>
      </c>
    </row>
    <row r="110" spans="1:22" ht="15" x14ac:dyDescent="0.25">
      <c r="A110" s="23"/>
      <c r="B110" s="23"/>
      <c r="C110" s="23"/>
      <c r="D110" s="23"/>
      <c r="E110" s="23"/>
      <c r="F110" s="23"/>
      <c r="G110" s="23"/>
      <c r="H110" s="23"/>
      <c r="I110" s="44">
        <f>J105+J106+J107+J108</f>
        <v>25130.489999999998</v>
      </c>
      <c r="J110" s="44"/>
      <c r="K110" s="24">
        <f>IF(Source!I196&lt;&gt;0, ROUND(I110/Source!I196, 2), 0)</f>
        <v>2792.28</v>
      </c>
      <c r="P110" s="22">
        <f>I110</f>
        <v>25130.489999999998</v>
      </c>
    </row>
    <row r="111" spans="1:22" ht="28.5" x14ac:dyDescent="0.2">
      <c r="A111" s="18">
        <v>8</v>
      </c>
      <c r="B111" s="18" t="str">
        <f>Source!F197</f>
        <v>1.16-2203-1-1/1</v>
      </c>
      <c r="C111" s="18" t="str">
        <f>Source!G197</f>
        <v>Прочистка сифонов</v>
      </c>
      <c r="D111" s="19" t="str">
        <f>Source!H197</f>
        <v>100 шт.</v>
      </c>
      <c r="E111" s="9">
        <f>Source!I197</f>
        <v>0.37</v>
      </c>
      <c r="F111" s="21"/>
      <c r="G111" s="20"/>
      <c r="H111" s="9"/>
      <c r="I111" s="9"/>
      <c r="J111" s="21"/>
      <c r="K111" s="21"/>
      <c r="Q111">
        <f>ROUND((Source!BZ197/100)*ROUND((Source!AF197*Source!AV197)*Source!I197, 2), 2)</f>
        <v>3678.3</v>
      </c>
      <c r="R111">
        <f>Source!X197</f>
        <v>3678.3</v>
      </c>
      <c r="S111">
        <f>ROUND((Source!CA197/100)*ROUND((Source!AF197*Source!AV197)*Source!I197, 2), 2)</f>
        <v>525.47</v>
      </c>
      <c r="T111">
        <f>Source!Y197</f>
        <v>525.47</v>
      </c>
      <c r="U111">
        <f>ROUND((175/100)*ROUND((Source!AE197*Source!AV197)*Source!I197, 2), 2)</f>
        <v>0</v>
      </c>
      <c r="V111">
        <f>ROUND((108/100)*ROUND(Source!CS197*Source!I197, 2), 2)</f>
        <v>0</v>
      </c>
    </row>
    <row r="112" spans="1:22" x14ac:dyDescent="0.2">
      <c r="C112" s="28" t="str">
        <f>"Объем: "&amp;Source!I197&amp;"=(4+"&amp;"33)/"&amp;"100"</f>
        <v>Объем: 0,37=(4+33)/100</v>
      </c>
    </row>
    <row r="113" spans="1:22" ht="14.25" x14ac:dyDescent="0.2">
      <c r="A113" s="18"/>
      <c r="B113" s="18"/>
      <c r="C113" s="18" t="s">
        <v>1100</v>
      </c>
      <c r="D113" s="19"/>
      <c r="E113" s="9"/>
      <c r="F113" s="21">
        <f>Source!AO197</f>
        <v>14201.94</v>
      </c>
      <c r="G113" s="20" t="str">
        <f>Source!DG197</f>
        <v/>
      </c>
      <c r="H113" s="9">
        <f>Source!AV197</f>
        <v>1</v>
      </c>
      <c r="I113" s="9">
        <f>IF(Source!BA197&lt;&gt; 0, Source!BA197, 1)</f>
        <v>1</v>
      </c>
      <c r="J113" s="21">
        <f>Source!S197</f>
        <v>5254.72</v>
      </c>
      <c r="K113" s="21"/>
    </row>
    <row r="114" spans="1:22" ht="14.25" x14ac:dyDescent="0.2">
      <c r="A114" s="18"/>
      <c r="B114" s="18"/>
      <c r="C114" s="18" t="s">
        <v>1101</v>
      </c>
      <c r="D114" s="19"/>
      <c r="E114" s="9"/>
      <c r="F114" s="21">
        <f>Source!AL197</f>
        <v>243.57</v>
      </c>
      <c r="G114" s="20" t="str">
        <f>Source!DD197</f>
        <v/>
      </c>
      <c r="H114" s="9">
        <f>Source!AW197</f>
        <v>1</v>
      </c>
      <c r="I114" s="9">
        <f>IF(Source!BC197&lt;&gt; 0, Source!BC197, 1)</f>
        <v>1</v>
      </c>
      <c r="J114" s="21">
        <f>Source!P197</f>
        <v>90.12</v>
      </c>
      <c r="K114" s="21"/>
    </row>
    <row r="115" spans="1:22" ht="14.25" x14ac:dyDescent="0.2">
      <c r="A115" s="18"/>
      <c r="B115" s="18"/>
      <c r="C115" s="18" t="s">
        <v>1102</v>
      </c>
      <c r="D115" s="19" t="s">
        <v>1103</v>
      </c>
      <c r="E115" s="9">
        <f>Source!AT197</f>
        <v>70</v>
      </c>
      <c r="F115" s="21"/>
      <c r="G115" s="20"/>
      <c r="H115" s="9"/>
      <c r="I115" s="9"/>
      <c r="J115" s="21">
        <f>SUM(R111:R114)</f>
        <v>3678.3</v>
      </c>
      <c r="K115" s="21"/>
    </row>
    <row r="116" spans="1:22" ht="14.25" x14ac:dyDescent="0.2">
      <c r="A116" s="18"/>
      <c r="B116" s="18"/>
      <c r="C116" s="18" t="s">
        <v>1104</v>
      </c>
      <c r="D116" s="19" t="s">
        <v>1103</v>
      </c>
      <c r="E116" s="9">
        <f>Source!AU197</f>
        <v>10</v>
      </c>
      <c r="F116" s="21"/>
      <c r="G116" s="20"/>
      <c r="H116" s="9"/>
      <c r="I116" s="9"/>
      <c r="J116" s="21">
        <f>SUM(T111:T115)</f>
        <v>525.47</v>
      </c>
      <c r="K116" s="21"/>
    </row>
    <row r="117" spans="1:22" ht="14.25" x14ac:dyDescent="0.2">
      <c r="A117" s="18"/>
      <c r="B117" s="18"/>
      <c r="C117" s="18" t="s">
        <v>1105</v>
      </c>
      <c r="D117" s="19" t="s">
        <v>1106</v>
      </c>
      <c r="E117" s="9">
        <f>Source!AQ197</f>
        <v>28.02</v>
      </c>
      <c r="F117" s="21"/>
      <c r="G117" s="20" t="str">
        <f>Source!DI197</f>
        <v/>
      </c>
      <c r="H117" s="9">
        <f>Source!AV197</f>
        <v>1</v>
      </c>
      <c r="I117" s="9"/>
      <c r="J117" s="21"/>
      <c r="K117" s="21">
        <f>Source!U197</f>
        <v>10.3674</v>
      </c>
    </row>
    <row r="118" spans="1:22" ht="15" x14ac:dyDescent="0.25">
      <c r="A118" s="23"/>
      <c r="B118" s="23"/>
      <c r="C118" s="23"/>
      <c r="D118" s="23"/>
      <c r="E118" s="23"/>
      <c r="F118" s="23"/>
      <c r="G118" s="23"/>
      <c r="H118" s="23"/>
      <c r="I118" s="44">
        <f>J113+J114+J115+J116</f>
        <v>9548.6099999999988</v>
      </c>
      <c r="J118" s="44"/>
      <c r="K118" s="24">
        <f>IF(Source!I197&lt;&gt;0, ROUND(I118/Source!I197, 2), 0)</f>
        <v>25807.05</v>
      </c>
      <c r="P118" s="22">
        <f>I118</f>
        <v>9548.6099999999988</v>
      </c>
    </row>
    <row r="120" spans="1:22" ht="15" customHeight="1" x14ac:dyDescent="0.25">
      <c r="A120" s="46" t="str">
        <f>CONCATENATE("Итого по подразделу: ",IF(Source!G200&lt;&gt;"Новый подраздел", Source!G200, ""))</f>
        <v>Итого по подразделу: Внутренний водосток</v>
      </c>
      <c r="B120" s="46"/>
      <c r="C120" s="46"/>
      <c r="D120" s="46"/>
      <c r="E120" s="46"/>
      <c r="F120" s="46"/>
      <c r="G120" s="46"/>
      <c r="H120" s="46"/>
      <c r="I120" s="45">
        <f>SUM(P103:P119)</f>
        <v>34679.1</v>
      </c>
      <c r="J120" s="45"/>
      <c r="K120" s="26"/>
    </row>
    <row r="123" spans="1:22" ht="16.5" customHeight="1" x14ac:dyDescent="0.25">
      <c r="A123" s="48" t="str">
        <f>CONCATENATE("Подраздел: ",IF(Source!G230&lt;&gt;"Новый подраздел", Source!G230, ""))</f>
        <v>Подраздел: Сантехприборы и оборудование</v>
      </c>
      <c r="B123" s="48"/>
      <c r="C123" s="48"/>
      <c r="D123" s="48"/>
      <c r="E123" s="48"/>
      <c r="F123" s="48"/>
      <c r="G123" s="48"/>
      <c r="H123" s="48"/>
      <c r="I123" s="48"/>
      <c r="J123" s="48"/>
      <c r="K123" s="48"/>
    </row>
    <row r="124" spans="1:22" ht="28.5" x14ac:dyDescent="0.2">
      <c r="A124" s="18">
        <v>9</v>
      </c>
      <c r="B124" s="18" t="str">
        <f>Source!F237</f>
        <v>1.16-3201-2-1/1</v>
      </c>
      <c r="C124" s="18" t="str">
        <f>Source!G237</f>
        <v>Укрепление расшатавшихся санитарно-технических приборов - умывальники</v>
      </c>
      <c r="D124" s="19" t="str">
        <f>Source!H237</f>
        <v>100 шт.</v>
      </c>
      <c r="E124" s="9">
        <f>Source!I237</f>
        <v>0.15</v>
      </c>
      <c r="F124" s="21"/>
      <c r="G124" s="20"/>
      <c r="H124" s="9"/>
      <c r="I124" s="9"/>
      <c r="J124" s="21"/>
      <c r="K124" s="21"/>
      <c r="Q124">
        <f>ROUND((Source!BZ237/100)*ROUND((Source!AF237*Source!AV237)*Source!I237, 2), 2)</f>
        <v>5558.22</v>
      </c>
      <c r="R124">
        <f>Source!X237</f>
        <v>5558.22</v>
      </c>
      <c r="S124">
        <f>ROUND((Source!CA237/100)*ROUND((Source!AF237*Source!AV237)*Source!I237, 2), 2)</f>
        <v>794.03</v>
      </c>
      <c r="T124">
        <f>Source!Y237</f>
        <v>794.03</v>
      </c>
      <c r="U124">
        <f>ROUND((175/100)*ROUND((Source!AE237*Source!AV237)*Source!I237, 2), 2)</f>
        <v>0.19</v>
      </c>
      <c r="V124">
        <f>ROUND((108/100)*ROUND(Source!CS237*Source!I237, 2), 2)</f>
        <v>0.12</v>
      </c>
    </row>
    <row r="125" spans="1:22" x14ac:dyDescent="0.2">
      <c r="C125" s="28" t="str">
        <f>"Объем: "&amp;Source!I237&amp;"=15/"&amp;"100"</f>
        <v>Объем: 0,15=15/100</v>
      </c>
    </row>
    <row r="126" spans="1:22" ht="14.25" x14ac:dyDescent="0.2">
      <c r="A126" s="18"/>
      <c r="B126" s="18"/>
      <c r="C126" s="18" t="s">
        <v>1100</v>
      </c>
      <c r="D126" s="19"/>
      <c r="E126" s="9"/>
      <c r="F126" s="21">
        <f>Source!AO237</f>
        <v>52935.41</v>
      </c>
      <c r="G126" s="20" t="str">
        <f>Source!DG237</f>
        <v/>
      </c>
      <c r="H126" s="9">
        <f>Source!AV237</f>
        <v>1</v>
      </c>
      <c r="I126" s="9">
        <f>IF(Source!BA237&lt;&gt; 0, Source!BA237, 1)</f>
        <v>1</v>
      </c>
      <c r="J126" s="21">
        <f>Source!S237</f>
        <v>7940.31</v>
      </c>
      <c r="K126" s="21"/>
    </row>
    <row r="127" spans="1:22" ht="14.25" x14ac:dyDescent="0.2">
      <c r="A127" s="18"/>
      <c r="B127" s="18"/>
      <c r="C127" s="18" t="s">
        <v>1107</v>
      </c>
      <c r="D127" s="19"/>
      <c r="E127" s="9"/>
      <c r="F127" s="21">
        <f>Source!AM237</f>
        <v>61.83</v>
      </c>
      <c r="G127" s="20" t="str">
        <f>Source!DE237</f>
        <v/>
      </c>
      <c r="H127" s="9">
        <f>Source!AV237</f>
        <v>1</v>
      </c>
      <c r="I127" s="9">
        <f>IF(Source!BB237&lt;&gt; 0, Source!BB237, 1)</f>
        <v>1</v>
      </c>
      <c r="J127" s="21">
        <f>Source!Q237</f>
        <v>9.27</v>
      </c>
      <c r="K127" s="21"/>
    </row>
    <row r="128" spans="1:22" ht="14.25" x14ac:dyDescent="0.2">
      <c r="A128" s="18"/>
      <c r="B128" s="18"/>
      <c r="C128" s="18" t="s">
        <v>1108</v>
      </c>
      <c r="D128" s="19"/>
      <c r="E128" s="9"/>
      <c r="F128" s="21">
        <f>Source!AN237</f>
        <v>0.7</v>
      </c>
      <c r="G128" s="20" t="str">
        <f>Source!DF237</f>
        <v/>
      </c>
      <c r="H128" s="9">
        <f>Source!AV237</f>
        <v>1</v>
      </c>
      <c r="I128" s="9">
        <f>IF(Source!BS237&lt;&gt; 0, Source!BS237, 1)</f>
        <v>1</v>
      </c>
      <c r="J128" s="25">
        <f>Source!R237</f>
        <v>0.11</v>
      </c>
      <c r="K128" s="21"/>
    </row>
    <row r="129" spans="1:22" ht="14.25" x14ac:dyDescent="0.2">
      <c r="A129" s="18"/>
      <c r="B129" s="18"/>
      <c r="C129" s="18" t="s">
        <v>1101</v>
      </c>
      <c r="D129" s="19"/>
      <c r="E129" s="9"/>
      <c r="F129" s="21">
        <f>Source!AL237</f>
        <v>776.55</v>
      </c>
      <c r="G129" s="20" t="str">
        <f>Source!DD237</f>
        <v/>
      </c>
      <c r="H129" s="9">
        <f>Source!AW237</f>
        <v>1</v>
      </c>
      <c r="I129" s="9">
        <f>IF(Source!BC237&lt;&gt; 0, Source!BC237, 1)</f>
        <v>1</v>
      </c>
      <c r="J129" s="21">
        <f>Source!P237</f>
        <v>116.48</v>
      </c>
      <c r="K129" s="21"/>
    </row>
    <row r="130" spans="1:22" ht="14.25" x14ac:dyDescent="0.2">
      <c r="A130" s="18"/>
      <c r="B130" s="18"/>
      <c r="C130" s="18" t="s">
        <v>1102</v>
      </c>
      <c r="D130" s="19" t="s">
        <v>1103</v>
      </c>
      <c r="E130" s="9">
        <f>Source!AT237</f>
        <v>70</v>
      </c>
      <c r="F130" s="21"/>
      <c r="G130" s="20"/>
      <c r="H130" s="9"/>
      <c r="I130" s="9"/>
      <c r="J130" s="21">
        <f>SUM(R124:R129)</f>
        <v>5558.22</v>
      </c>
      <c r="K130" s="21"/>
    </row>
    <row r="131" spans="1:22" ht="14.25" x14ac:dyDescent="0.2">
      <c r="A131" s="18"/>
      <c r="B131" s="18"/>
      <c r="C131" s="18" t="s">
        <v>1104</v>
      </c>
      <c r="D131" s="19" t="s">
        <v>1103</v>
      </c>
      <c r="E131" s="9">
        <f>Source!AU237</f>
        <v>10</v>
      </c>
      <c r="F131" s="21"/>
      <c r="G131" s="20"/>
      <c r="H131" s="9"/>
      <c r="I131" s="9"/>
      <c r="J131" s="21">
        <f>SUM(T124:T130)</f>
        <v>794.03</v>
      </c>
      <c r="K131" s="21"/>
    </row>
    <row r="132" spans="1:22" ht="14.25" x14ac:dyDescent="0.2">
      <c r="A132" s="18"/>
      <c r="B132" s="18"/>
      <c r="C132" s="18" t="s">
        <v>1109</v>
      </c>
      <c r="D132" s="19" t="s">
        <v>1103</v>
      </c>
      <c r="E132" s="9">
        <f>108</f>
        <v>108</v>
      </c>
      <c r="F132" s="21"/>
      <c r="G132" s="20"/>
      <c r="H132" s="9"/>
      <c r="I132" s="9"/>
      <c r="J132" s="21">
        <f>SUM(V124:V131)</f>
        <v>0.12</v>
      </c>
      <c r="K132" s="21"/>
    </row>
    <row r="133" spans="1:22" ht="14.25" x14ac:dyDescent="0.2">
      <c r="A133" s="18"/>
      <c r="B133" s="18"/>
      <c r="C133" s="18" t="s">
        <v>1105</v>
      </c>
      <c r="D133" s="19" t="s">
        <v>1106</v>
      </c>
      <c r="E133" s="9">
        <f>Source!AQ237</f>
        <v>104.44</v>
      </c>
      <c r="F133" s="21"/>
      <c r="G133" s="20" t="str">
        <f>Source!DI237</f>
        <v/>
      </c>
      <c r="H133" s="9">
        <f>Source!AV237</f>
        <v>1</v>
      </c>
      <c r="I133" s="9"/>
      <c r="J133" s="21"/>
      <c r="K133" s="21">
        <f>Source!U237</f>
        <v>15.665999999999999</v>
      </c>
    </row>
    <row r="134" spans="1:22" ht="15" x14ac:dyDescent="0.25">
      <c r="A134" s="23"/>
      <c r="B134" s="23"/>
      <c r="C134" s="23"/>
      <c r="D134" s="23"/>
      <c r="E134" s="23"/>
      <c r="F134" s="23"/>
      <c r="G134" s="23"/>
      <c r="H134" s="23"/>
      <c r="I134" s="44">
        <f>J126+J127+J129+J130+J131+J132</f>
        <v>14418.430000000002</v>
      </c>
      <c r="J134" s="44"/>
      <c r="K134" s="24">
        <f>IF(Source!I237&lt;&gt;0, ROUND(I134/Source!I237, 2), 0)</f>
        <v>96122.87</v>
      </c>
      <c r="P134" s="22">
        <f>I134</f>
        <v>14418.430000000002</v>
      </c>
    </row>
    <row r="135" spans="1:22" ht="42.75" x14ac:dyDescent="0.2">
      <c r="A135" s="18">
        <v>10</v>
      </c>
      <c r="B135" s="18" t="str">
        <f>Source!F238</f>
        <v>1.16-3201-2-2/1</v>
      </c>
      <c r="C135" s="18" t="str">
        <f>Source!G238</f>
        <v>Укрепление расшатавшихся санитарно-технических приборов - унитазы и биде</v>
      </c>
      <c r="D135" s="19" t="str">
        <f>Source!H238</f>
        <v>100 шт.</v>
      </c>
      <c r="E135" s="9">
        <f>Source!I238</f>
        <v>0.18</v>
      </c>
      <c r="F135" s="21"/>
      <c r="G135" s="20"/>
      <c r="H135" s="9"/>
      <c r="I135" s="9"/>
      <c r="J135" s="21"/>
      <c r="K135" s="21"/>
      <c r="Q135">
        <f>ROUND((Source!BZ238/100)*ROUND((Source!AF238*Source!AV238)*Source!I238, 2), 2)</f>
        <v>9702.7199999999993</v>
      </c>
      <c r="R135">
        <f>Source!X238</f>
        <v>9702.7199999999993</v>
      </c>
      <c r="S135">
        <f>ROUND((Source!CA238/100)*ROUND((Source!AF238*Source!AV238)*Source!I238, 2), 2)</f>
        <v>1386.1</v>
      </c>
      <c r="T135">
        <f>Source!Y238</f>
        <v>1386.1</v>
      </c>
      <c r="U135">
        <f>ROUND((175/100)*ROUND((Source!AE238*Source!AV238)*Source!I238, 2), 2)</f>
        <v>0.23</v>
      </c>
      <c r="V135">
        <f>ROUND((108/100)*ROUND(Source!CS238*Source!I238, 2), 2)</f>
        <v>0.14000000000000001</v>
      </c>
    </row>
    <row r="136" spans="1:22" x14ac:dyDescent="0.2">
      <c r="C136" s="28" t="str">
        <f>"Объем: "&amp;Source!I238&amp;"=18/"&amp;"100"</f>
        <v>Объем: 0,18=18/100</v>
      </c>
    </row>
    <row r="137" spans="1:22" ht="14.25" x14ac:dyDescent="0.2">
      <c r="A137" s="18"/>
      <c r="B137" s="18"/>
      <c r="C137" s="18" t="s">
        <v>1100</v>
      </c>
      <c r="D137" s="19"/>
      <c r="E137" s="9"/>
      <c r="F137" s="21">
        <f>Source!AO238</f>
        <v>77005.72</v>
      </c>
      <c r="G137" s="20" t="str">
        <f>Source!DG238</f>
        <v/>
      </c>
      <c r="H137" s="9">
        <f>Source!AV238</f>
        <v>1</v>
      </c>
      <c r="I137" s="9">
        <f>IF(Source!BA238&lt;&gt; 0, Source!BA238, 1)</f>
        <v>1</v>
      </c>
      <c r="J137" s="21">
        <f>Source!S238</f>
        <v>13861.03</v>
      </c>
      <c r="K137" s="21"/>
    </row>
    <row r="138" spans="1:22" ht="14.25" x14ac:dyDescent="0.2">
      <c r="A138" s="18"/>
      <c r="B138" s="18"/>
      <c r="C138" s="18" t="s">
        <v>1107</v>
      </c>
      <c r="D138" s="19"/>
      <c r="E138" s="9"/>
      <c r="F138" s="21">
        <f>Source!AM238</f>
        <v>61.83</v>
      </c>
      <c r="G138" s="20" t="str">
        <f>Source!DE238</f>
        <v/>
      </c>
      <c r="H138" s="9">
        <f>Source!AV238</f>
        <v>1</v>
      </c>
      <c r="I138" s="9">
        <f>IF(Source!BB238&lt;&gt; 0, Source!BB238, 1)</f>
        <v>1</v>
      </c>
      <c r="J138" s="21">
        <f>Source!Q238</f>
        <v>11.13</v>
      </c>
      <c r="K138" s="21"/>
    </row>
    <row r="139" spans="1:22" ht="14.25" x14ac:dyDescent="0.2">
      <c r="A139" s="18"/>
      <c r="B139" s="18"/>
      <c r="C139" s="18" t="s">
        <v>1108</v>
      </c>
      <c r="D139" s="19"/>
      <c r="E139" s="9"/>
      <c r="F139" s="21">
        <f>Source!AN238</f>
        <v>0.7</v>
      </c>
      <c r="G139" s="20" t="str">
        <f>Source!DF238</f>
        <v/>
      </c>
      <c r="H139" s="9">
        <f>Source!AV238</f>
        <v>1</v>
      </c>
      <c r="I139" s="9">
        <f>IF(Source!BS238&lt;&gt; 0, Source!BS238, 1)</f>
        <v>1</v>
      </c>
      <c r="J139" s="25">
        <f>Source!R238</f>
        <v>0.13</v>
      </c>
      <c r="K139" s="21"/>
    </row>
    <row r="140" spans="1:22" ht="14.25" x14ac:dyDescent="0.2">
      <c r="A140" s="18"/>
      <c r="B140" s="18"/>
      <c r="C140" s="18" t="s">
        <v>1101</v>
      </c>
      <c r="D140" s="19"/>
      <c r="E140" s="9"/>
      <c r="F140" s="21">
        <f>Source!AL238</f>
        <v>776.55</v>
      </c>
      <c r="G140" s="20" t="str">
        <f>Source!DD238</f>
        <v/>
      </c>
      <c r="H140" s="9">
        <f>Source!AW238</f>
        <v>1</v>
      </c>
      <c r="I140" s="9">
        <f>IF(Source!BC238&lt;&gt; 0, Source!BC238, 1)</f>
        <v>1</v>
      </c>
      <c r="J140" s="21">
        <f>Source!P238</f>
        <v>139.78</v>
      </c>
      <c r="K140" s="21"/>
    </row>
    <row r="141" spans="1:22" ht="14.25" x14ac:dyDescent="0.2">
      <c r="A141" s="18"/>
      <c r="B141" s="18"/>
      <c r="C141" s="18" t="s">
        <v>1102</v>
      </c>
      <c r="D141" s="19" t="s">
        <v>1103</v>
      </c>
      <c r="E141" s="9">
        <f>Source!AT238</f>
        <v>70</v>
      </c>
      <c r="F141" s="21"/>
      <c r="G141" s="20"/>
      <c r="H141" s="9"/>
      <c r="I141" s="9"/>
      <c r="J141" s="21">
        <f>SUM(R135:R140)</f>
        <v>9702.7199999999993</v>
      </c>
      <c r="K141" s="21"/>
    </row>
    <row r="142" spans="1:22" ht="14.25" x14ac:dyDescent="0.2">
      <c r="A142" s="18"/>
      <c r="B142" s="18"/>
      <c r="C142" s="18" t="s">
        <v>1104</v>
      </c>
      <c r="D142" s="19" t="s">
        <v>1103</v>
      </c>
      <c r="E142" s="9">
        <f>Source!AU238</f>
        <v>10</v>
      </c>
      <c r="F142" s="21"/>
      <c r="G142" s="20"/>
      <c r="H142" s="9"/>
      <c r="I142" s="9"/>
      <c r="J142" s="21">
        <f>SUM(T135:T141)</f>
        <v>1386.1</v>
      </c>
      <c r="K142" s="21"/>
    </row>
    <row r="143" spans="1:22" ht="14.25" x14ac:dyDescent="0.2">
      <c r="A143" s="18"/>
      <c r="B143" s="18"/>
      <c r="C143" s="18" t="s">
        <v>1109</v>
      </c>
      <c r="D143" s="19" t="s">
        <v>1103</v>
      </c>
      <c r="E143" s="9">
        <f>108</f>
        <v>108</v>
      </c>
      <c r="F143" s="21"/>
      <c r="G143" s="20"/>
      <c r="H143" s="9"/>
      <c r="I143" s="9"/>
      <c r="J143" s="21">
        <f>SUM(V135:V142)</f>
        <v>0.14000000000000001</v>
      </c>
      <c r="K143" s="21"/>
    </row>
    <row r="144" spans="1:22" ht="14.25" x14ac:dyDescent="0.2">
      <c r="A144" s="18"/>
      <c r="B144" s="18"/>
      <c r="C144" s="18" t="s">
        <v>1105</v>
      </c>
      <c r="D144" s="19" t="s">
        <v>1106</v>
      </c>
      <c r="E144" s="9">
        <f>Source!AQ238</f>
        <v>151.93</v>
      </c>
      <c r="F144" s="21"/>
      <c r="G144" s="20" t="str">
        <f>Source!DI238</f>
        <v/>
      </c>
      <c r="H144" s="9">
        <f>Source!AV238</f>
        <v>1</v>
      </c>
      <c r="I144" s="9"/>
      <c r="J144" s="21"/>
      <c r="K144" s="21">
        <f>Source!U238</f>
        <v>27.3474</v>
      </c>
    </row>
    <row r="145" spans="1:22" ht="15" x14ac:dyDescent="0.25">
      <c r="A145" s="23"/>
      <c r="B145" s="23"/>
      <c r="C145" s="23"/>
      <c r="D145" s="23"/>
      <c r="E145" s="23"/>
      <c r="F145" s="23"/>
      <c r="G145" s="23"/>
      <c r="H145" s="23"/>
      <c r="I145" s="44">
        <f>J137+J138+J140+J141+J142+J143</f>
        <v>25100.899999999998</v>
      </c>
      <c r="J145" s="44"/>
      <c r="K145" s="24">
        <f>IF(Source!I238&lt;&gt;0, ROUND(I145/Source!I238, 2), 0)</f>
        <v>139449.44</v>
      </c>
      <c r="P145" s="22">
        <f>I145</f>
        <v>25100.899999999998</v>
      </c>
    </row>
    <row r="146" spans="1:22" ht="28.5" x14ac:dyDescent="0.2">
      <c r="A146" s="18">
        <v>11</v>
      </c>
      <c r="B146" s="18" t="str">
        <f>Source!F239</f>
        <v>1.16-3201-1-1/1</v>
      </c>
      <c r="C146" s="18" t="str">
        <f>Source!G239</f>
        <v>Регулировка смывного бачка</v>
      </c>
      <c r="D146" s="19" t="str">
        <f>Source!H239</f>
        <v>100 приборов</v>
      </c>
      <c r="E146" s="9">
        <f>Source!I239</f>
        <v>0.18</v>
      </c>
      <c r="F146" s="21"/>
      <c r="G146" s="20"/>
      <c r="H146" s="9"/>
      <c r="I146" s="9"/>
      <c r="J146" s="21"/>
      <c r="K146" s="21"/>
      <c r="Q146">
        <f>ROUND((Source!BZ239/100)*ROUND((Source!AF239*Source!AV239)*Source!I239, 2), 2)</f>
        <v>2002.91</v>
      </c>
      <c r="R146">
        <f>Source!X239</f>
        <v>2002.91</v>
      </c>
      <c r="S146">
        <f>ROUND((Source!CA239/100)*ROUND((Source!AF239*Source!AV239)*Source!I239, 2), 2)</f>
        <v>286.13</v>
      </c>
      <c r="T146">
        <f>Source!Y239</f>
        <v>286.13</v>
      </c>
      <c r="U146">
        <f>ROUND((175/100)*ROUND((Source!AE239*Source!AV239)*Source!I239, 2), 2)</f>
        <v>0</v>
      </c>
      <c r="V146">
        <f>ROUND((108/100)*ROUND(Source!CS239*Source!I239, 2), 2)</f>
        <v>0</v>
      </c>
    </row>
    <row r="147" spans="1:22" x14ac:dyDescent="0.2">
      <c r="C147" s="28" t="str">
        <f>"Объем: "&amp;Source!I239&amp;"=18/"&amp;"100"</f>
        <v>Объем: 0,18=18/100</v>
      </c>
    </row>
    <row r="148" spans="1:22" ht="14.25" x14ac:dyDescent="0.2">
      <c r="A148" s="18"/>
      <c r="B148" s="18"/>
      <c r="C148" s="18" t="s">
        <v>1100</v>
      </c>
      <c r="D148" s="19"/>
      <c r="E148" s="9"/>
      <c r="F148" s="21">
        <f>Source!AO239</f>
        <v>15896.11</v>
      </c>
      <c r="G148" s="20" t="str">
        <f>Source!DG239</f>
        <v/>
      </c>
      <c r="H148" s="9">
        <f>Source!AV239</f>
        <v>1</v>
      </c>
      <c r="I148" s="9">
        <f>IF(Source!BA239&lt;&gt; 0, Source!BA239, 1)</f>
        <v>1</v>
      </c>
      <c r="J148" s="21">
        <f>Source!S239</f>
        <v>2861.3</v>
      </c>
      <c r="K148" s="21"/>
    </row>
    <row r="149" spans="1:22" ht="14.25" x14ac:dyDescent="0.2">
      <c r="A149" s="18"/>
      <c r="B149" s="18"/>
      <c r="C149" s="18" t="s">
        <v>1102</v>
      </c>
      <c r="D149" s="19" t="s">
        <v>1103</v>
      </c>
      <c r="E149" s="9">
        <f>Source!AT239</f>
        <v>70</v>
      </c>
      <c r="F149" s="21"/>
      <c r="G149" s="20"/>
      <c r="H149" s="9"/>
      <c r="I149" s="9"/>
      <c r="J149" s="21">
        <f>SUM(R146:R148)</f>
        <v>2002.91</v>
      </c>
      <c r="K149" s="21"/>
    </row>
    <row r="150" spans="1:22" ht="14.25" x14ac:dyDescent="0.2">
      <c r="A150" s="18"/>
      <c r="B150" s="18"/>
      <c r="C150" s="18" t="s">
        <v>1104</v>
      </c>
      <c r="D150" s="19" t="s">
        <v>1103</v>
      </c>
      <c r="E150" s="9">
        <f>Source!AU239</f>
        <v>10</v>
      </c>
      <c r="F150" s="21"/>
      <c r="G150" s="20"/>
      <c r="H150" s="9"/>
      <c r="I150" s="9"/>
      <c r="J150" s="21">
        <f>SUM(T146:T149)</f>
        <v>286.13</v>
      </c>
      <c r="K150" s="21"/>
    </row>
    <row r="151" spans="1:22" ht="14.25" x14ac:dyDescent="0.2">
      <c r="A151" s="18"/>
      <c r="B151" s="18"/>
      <c r="C151" s="18" t="s">
        <v>1105</v>
      </c>
      <c r="D151" s="19" t="s">
        <v>1106</v>
      </c>
      <c r="E151" s="9">
        <f>Source!AQ239</f>
        <v>26.7</v>
      </c>
      <c r="F151" s="21"/>
      <c r="G151" s="20" t="str">
        <f>Source!DI239</f>
        <v/>
      </c>
      <c r="H151" s="9">
        <f>Source!AV239</f>
        <v>1</v>
      </c>
      <c r="I151" s="9"/>
      <c r="J151" s="21"/>
      <c r="K151" s="21">
        <f>Source!U239</f>
        <v>4.806</v>
      </c>
    </row>
    <row r="152" spans="1:22" ht="15" x14ac:dyDescent="0.25">
      <c r="A152" s="23"/>
      <c r="B152" s="23"/>
      <c r="C152" s="23"/>
      <c r="D152" s="23"/>
      <c r="E152" s="23"/>
      <c r="F152" s="23"/>
      <c r="G152" s="23"/>
      <c r="H152" s="23"/>
      <c r="I152" s="44">
        <f>J148+J149+J150</f>
        <v>5150.34</v>
      </c>
      <c r="J152" s="44"/>
      <c r="K152" s="24">
        <f>IF(Source!I239&lt;&gt;0, ROUND(I152/Source!I239, 2), 0)</f>
        <v>28613</v>
      </c>
      <c r="P152" s="22">
        <f>I152</f>
        <v>5150.34</v>
      </c>
    </row>
    <row r="153" spans="1:22" ht="28.5" x14ac:dyDescent="0.2">
      <c r="A153" s="18">
        <v>12</v>
      </c>
      <c r="B153" s="18" t="str">
        <f>Source!F240</f>
        <v>1.16-2203-1-1/1</v>
      </c>
      <c r="C153" s="18" t="str">
        <f>Source!G240</f>
        <v>Прочистка сифонов</v>
      </c>
      <c r="D153" s="19" t="str">
        <f>Source!H240</f>
        <v>100 шт.</v>
      </c>
      <c r="E153" s="9">
        <f>Source!I240</f>
        <v>0.25</v>
      </c>
      <c r="F153" s="21"/>
      <c r="G153" s="20"/>
      <c r="H153" s="9"/>
      <c r="I153" s="9"/>
      <c r="J153" s="21"/>
      <c r="K153" s="21"/>
      <c r="Q153">
        <f>ROUND((Source!BZ240/100)*ROUND((Source!AF240*Source!AV240)*Source!I240, 2), 2)</f>
        <v>2485.34</v>
      </c>
      <c r="R153">
        <f>Source!X240</f>
        <v>2485.34</v>
      </c>
      <c r="S153">
        <f>ROUND((Source!CA240/100)*ROUND((Source!AF240*Source!AV240)*Source!I240, 2), 2)</f>
        <v>355.05</v>
      </c>
      <c r="T153">
        <f>Source!Y240</f>
        <v>355.05</v>
      </c>
      <c r="U153">
        <f>ROUND((175/100)*ROUND((Source!AE240*Source!AV240)*Source!I240, 2), 2)</f>
        <v>0</v>
      </c>
      <c r="V153">
        <f>ROUND((108/100)*ROUND(Source!CS240*Source!I240, 2), 2)</f>
        <v>0</v>
      </c>
    </row>
    <row r="154" spans="1:22" x14ac:dyDescent="0.2">
      <c r="C154" s="28" t="str">
        <f>"Объем: "&amp;Source!I240&amp;"=(15+"&amp;"10)/"&amp;"100"</f>
        <v>Объем: 0,25=(15+10)/100</v>
      </c>
    </row>
    <row r="155" spans="1:22" ht="14.25" x14ac:dyDescent="0.2">
      <c r="A155" s="18"/>
      <c r="B155" s="18"/>
      <c r="C155" s="18" t="s">
        <v>1100</v>
      </c>
      <c r="D155" s="19"/>
      <c r="E155" s="9"/>
      <c r="F155" s="21">
        <f>Source!AO240</f>
        <v>14201.94</v>
      </c>
      <c r="G155" s="20" t="str">
        <f>Source!DG240</f>
        <v/>
      </c>
      <c r="H155" s="9">
        <f>Source!AV240</f>
        <v>1</v>
      </c>
      <c r="I155" s="9">
        <f>IF(Source!BA240&lt;&gt; 0, Source!BA240, 1)</f>
        <v>1</v>
      </c>
      <c r="J155" s="21">
        <f>Source!S240</f>
        <v>3550.49</v>
      </c>
      <c r="K155" s="21"/>
    </row>
    <row r="156" spans="1:22" ht="14.25" x14ac:dyDescent="0.2">
      <c r="A156" s="18"/>
      <c r="B156" s="18"/>
      <c r="C156" s="18" t="s">
        <v>1101</v>
      </c>
      <c r="D156" s="19"/>
      <c r="E156" s="9"/>
      <c r="F156" s="21">
        <f>Source!AL240</f>
        <v>243.57</v>
      </c>
      <c r="G156" s="20" t="str">
        <f>Source!DD240</f>
        <v/>
      </c>
      <c r="H156" s="9">
        <f>Source!AW240</f>
        <v>1</v>
      </c>
      <c r="I156" s="9">
        <f>IF(Source!BC240&lt;&gt; 0, Source!BC240, 1)</f>
        <v>1</v>
      </c>
      <c r="J156" s="21">
        <f>Source!P240</f>
        <v>60.89</v>
      </c>
      <c r="K156" s="21"/>
    </row>
    <row r="157" spans="1:22" ht="14.25" x14ac:dyDescent="0.2">
      <c r="A157" s="18"/>
      <c r="B157" s="18"/>
      <c r="C157" s="18" t="s">
        <v>1102</v>
      </c>
      <c r="D157" s="19" t="s">
        <v>1103</v>
      </c>
      <c r="E157" s="9">
        <f>Source!AT240</f>
        <v>70</v>
      </c>
      <c r="F157" s="21"/>
      <c r="G157" s="20"/>
      <c r="H157" s="9"/>
      <c r="I157" s="9"/>
      <c r="J157" s="21">
        <f>SUM(R153:R156)</f>
        <v>2485.34</v>
      </c>
      <c r="K157" s="21"/>
    </row>
    <row r="158" spans="1:22" ht="14.25" x14ac:dyDescent="0.2">
      <c r="A158" s="18"/>
      <c r="B158" s="18"/>
      <c r="C158" s="18" t="s">
        <v>1104</v>
      </c>
      <c r="D158" s="19" t="s">
        <v>1103</v>
      </c>
      <c r="E158" s="9">
        <f>Source!AU240</f>
        <v>10</v>
      </c>
      <c r="F158" s="21"/>
      <c r="G158" s="20"/>
      <c r="H158" s="9"/>
      <c r="I158" s="9"/>
      <c r="J158" s="21">
        <f>SUM(T153:T157)</f>
        <v>355.05</v>
      </c>
      <c r="K158" s="21"/>
    </row>
    <row r="159" spans="1:22" ht="14.25" x14ac:dyDescent="0.2">
      <c r="A159" s="18"/>
      <c r="B159" s="18"/>
      <c r="C159" s="18" t="s">
        <v>1105</v>
      </c>
      <c r="D159" s="19" t="s">
        <v>1106</v>
      </c>
      <c r="E159" s="9">
        <f>Source!AQ240</f>
        <v>28.02</v>
      </c>
      <c r="F159" s="21"/>
      <c r="G159" s="20" t="str">
        <f>Source!DI240</f>
        <v/>
      </c>
      <c r="H159" s="9">
        <f>Source!AV240</f>
        <v>1</v>
      </c>
      <c r="I159" s="9"/>
      <c r="J159" s="21"/>
      <c r="K159" s="21">
        <f>Source!U240</f>
        <v>7.0049999999999999</v>
      </c>
    </row>
    <row r="160" spans="1:22" ht="15" x14ac:dyDescent="0.25">
      <c r="A160" s="23"/>
      <c r="B160" s="23"/>
      <c r="C160" s="23"/>
      <c r="D160" s="23"/>
      <c r="E160" s="23"/>
      <c r="F160" s="23"/>
      <c r="G160" s="23"/>
      <c r="H160" s="23"/>
      <c r="I160" s="44">
        <f>J155+J156+J157+J158</f>
        <v>6451.7699999999995</v>
      </c>
      <c r="J160" s="44"/>
      <c r="K160" s="24">
        <f>IF(Source!I240&lt;&gt;0, ROUND(I160/Source!I240, 2), 0)</f>
        <v>25807.08</v>
      </c>
      <c r="P160" s="22">
        <f>I160</f>
        <v>6451.7699999999995</v>
      </c>
    </row>
    <row r="161" spans="1:22" ht="42.75" x14ac:dyDescent="0.2">
      <c r="A161" s="18">
        <v>13</v>
      </c>
      <c r="B161" s="18" t="str">
        <f>Source!F241</f>
        <v>1.21-2303-24-1/1</v>
      </c>
      <c r="C161" s="18" t="str">
        <f>Source!G241</f>
        <v>Техническое обслуживание электроводонагревателей объемом до 80 литров</v>
      </c>
      <c r="D161" s="19" t="str">
        <f>Source!H241</f>
        <v>шт.</v>
      </c>
      <c r="E161" s="9">
        <f>Source!I241</f>
        <v>6</v>
      </c>
      <c r="F161" s="21"/>
      <c r="G161" s="20"/>
      <c r="H161" s="9"/>
      <c r="I161" s="9"/>
      <c r="J161" s="21"/>
      <c r="K161" s="21"/>
      <c r="Q161">
        <f>ROUND((Source!BZ241/100)*ROUND((Source!AF241*Source!AV241)*Source!I241, 2), 2)</f>
        <v>5224.93</v>
      </c>
      <c r="R161">
        <f>Source!X241</f>
        <v>5224.93</v>
      </c>
      <c r="S161">
        <f>ROUND((Source!CA241/100)*ROUND((Source!AF241*Source!AV241)*Source!I241, 2), 2)</f>
        <v>746.42</v>
      </c>
      <c r="T161">
        <f>Source!Y241</f>
        <v>746.42</v>
      </c>
      <c r="U161">
        <f>ROUND((175/100)*ROUND((Source!AE241*Source!AV241)*Source!I241, 2), 2)</f>
        <v>9395.09</v>
      </c>
      <c r="V161">
        <f>ROUND((108/100)*ROUND(Source!CS241*Source!I241, 2), 2)</f>
        <v>5798.11</v>
      </c>
    </row>
    <row r="162" spans="1:22" ht="14.25" x14ac:dyDescent="0.2">
      <c r="A162" s="18"/>
      <c r="B162" s="18"/>
      <c r="C162" s="18" t="s">
        <v>1100</v>
      </c>
      <c r="D162" s="19"/>
      <c r="E162" s="9"/>
      <c r="F162" s="21">
        <f>Source!AO241</f>
        <v>1244.03</v>
      </c>
      <c r="G162" s="20" t="str">
        <f>Source!DG241</f>
        <v/>
      </c>
      <c r="H162" s="9">
        <f>Source!AV241</f>
        <v>1</v>
      </c>
      <c r="I162" s="9">
        <f>IF(Source!BA241&lt;&gt; 0, Source!BA241, 1)</f>
        <v>1</v>
      </c>
      <c r="J162" s="21">
        <f>Source!S241</f>
        <v>7464.18</v>
      </c>
      <c r="K162" s="21"/>
    </row>
    <row r="163" spans="1:22" ht="14.25" x14ac:dyDescent="0.2">
      <c r="A163" s="18"/>
      <c r="B163" s="18"/>
      <c r="C163" s="18" t="s">
        <v>1107</v>
      </c>
      <c r="D163" s="19"/>
      <c r="E163" s="9"/>
      <c r="F163" s="21">
        <f>Source!AM241</f>
        <v>1411.16</v>
      </c>
      <c r="G163" s="20" t="str">
        <f>Source!DE241</f>
        <v/>
      </c>
      <c r="H163" s="9">
        <f>Source!AV241</f>
        <v>1</v>
      </c>
      <c r="I163" s="9">
        <f>IF(Source!BB241&lt;&gt; 0, Source!BB241, 1)</f>
        <v>1</v>
      </c>
      <c r="J163" s="21">
        <f>Source!Q241</f>
        <v>8466.9599999999991</v>
      </c>
      <c r="K163" s="21"/>
    </row>
    <row r="164" spans="1:22" ht="14.25" x14ac:dyDescent="0.2">
      <c r="A164" s="18"/>
      <c r="B164" s="18"/>
      <c r="C164" s="18" t="s">
        <v>1108</v>
      </c>
      <c r="D164" s="19"/>
      <c r="E164" s="9"/>
      <c r="F164" s="21">
        <f>Source!AN241</f>
        <v>894.77</v>
      </c>
      <c r="G164" s="20" t="str">
        <f>Source!DF241</f>
        <v/>
      </c>
      <c r="H164" s="9">
        <f>Source!AV241</f>
        <v>1</v>
      </c>
      <c r="I164" s="9">
        <f>IF(Source!BS241&lt;&gt; 0, Source!BS241, 1)</f>
        <v>1</v>
      </c>
      <c r="J164" s="25">
        <f>Source!R241</f>
        <v>5368.62</v>
      </c>
      <c r="K164" s="21"/>
    </row>
    <row r="165" spans="1:22" ht="14.25" x14ac:dyDescent="0.2">
      <c r="A165" s="18"/>
      <c r="B165" s="18"/>
      <c r="C165" s="18" t="s">
        <v>1101</v>
      </c>
      <c r="D165" s="19"/>
      <c r="E165" s="9"/>
      <c r="F165" s="21">
        <f>Source!AL241</f>
        <v>0.63</v>
      </c>
      <c r="G165" s="20" t="str">
        <f>Source!DD241</f>
        <v/>
      </c>
      <c r="H165" s="9">
        <f>Source!AW241</f>
        <v>1</v>
      </c>
      <c r="I165" s="9">
        <f>IF(Source!BC241&lt;&gt; 0, Source!BC241, 1)</f>
        <v>1</v>
      </c>
      <c r="J165" s="21">
        <f>Source!P241</f>
        <v>3.78</v>
      </c>
      <c r="K165" s="21"/>
    </row>
    <row r="166" spans="1:22" ht="14.25" x14ac:dyDescent="0.2">
      <c r="A166" s="18"/>
      <c r="B166" s="18"/>
      <c r="C166" s="18" t="s">
        <v>1102</v>
      </c>
      <c r="D166" s="19" t="s">
        <v>1103</v>
      </c>
      <c r="E166" s="9">
        <f>Source!AT241</f>
        <v>70</v>
      </c>
      <c r="F166" s="21"/>
      <c r="G166" s="20"/>
      <c r="H166" s="9"/>
      <c r="I166" s="9"/>
      <c r="J166" s="21">
        <f>SUM(R161:R165)</f>
        <v>5224.93</v>
      </c>
      <c r="K166" s="21"/>
    </row>
    <row r="167" spans="1:22" ht="14.25" x14ac:dyDescent="0.2">
      <c r="A167" s="18"/>
      <c r="B167" s="18"/>
      <c r="C167" s="18" t="s">
        <v>1104</v>
      </c>
      <c r="D167" s="19" t="s">
        <v>1103</v>
      </c>
      <c r="E167" s="9">
        <f>Source!AU241</f>
        <v>10</v>
      </c>
      <c r="F167" s="21"/>
      <c r="G167" s="20"/>
      <c r="H167" s="9"/>
      <c r="I167" s="9"/>
      <c r="J167" s="21">
        <f>SUM(T161:T166)</f>
        <v>746.42</v>
      </c>
      <c r="K167" s="21"/>
    </row>
    <row r="168" spans="1:22" ht="14.25" x14ac:dyDescent="0.2">
      <c r="A168" s="18"/>
      <c r="B168" s="18"/>
      <c r="C168" s="18" t="s">
        <v>1109</v>
      </c>
      <c r="D168" s="19" t="s">
        <v>1103</v>
      </c>
      <c r="E168" s="9">
        <f>108</f>
        <v>108</v>
      </c>
      <c r="F168" s="21"/>
      <c r="G168" s="20"/>
      <c r="H168" s="9"/>
      <c r="I168" s="9"/>
      <c r="J168" s="21">
        <f>SUM(V161:V167)</f>
        <v>5798.11</v>
      </c>
      <c r="K168" s="21"/>
    </row>
    <row r="169" spans="1:22" ht="14.25" x14ac:dyDescent="0.2">
      <c r="A169" s="18"/>
      <c r="B169" s="18"/>
      <c r="C169" s="18" t="s">
        <v>1105</v>
      </c>
      <c r="D169" s="19" t="s">
        <v>1106</v>
      </c>
      <c r="E169" s="9">
        <f>Source!AQ241</f>
        <v>1.75</v>
      </c>
      <c r="F169" s="21"/>
      <c r="G169" s="20" t="str">
        <f>Source!DI241</f>
        <v/>
      </c>
      <c r="H169" s="9">
        <f>Source!AV241</f>
        <v>1</v>
      </c>
      <c r="I169" s="9"/>
      <c r="J169" s="21"/>
      <c r="K169" s="21">
        <f>Source!U241</f>
        <v>10.5</v>
      </c>
    </row>
    <row r="170" spans="1:22" ht="15" x14ac:dyDescent="0.25">
      <c r="A170" s="23"/>
      <c r="B170" s="23"/>
      <c r="C170" s="23"/>
      <c r="D170" s="23"/>
      <c r="E170" s="23"/>
      <c r="F170" s="23"/>
      <c r="G170" s="23"/>
      <c r="H170" s="23"/>
      <c r="I170" s="44">
        <f>J162+J163+J165+J166+J167+J168</f>
        <v>27704.379999999997</v>
      </c>
      <c r="J170" s="44"/>
      <c r="K170" s="24">
        <f>IF(Source!I241&lt;&gt;0, ROUND(I170/Source!I241, 2), 0)</f>
        <v>4617.3999999999996</v>
      </c>
      <c r="P170" s="22">
        <f>I170</f>
        <v>27704.379999999997</v>
      </c>
    </row>
    <row r="171" spans="1:22" ht="71.25" x14ac:dyDescent="0.2">
      <c r="A171" s="18">
        <v>14</v>
      </c>
      <c r="B171" s="18" t="str">
        <f>Source!F242</f>
        <v>1.23-2103-41-1/1</v>
      </c>
      <c r="C171" s="18" t="str">
        <f>Source!G242</f>
        <v>Техническое обслуживание регулирующего клапана / Набор для водонагервателя: клапан латунь с курком, сливная трубка 1/2 ВН-НР, 10бар  ITAP</v>
      </c>
      <c r="D171" s="19" t="str">
        <f>Source!H242</f>
        <v>шт.</v>
      </c>
      <c r="E171" s="9">
        <f>Source!I242</f>
        <v>6</v>
      </c>
      <c r="F171" s="21"/>
      <c r="G171" s="20"/>
      <c r="H171" s="9"/>
      <c r="I171" s="9"/>
      <c r="J171" s="21"/>
      <c r="K171" s="21"/>
      <c r="Q171">
        <f>ROUND((Source!BZ242/100)*ROUND((Source!AF242*Source!AV242)*Source!I242, 2), 2)</f>
        <v>873.6</v>
      </c>
      <c r="R171">
        <f>Source!X242</f>
        <v>873.6</v>
      </c>
      <c r="S171">
        <f>ROUND((Source!CA242/100)*ROUND((Source!AF242*Source!AV242)*Source!I242, 2), 2)</f>
        <v>124.8</v>
      </c>
      <c r="T171">
        <f>Source!Y242</f>
        <v>124.8</v>
      </c>
      <c r="U171">
        <f>ROUND((175/100)*ROUND((Source!AE242*Source!AV242)*Source!I242, 2), 2)</f>
        <v>520.49</v>
      </c>
      <c r="V171">
        <f>ROUND((108/100)*ROUND(Source!CS242*Source!I242, 2), 2)</f>
        <v>321.20999999999998</v>
      </c>
    </row>
    <row r="172" spans="1:22" ht="14.25" x14ac:dyDescent="0.2">
      <c r="A172" s="18"/>
      <c r="B172" s="18"/>
      <c r="C172" s="18" t="s">
        <v>1100</v>
      </c>
      <c r="D172" s="19"/>
      <c r="E172" s="9"/>
      <c r="F172" s="21">
        <f>Source!AO242</f>
        <v>208</v>
      </c>
      <c r="G172" s="20" t="str">
        <f>Source!DG242</f>
        <v/>
      </c>
      <c r="H172" s="9">
        <f>Source!AV242</f>
        <v>1</v>
      </c>
      <c r="I172" s="9">
        <f>IF(Source!BA242&lt;&gt; 0, Source!BA242, 1)</f>
        <v>1</v>
      </c>
      <c r="J172" s="21">
        <f>Source!S242</f>
        <v>1248</v>
      </c>
      <c r="K172" s="21"/>
    </row>
    <row r="173" spans="1:22" ht="14.25" x14ac:dyDescent="0.2">
      <c r="A173" s="18"/>
      <c r="B173" s="18"/>
      <c r="C173" s="18" t="s">
        <v>1107</v>
      </c>
      <c r="D173" s="19"/>
      <c r="E173" s="9"/>
      <c r="F173" s="21">
        <f>Source!AM242</f>
        <v>78.180000000000007</v>
      </c>
      <c r="G173" s="20" t="str">
        <f>Source!DE242</f>
        <v/>
      </c>
      <c r="H173" s="9">
        <f>Source!AV242</f>
        <v>1</v>
      </c>
      <c r="I173" s="9">
        <f>IF(Source!BB242&lt;&gt; 0, Source!BB242, 1)</f>
        <v>1</v>
      </c>
      <c r="J173" s="21">
        <f>Source!Q242</f>
        <v>469.08</v>
      </c>
      <c r="K173" s="21"/>
    </row>
    <row r="174" spans="1:22" ht="14.25" x14ac:dyDescent="0.2">
      <c r="A174" s="18"/>
      <c r="B174" s="18"/>
      <c r="C174" s="18" t="s">
        <v>1108</v>
      </c>
      <c r="D174" s="19"/>
      <c r="E174" s="9"/>
      <c r="F174" s="21">
        <f>Source!AN242</f>
        <v>49.57</v>
      </c>
      <c r="G174" s="20" t="str">
        <f>Source!DF242</f>
        <v/>
      </c>
      <c r="H174" s="9">
        <f>Source!AV242</f>
        <v>1</v>
      </c>
      <c r="I174" s="9">
        <f>IF(Source!BS242&lt;&gt; 0, Source!BS242, 1)</f>
        <v>1</v>
      </c>
      <c r="J174" s="25">
        <f>Source!R242</f>
        <v>297.42</v>
      </c>
      <c r="K174" s="21"/>
    </row>
    <row r="175" spans="1:22" ht="14.25" x14ac:dyDescent="0.2">
      <c r="A175" s="18"/>
      <c r="B175" s="18"/>
      <c r="C175" s="18" t="s">
        <v>1102</v>
      </c>
      <c r="D175" s="19" t="s">
        <v>1103</v>
      </c>
      <c r="E175" s="9">
        <f>Source!AT242</f>
        <v>70</v>
      </c>
      <c r="F175" s="21"/>
      <c r="G175" s="20"/>
      <c r="H175" s="9"/>
      <c r="I175" s="9"/>
      <c r="J175" s="21">
        <f>SUM(R171:R174)</f>
        <v>873.6</v>
      </c>
      <c r="K175" s="21"/>
    </row>
    <row r="176" spans="1:22" ht="14.25" x14ac:dyDescent="0.2">
      <c r="A176" s="18"/>
      <c r="B176" s="18"/>
      <c r="C176" s="18" t="s">
        <v>1104</v>
      </c>
      <c r="D176" s="19" t="s">
        <v>1103</v>
      </c>
      <c r="E176" s="9">
        <f>Source!AU242</f>
        <v>10</v>
      </c>
      <c r="F176" s="21"/>
      <c r="G176" s="20"/>
      <c r="H176" s="9"/>
      <c r="I176" s="9"/>
      <c r="J176" s="21">
        <f>SUM(T171:T175)</f>
        <v>124.8</v>
      </c>
      <c r="K176" s="21"/>
    </row>
    <row r="177" spans="1:29" ht="14.25" x14ac:dyDescent="0.2">
      <c r="A177" s="18"/>
      <c r="B177" s="18"/>
      <c r="C177" s="18" t="s">
        <v>1109</v>
      </c>
      <c r="D177" s="19" t="s">
        <v>1103</v>
      </c>
      <c r="E177" s="9">
        <f>108</f>
        <v>108</v>
      </c>
      <c r="F177" s="21"/>
      <c r="G177" s="20"/>
      <c r="H177" s="9"/>
      <c r="I177" s="9"/>
      <c r="J177" s="21">
        <f>SUM(V171:V176)</f>
        <v>321.20999999999998</v>
      </c>
      <c r="K177" s="21"/>
    </row>
    <row r="178" spans="1:29" ht="14.25" x14ac:dyDescent="0.2">
      <c r="A178" s="18"/>
      <c r="B178" s="18"/>
      <c r="C178" s="18" t="s">
        <v>1105</v>
      </c>
      <c r="D178" s="19" t="s">
        <v>1106</v>
      </c>
      <c r="E178" s="9">
        <f>Source!AQ242</f>
        <v>0.37</v>
      </c>
      <c r="F178" s="21"/>
      <c r="G178" s="20" t="str">
        <f>Source!DI242</f>
        <v/>
      </c>
      <c r="H178" s="9">
        <f>Source!AV242</f>
        <v>1</v>
      </c>
      <c r="I178" s="9"/>
      <c r="J178" s="21"/>
      <c r="K178" s="21">
        <f>Source!U242</f>
        <v>2.2199999999999998</v>
      </c>
    </row>
    <row r="179" spans="1:29" ht="15" x14ac:dyDescent="0.25">
      <c r="A179" s="23"/>
      <c r="B179" s="23"/>
      <c r="C179" s="23"/>
      <c r="D179" s="23"/>
      <c r="E179" s="23"/>
      <c r="F179" s="23"/>
      <c r="G179" s="23"/>
      <c r="H179" s="23"/>
      <c r="I179" s="44">
        <f>J172+J173+J175+J176+J177</f>
        <v>3036.69</v>
      </c>
      <c r="J179" s="44"/>
      <c r="K179" s="24">
        <f>IF(Source!I242&lt;&gt;0, ROUND(I179/Source!I242, 2), 0)</f>
        <v>506.12</v>
      </c>
      <c r="P179" s="22">
        <f>I179</f>
        <v>3036.69</v>
      </c>
    </row>
    <row r="181" spans="1:29" ht="30" customHeight="1" x14ac:dyDescent="0.25">
      <c r="B181" s="47" t="str">
        <f>Source!G243</f>
        <v>Система обратного осмоса Waterstry NW-RO50-A1 5 ступеней (50GPD, насос, бак 11,6л, кран D-13) (NW-RO50-A1) NW-RO50-A1 Waterstry</v>
      </c>
      <c r="C181" s="47"/>
      <c r="D181" s="47"/>
      <c r="E181" s="47"/>
      <c r="F181" s="47"/>
      <c r="G181" s="47"/>
      <c r="H181" s="47"/>
      <c r="I181" s="47"/>
      <c r="J181" s="47"/>
      <c r="AC181" s="29" t="str">
        <f>Source!G243</f>
        <v>Система обратного осмоса Waterstry NW-RO50-A1 5 ступеней (50GPD, насос, бак 11,6л, кран D-13) (NW-RO50-A1) NW-RO50-A1 Waterstry</v>
      </c>
    </row>
    <row r="182" spans="1:29" ht="42.75" x14ac:dyDescent="0.2">
      <c r="A182" s="18">
        <v>15</v>
      </c>
      <c r="B182" s="18" t="str">
        <f>Source!F244</f>
        <v>1.17-2103-14-10/1</v>
      </c>
      <c r="C182" s="18" t="str">
        <f>Source!G244</f>
        <v>Техническое обслуживание мембранного расширительного бака объемом 18 л</v>
      </c>
      <c r="D182" s="19" t="str">
        <f>Source!H244</f>
        <v>шт.</v>
      </c>
      <c r="E182" s="9">
        <f>Source!I244</f>
        <v>1</v>
      </c>
      <c r="F182" s="21"/>
      <c r="G182" s="20"/>
      <c r="H182" s="9"/>
      <c r="I182" s="9"/>
      <c r="J182" s="21"/>
      <c r="K182" s="21"/>
      <c r="Q182">
        <f>ROUND((Source!BZ244/100)*ROUND((Source!AF244*Source!AV244)*Source!I244, 2), 2)</f>
        <v>90.77</v>
      </c>
      <c r="R182">
        <f>Source!X244</f>
        <v>90.77</v>
      </c>
      <c r="S182">
        <f>ROUND((Source!CA244/100)*ROUND((Source!AF244*Source!AV244)*Source!I244, 2), 2)</f>
        <v>12.97</v>
      </c>
      <c r="T182">
        <f>Source!Y244</f>
        <v>12.97</v>
      </c>
      <c r="U182">
        <f>ROUND((175/100)*ROUND((Source!AE244*Source!AV244)*Source!I244, 2), 2)</f>
        <v>0</v>
      </c>
      <c r="V182">
        <f>ROUND((108/100)*ROUND(Source!CS244*Source!I244, 2), 2)</f>
        <v>0</v>
      </c>
    </row>
    <row r="183" spans="1:29" ht="14.25" x14ac:dyDescent="0.2">
      <c r="A183" s="18"/>
      <c r="B183" s="18"/>
      <c r="C183" s="18" t="s">
        <v>1100</v>
      </c>
      <c r="D183" s="19"/>
      <c r="E183" s="9"/>
      <c r="F183" s="21">
        <f>Source!AO244</f>
        <v>129.66999999999999</v>
      </c>
      <c r="G183" s="20" t="str">
        <f>Source!DG244</f>
        <v/>
      </c>
      <c r="H183" s="9">
        <f>Source!AV244</f>
        <v>1</v>
      </c>
      <c r="I183" s="9">
        <f>IF(Source!BA244&lt;&gt; 0, Source!BA244, 1)</f>
        <v>1</v>
      </c>
      <c r="J183" s="21">
        <f>Source!S244</f>
        <v>129.66999999999999</v>
      </c>
      <c r="K183" s="21"/>
    </row>
    <row r="184" spans="1:29" ht="14.25" x14ac:dyDescent="0.2">
      <c r="A184" s="18"/>
      <c r="B184" s="18"/>
      <c r="C184" s="18" t="s">
        <v>1101</v>
      </c>
      <c r="D184" s="19"/>
      <c r="E184" s="9"/>
      <c r="F184" s="21">
        <f>Source!AL244</f>
        <v>0.14000000000000001</v>
      </c>
      <c r="G184" s="20" t="str">
        <f>Source!DD244</f>
        <v/>
      </c>
      <c r="H184" s="9">
        <f>Source!AW244</f>
        <v>1</v>
      </c>
      <c r="I184" s="9">
        <f>IF(Source!BC244&lt;&gt; 0, Source!BC244, 1)</f>
        <v>1</v>
      </c>
      <c r="J184" s="21">
        <f>Source!P244</f>
        <v>0.14000000000000001</v>
      </c>
      <c r="K184" s="21"/>
    </row>
    <row r="185" spans="1:29" ht="14.25" x14ac:dyDescent="0.2">
      <c r="A185" s="18"/>
      <c r="B185" s="18"/>
      <c r="C185" s="18" t="s">
        <v>1102</v>
      </c>
      <c r="D185" s="19" t="s">
        <v>1103</v>
      </c>
      <c r="E185" s="9">
        <f>Source!AT244</f>
        <v>70</v>
      </c>
      <c r="F185" s="21"/>
      <c r="G185" s="20"/>
      <c r="H185" s="9"/>
      <c r="I185" s="9"/>
      <c r="J185" s="21">
        <f>SUM(R182:R184)</f>
        <v>90.77</v>
      </c>
      <c r="K185" s="21"/>
    </row>
    <row r="186" spans="1:29" ht="14.25" x14ac:dyDescent="0.2">
      <c r="A186" s="18"/>
      <c r="B186" s="18"/>
      <c r="C186" s="18" t="s">
        <v>1104</v>
      </c>
      <c r="D186" s="19" t="s">
        <v>1103</v>
      </c>
      <c r="E186" s="9">
        <f>Source!AU244</f>
        <v>10</v>
      </c>
      <c r="F186" s="21"/>
      <c r="G186" s="20"/>
      <c r="H186" s="9"/>
      <c r="I186" s="9"/>
      <c r="J186" s="21">
        <f>SUM(T182:T185)</f>
        <v>12.97</v>
      </c>
      <c r="K186" s="21"/>
    </row>
    <row r="187" spans="1:29" ht="14.25" x14ac:dyDescent="0.2">
      <c r="A187" s="18"/>
      <c r="B187" s="18"/>
      <c r="C187" s="18" t="s">
        <v>1105</v>
      </c>
      <c r="D187" s="19" t="s">
        <v>1106</v>
      </c>
      <c r="E187" s="9">
        <f>Source!AQ244</f>
        <v>0.21</v>
      </c>
      <c r="F187" s="21"/>
      <c r="G187" s="20" t="str">
        <f>Source!DI244</f>
        <v/>
      </c>
      <c r="H187" s="9">
        <f>Source!AV244</f>
        <v>1</v>
      </c>
      <c r="I187" s="9"/>
      <c r="J187" s="21"/>
      <c r="K187" s="21">
        <f>Source!U244</f>
        <v>0.21</v>
      </c>
    </row>
    <row r="188" spans="1:29" ht="15" x14ac:dyDescent="0.25">
      <c r="A188" s="23"/>
      <c r="B188" s="23"/>
      <c r="C188" s="23"/>
      <c r="D188" s="23"/>
      <c r="E188" s="23"/>
      <c r="F188" s="23"/>
      <c r="G188" s="23"/>
      <c r="H188" s="23"/>
      <c r="I188" s="44">
        <f>J183+J184+J185+J186</f>
        <v>233.54999999999998</v>
      </c>
      <c r="J188" s="44"/>
      <c r="K188" s="24">
        <f>IF(Source!I244&lt;&gt;0, ROUND(I188/Source!I244, 2), 0)</f>
        <v>233.55</v>
      </c>
      <c r="P188" s="22">
        <f>I188</f>
        <v>233.54999999999998</v>
      </c>
    </row>
    <row r="189" spans="1:29" ht="57" x14ac:dyDescent="0.2">
      <c r="A189" s="18">
        <v>16</v>
      </c>
      <c r="B189" s="18" t="str">
        <f>Source!F245</f>
        <v>1.23-2103-41-1/1</v>
      </c>
      <c r="C189" s="18" t="str">
        <f>Source!G245</f>
        <v>Техническое обслуживание регулирующего клапана / водоразборный кран установки обратного осмоса</v>
      </c>
      <c r="D189" s="19" t="str">
        <f>Source!H245</f>
        <v>шт.</v>
      </c>
      <c r="E189" s="9">
        <f>Source!I245</f>
        <v>1</v>
      </c>
      <c r="F189" s="21"/>
      <c r="G189" s="20"/>
      <c r="H189" s="9"/>
      <c r="I189" s="9"/>
      <c r="J189" s="21"/>
      <c r="K189" s="21"/>
      <c r="Q189">
        <f>ROUND((Source!BZ245/100)*ROUND((Source!AF245*Source!AV245)*Source!I245, 2), 2)</f>
        <v>291.2</v>
      </c>
      <c r="R189">
        <f>Source!X245</f>
        <v>291.2</v>
      </c>
      <c r="S189">
        <f>ROUND((Source!CA245/100)*ROUND((Source!AF245*Source!AV245)*Source!I245, 2), 2)</f>
        <v>41.6</v>
      </c>
      <c r="T189">
        <f>Source!Y245</f>
        <v>41.6</v>
      </c>
      <c r="U189">
        <f>ROUND((175/100)*ROUND((Source!AE245*Source!AV245)*Source!I245, 2), 2)</f>
        <v>173.5</v>
      </c>
      <c r="V189">
        <f>ROUND((108/100)*ROUND(Source!CS245*Source!I245, 2), 2)</f>
        <v>107.07</v>
      </c>
    </row>
    <row r="190" spans="1:29" ht="14.25" x14ac:dyDescent="0.2">
      <c r="A190" s="18"/>
      <c r="B190" s="18"/>
      <c r="C190" s="18" t="s">
        <v>1100</v>
      </c>
      <c r="D190" s="19"/>
      <c r="E190" s="9"/>
      <c r="F190" s="21">
        <f>Source!AO245</f>
        <v>208</v>
      </c>
      <c r="G190" s="20" t="str">
        <f>Source!DG245</f>
        <v>)*2</v>
      </c>
      <c r="H190" s="9">
        <f>Source!AV245</f>
        <v>1</v>
      </c>
      <c r="I190" s="9">
        <f>IF(Source!BA245&lt;&gt; 0, Source!BA245, 1)</f>
        <v>1</v>
      </c>
      <c r="J190" s="21">
        <f>Source!S245</f>
        <v>416</v>
      </c>
      <c r="K190" s="21"/>
    </row>
    <row r="191" spans="1:29" ht="14.25" x14ac:dyDescent="0.2">
      <c r="A191" s="18"/>
      <c r="B191" s="18"/>
      <c r="C191" s="18" t="s">
        <v>1107</v>
      </c>
      <c r="D191" s="19"/>
      <c r="E191" s="9"/>
      <c r="F191" s="21">
        <f>Source!AM245</f>
        <v>78.180000000000007</v>
      </c>
      <c r="G191" s="20" t="str">
        <f>Source!DE245</f>
        <v>)*2</v>
      </c>
      <c r="H191" s="9">
        <f>Source!AV245</f>
        <v>1</v>
      </c>
      <c r="I191" s="9">
        <f>IF(Source!BB245&lt;&gt; 0, Source!BB245, 1)</f>
        <v>1</v>
      </c>
      <c r="J191" s="21">
        <f>Source!Q245</f>
        <v>156.36000000000001</v>
      </c>
      <c r="K191" s="21"/>
    </row>
    <row r="192" spans="1:29" ht="14.25" x14ac:dyDescent="0.2">
      <c r="A192" s="18"/>
      <c r="B192" s="18"/>
      <c r="C192" s="18" t="s">
        <v>1108</v>
      </c>
      <c r="D192" s="19"/>
      <c r="E192" s="9"/>
      <c r="F192" s="21">
        <f>Source!AN245</f>
        <v>49.57</v>
      </c>
      <c r="G192" s="20" t="str">
        <f>Source!DF245</f>
        <v>)*2</v>
      </c>
      <c r="H192" s="9">
        <f>Source!AV245</f>
        <v>1</v>
      </c>
      <c r="I192" s="9">
        <f>IF(Source!BS245&lt;&gt; 0, Source!BS245, 1)</f>
        <v>1</v>
      </c>
      <c r="J192" s="25">
        <f>Source!R245</f>
        <v>99.14</v>
      </c>
      <c r="K192" s="21"/>
    </row>
    <row r="193" spans="1:22" ht="14.25" x14ac:dyDescent="0.2">
      <c r="A193" s="18"/>
      <c r="B193" s="18"/>
      <c r="C193" s="18" t="s">
        <v>1102</v>
      </c>
      <c r="D193" s="19" t="s">
        <v>1103</v>
      </c>
      <c r="E193" s="9">
        <f>Source!AT245</f>
        <v>70</v>
      </c>
      <c r="F193" s="21"/>
      <c r="G193" s="20"/>
      <c r="H193" s="9"/>
      <c r="I193" s="9"/>
      <c r="J193" s="21">
        <f>SUM(R189:R192)</f>
        <v>291.2</v>
      </c>
      <c r="K193" s="21"/>
    </row>
    <row r="194" spans="1:22" ht="14.25" x14ac:dyDescent="0.2">
      <c r="A194" s="18"/>
      <c r="B194" s="18"/>
      <c r="C194" s="18" t="s">
        <v>1104</v>
      </c>
      <c r="D194" s="19" t="s">
        <v>1103</v>
      </c>
      <c r="E194" s="9">
        <f>Source!AU245</f>
        <v>10</v>
      </c>
      <c r="F194" s="21"/>
      <c r="G194" s="20"/>
      <c r="H194" s="9"/>
      <c r="I194" s="9"/>
      <c r="J194" s="21">
        <f>SUM(T189:T193)</f>
        <v>41.6</v>
      </c>
      <c r="K194" s="21"/>
    </row>
    <row r="195" spans="1:22" ht="14.25" x14ac:dyDescent="0.2">
      <c r="A195" s="18"/>
      <c r="B195" s="18"/>
      <c r="C195" s="18" t="s">
        <v>1109</v>
      </c>
      <c r="D195" s="19" t="s">
        <v>1103</v>
      </c>
      <c r="E195" s="9">
        <f>108</f>
        <v>108</v>
      </c>
      <c r="F195" s="21"/>
      <c r="G195" s="20"/>
      <c r="H195" s="9"/>
      <c r="I195" s="9"/>
      <c r="J195" s="21">
        <f>SUM(V189:V194)</f>
        <v>107.07</v>
      </c>
      <c r="K195" s="21"/>
    </row>
    <row r="196" spans="1:22" ht="14.25" x14ac:dyDescent="0.2">
      <c r="A196" s="18"/>
      <c r="B196" s="18"/>
      <c r="C196" s="18" t="s">
        <v>1105</v>
      </c>
      <c r="D196" s="19" t="s">
        <v>1106</v>
      </c>
      <c r="E196" s="9">
        <f>Source!AQ245</f>
        <v>0.37</v>
      </c>
      <c r="F196" s="21"/>
      <c r="G196" s="20" t="str">
        <f>Source!DI245</f>
        <v>)*2</v>
      </c>
      <c r="H196" s="9">
        <f>Source!AV245</f>
        <v>1</v>
      </c>
      <c r="I196" s="9"/>
      <c r="J196" s="21"/>
      <c r="K196" s="21">
        <f>Source!U245</f>
        <v>0.74</v>
      </c>
    </row>
    <row r="197" spans="1:22" ht="15" x14ac:dyDescent="0.25">
      <c r="A197" s="23"/>
      <c r="B197" s="23"/>
      <c r="C197" s="23"/>
      <c r="D197" s="23"/>
      <c r="E197" s="23"/>
      <c r="F197" s="23"/>
      <c r="G197" s="23"/>
      <c r="H197" s="23"/>
      <c r="I197" s="44">
        <f>J190+J191+J193+J194+J195</f>
        <v>1012.23</v>
      </c>
      <c r="J197" s="44"/>
      <c r="K197" s="24">
        <f>IF(Source!I245&lt;&gt;0, ROUND(I197/Source!I245, 2), 0)</f>
        <v>1012.23</v>
      </c>
      <c r="P197" s="22">
        <f>I197</f>
        <v>1012.23</v>
      </c>
    </row>
    <row r="199" spans="1:22" ht="15" customHeight="1" x14ac:dyDescent="0.25">
      <c r="A199" s="46" t="str">
        <f>CONCATENATE("Итого по подразделу: ",IF(Source!G251&lt;&gt;"Новый подраздел", Source!G251, ""))</f>
        <v>Итого по подразделу: Сантехприборы и оборудование</v>
      </c>
      <c r="B199" s="46"/>
      <c r="C199" s="46"/>
      <c r="D199" s="46"/>
      <c r="E199" s="46"/>
      <c r="F199" s="46"/>
      <c r="G199" s="46"/>
      <c r="H199" s="46"/>
      <c r="I199" s="45">
        <f>SUM(P123:P198)</f>
        <v>83108.289999999994</v>
      </c>
      <c r="J199" s="45"/>
      <c r="K199" s="26"/>
    </row>
    <row r="202" spans="1:22" ht="15" customHeight="1" x14ac:dyDescent="0.25">
      <c r="A202" s="46" t="str">
        <f>CONCATENATE("Итого по разделу: ",IF(Source!G281&lt;&gt;"Новый раздел", Source!G281, ""))</f>
        <v>Итого по разделу: 1. Система водоснабжение и водоотведение.</v>
      </c>
      <c r="B202" s="46"/>
      <c r="C202" s="46"/>
      <c r="D202" s="46"/>
      <c r="E202" s="46"/>
      <c r="F202" s="46"/>
      <c r="G202" s="46"/>
      <c r="H202" s="46"/>
      <c r="I202" s="45">
        <f>SUM(P34:P201)</f>
        <v>137206.04999999999</v>
      </c>
      <c r="J202" s="45"/>
      <c r="K202" s="26"/>
    </row>
    <row r="205" spans="1:22" ht="16.5" customHeight="1" x14ac:dyDescent="0.25">
      <c r="A205" s="48" t="str">
        <f>CONCATENATE("Раздел: ",IF(Source!G311&lt;&gt;"Новый раздел", Source!G311, ""))</f>
        <v>Раздел: 2. Внутренние сети отопления</v>
      </c>
      <c r="B205" s="48"/>
      <c r="C205" s="48"/>
      <c r="D205" s="48"/>
      <c r="E205" s="48"/>
      <c r="F205" s="48"/>
      <c r="G205" s="48"/>
      <c r="H205" s="48"/>
      <c r="I205" s="48"/>
      <c r="J205" s="48"/>
      <c r="K205" s="48"/>
    </row>
    <row r="207" spans="1:22" ht="16.5" customHeight="1" x14ac:dyDescent="0.25">
      <c r="A207" s="48" t="str">
        <f>CONCATENATE("Подраздел: ",IF(Source!G315&lt;&gt;"Новый подраздел", Source!G315, ""))</f>
        <v>Подраздел: 2.1 Отопление</v>
      </c>
      <c r="B207" s="48"/>
      <c r="C207" s="48"/>
      <c r="D207" s="48"/>
      <c r="E207" s="48"/>
      <c r="F207" s="48"/>
      <c r="G207" s="48"/>
      <c r="H207" s="48"/>
      <c r="I207" s="48"/>
      <c r="J207" s="48"/>
      <c r="K207" s="48"/>
    </row>
    <row r="208" spans="1:22" ht="28.5" x14ac:dyDescent="0.2">
      <c r="A208" s="18">
        <v>17</v>
      </c>
      <c r="B208" s="18" t="str">
        <f>Source!F319</f>
        <v>1.17-2103-8-1/1</v>
      </c>
      <c r="C208" s="18" t="str">
        <f>Source!G319</f>
        <v>Техническое обслуживание инфракрасных потолочных панелей</v>
      </c>
      <c r="D208" s="19" t="str">
        <f>Source!H319</f>
        <v>100 м</v>
      </c>
      <c r="E208" s="9">
        <f>Source!I319</f>
        <v>0.63600000000000001</v>
      </c>
      <c r="F208" s="21"/>
      <c r="G208" s="20"/>
      <c r="H208" s="9"/>
      <c r="I208" s="9"/>
      <c r="J208" s="21"/>
      <c r="K208" s="21"/>
      <c r="Q208">
        <f>ROUND((Source!BZ319/100)*ROUND((Source!AF319*Source!AV319)*Source!I319, 2), 2)</f>
        <v>3004.71</v>
      </c>
      <c r="R208">
        <f>Source!X319</f>
        <v>3004.71</v>
      </c>
      <c r="S208">
        <f>ROUND((Source!CA319/100)*ROUND((Source!AF319*Source!AV319)*Source!I319, 2), 2)</f>
        <v>429.24</v>
      </c>
      <c r="T208">
        <f>Source!Y319</f>
        <v>429.24</v>
      </c>
      <c r="U208">
        <f>ROUND((175/100)*ROUND((Source!AE319*Source!AV319)*Source!I319, 2), 2)</f>
        <v>2225.34</v>
      </c>
      <c r="V208">
        <f>ROUND((108/100)*ROUND(Source!CS319*Source!I319, 2), 2)</f>
        <v>1373.35</v>
      </c>
    </row>
    <row r="209" spans="1:22" x14ac:dyDescent="0.2">
      <c r="C209" s="28" t="str">
        <f>"Объем: "&amp;Source!I319&amp;"=(10,6*"&amp;"3)*"&amp;"2/"&amp;"100"</f>
        <v>Объем: 0,636=(10,6*3)*2/100</v>
      </c>
    </row>
    <row r="210" spans="1:22" ht="14.25" x14ac:dyDescent="0.2">
      <c r="A210" s="18"/>
      <c r="B210" s="18"/>
      <c r="C210" s="18" t="s">
        <v>1100</v>
      </c>
      <c r="D210" s="19"/>
      <c r="E210" s="9"/>
      <c r="F210" s="21">
        <f>Source!AO319</f>
        <v>6749.12</v>
      </c>
      <c r="G210" s="20" t="str">
        <f>Source!DG319</f>
        <v/>
      </c>
      <c r="H210" s="9">
        <f>Source!AV319</f>
        <v>1</v>
      </c>
      <c r="I210" s="9">
        <f>IF(Source!BA319&lt;&gt; 0, Source!BA319, 1)</f>
        <v>1</v>
      </c>
      <c r="J210" s="21">
        <f>Source!S319</f>
        <v>4292.4399999999996</v>
      </c>
      <c r="K210" s="21"/>
    </row>
    <row r="211" spans="1:22" ht="14.25" x14ac:dyDescent="0.2">
      <c r="A211" s="18"/>
      <c r="B211" s="18"/>
      <c r="C211" s="18" t="s">
        <v>1107</v>
      </c>
      <c r="D211" s="19"/>
      <c r="E211" s="9"/>
      <c r="F211" s="21">
        <f>Source!AM319</f>
        <v>3153.28</v>
      </c>
      <c r="G211" s="20" t="str">
        <f>Source!DE319</f>
        <v/>
      </c>
      <c r="H211" s="9">
        <f>Source!AV319</f>
        <v>1</v>
      </c>
      <c r="I211" s="9">
        <f>IF(Source!BB319&lt;&gt; 0, Source!BB319, 1)</f>
        <v>1</v>
      </c>
      <c r="J211" s="21">
        <f>Source!Q319</f>
        <v>2005.49</v>
      </c>
      <c r="K211" s="21"/>
    </row>
    <row r="212" spans="1:22" ht="14.25" x14ac:dyDescent="0.2">
      <c r="A212" s="18"/>
      <c r="B212" s="18"/>
      <c r="C212" s="18" t="s">
        <v>1108</v>
      </c>
      <c r="D212" s="19"/>
      <c r="E212" s="9"/>
      <c r="F212" s="21">
        <f>Source!AN319</f>
        <v>1999.4</v>
      </c>
      <c r="G212" s="20" t="str">
        <f>Source!DF319</f>
        <v/>
      </c>
      <c r="H212" s="9">
        <f>Source!AV319</f>
        <v>1</v>
      </c>
      <c r="I212" s="9">
        <f>IF(Source!BS319&lt;&gt; 0, Source!BS319, 1)</f>
        <v>1</v>
      </c>
      <c r="J212" s="25">
        <f>Source!R319</f>
        <v>1271.6199999999999</v>
      </c>
      <c r="K212" s="21"/>
    </row>
    <row r="213" spans="1:22" ht="14.25" x14ac:dyDescent="0.2">
      <c r="A213" s="18"/>
      <c r="B213" s="18"/>
      <c r="C213" s="18" t="s">
        <v>1101</v>
      </c>
      <c r="D213" s="19"/>
      <c r="E213" s="9"/>
      <c r="F213" s="21">
        <f>Source!AL319</f>
        <v>7.8</v>
      </c>
      <c r="G213" s="20" t="str">
        <f>Source!DD319</f>
        <v/>
      </c>
      <c r="H213" s="9">
        <f>Source!AW319</f>
        <v>1</v>
      </c>
      <c r="I213" s="9">
        <f>IF(Source!BC319&lt;&gt; 0, Source!BC319, 1)</f>
        <v>1</v>
      </c>
      <c r="J213" s="21">
        <f>Source!P319</f>
        <v>4.96</v>
      </c>
      <c r="K213" s="21"/>
    </row>
    <row r="214" spans="1:22" ht="14.25" x14ac:dyDescent="0.2">
      <c r="A214" s="18"/>
      <c r="B214" s="18"/>
      <c r="C214" s="18" t="s">
        <v>1102</v>
      </c>
      <c r="D214" s="19" t="s">
        <v>1103</v>
      </c>
      <c r="E214" s="9">
        <f>Source!AT319</f>
        <v>70</v>
      </c>
      <c r="F214" s="21"/>
      <c r="G214" s="20"/>
      <c r="H214" s="9"/>
      <c r="I214" s="9"/>
      <c r="J214" s="21">
        <f>SUM(R208:R213)</f>
        <v>3004.71</v>
      </c>
      <c r="K214" s="21"/>
    </row>
    <row r="215" spans="1:22" ht="14.25" x14ac:dyDescent="0.2">
      <c r="A215" s="18"/>
      <c r="B215" s="18"/>
      <c r="C215" s="18" t="s">
        <v>1104</v>
      </c>
      <c r="D215" s="19" t="s">
        <v>1103</v>
      </c>
      <c r="E215" s="9">
        <f>Source!AU319</f>
        <v>10</v>
      </c>
      <c r="F215" s="21"/>
      <c r="G215" s="20"/>
      <c r="H215" s="9"/>
      <c r="I215" s="9"/>
      <c r="J215" s="21">
        <f>SUM(T208:T214)</f>
        <v>429.24</v>
      </c>
      <c r="K215" s="21"/>
    </row>
    <row r="216" spans="1:22" ht="14.25" x14ac:dyDescent="0.2">
      <c r="A216" s="18"/>
      <c r="B216" s="18"/>
      <c r="C216" s="18" t="s">
        <v>1109</v>
      </c>
      <c r="D216" s="19" t="s">
        <v>1103</v>
      </c>
      <c r="E216" s="9">
        <f>108</f>
        <v>108</v>
      </c>
      <c r="F216" s="21"/>
      <c r="G216" s="20"/>
      <c r="H216" s="9"/>
      <c r="I216" s="9"/>
      <c r="J216" s="21">
        <f>SUM(V208:V215)</f>
        <v>1373.35</v>
      </c>
      <c r="K216" s="21"/>
    </row>
    <row r="217" spans="1:22" ht="14.25" x14ac:dyDescent="0.2">
      <c r="A217" s="18"/>
      <c r="B217" s="18"/>
      <c r="C217" s="18" t="s">
        <v>1105</v>
      </c>
      <c r="D217" s="19" t="s">
        <v>1106</v>
      </c>
      <c r="E217" s="9">
        <f>Source!AQ319</f>
        <v>11.04</v>
      </c>
      <c r="F217" s="21"/>
      <c r="G217" s="20" t="str">
        <f>Source!DI319</f>
        <v/>
      </c>
      <c r="H217" s="9">
        <f>Source!AV319</f>
        <v>1</v>
      </c>
      <c r="I217" s="9"/>
      <c r="J217" s="21"/>
      <c r="K217" s="21">
        <f>Source!U319</f>
        <v>7.0214399999999992</v>
      </c>
    </row>
    <row r="218" spans="1:22" ht="15" x14ac:dyDescent="0.25">
      <c r="A218" s="23"/>
      <c r="B218" s="23"/>
      <c r="C218" s="23"/>
      <c r="D218" s="23"/>
      <c r="E218" s="23"/>
      <c r="F218" s="23"/>
      <c r="G218" s="23"/>
      <c r="H218" s="23"/>
      <c r="I218" s="44">
        <f>J210+J211+J213+J214+J215+J216</f>
        <v>11110.189999999999</v>
      </c>
      <c r="J218" s="44"/>
      <c r="K218" s="24">
        <f>IF(Source!I319&lt;&gt;0, ROUND(I218/Source!I319, 2), 0)</f>
        <v>17468.849999999999</v>
      </c>
      <c r="P218" s="22">
        <f>I218</f>
        <v>11110.189999999999</v>
      </c>
    </row>
    <row r="219" spans="1:22" ht="99.75" x14ac:dyDescent="0.2">
      <c r="A219" s="18">
        <v>18</v>
      </c>
      <c r="B219" s="18" t="str">
        <f>Source!F320</f>
        <v>1.21-2303-50-1/1</v>
      </c>
      <c r="C219" s="18" t="str">
        <f>Source!G320</f>
        <v>Техническое обслуживание  конвектора электрического настенного крепления, с механическим термостатом, мощность до 2,0 кВт / Электрический конвектор напольный  220В ЭВУБ-1,5 ЗАО «Делсот» 1,5 кВт, 2,0 кВт</v>
      </c>
      <c r="D219" s="19" t="str">
        <f>Source!H320</f>
        <v>шт.</v>
      </c>
      <c r="E219" s="9">
        <f>Source!I320</f>
        <v>3</v>
      </c>
      <c r="F219" s="21"/>
      <c r="G219" s="20"/>
      <c r="H219" s="9"/>
      <c r="I219" s="9"/>
      <c r="J219" s="21"/>
      <c r="K219" s="21"/>
      <c r="Q219">
        <f>ROUND((Source!BZ320/100)*ROUND((Source!AF320*Source!AV320)*Source!I320, 2), 2)</f>
        <v>181.55</v>
      </c>
      <c r="R219">
        <f>Source!X320</f>
        <v>181.55</v>
      </c>
      <c r="S219">
        <f>ROUND((Source!CA320/100)*ROUND((Source!AF320*Source!AV320)*Source!I320, 2), 2)</f>
        <v>25.94</v>
      </c>
      <c r="T219">
        <f>Source!Y320</f>
        <v>25.94</v>
      </c>
      <c r="U219">
        <f>ROUND((175/100)*ROUND((Source!AE320*Source!AV320)*Source!I320, 2), 2)</f>
        <v>0</v>
      </c>
      <c r="V219">
        <f>ROUND((108/100)*ROUND(Source!CS320*Source!I320, 2), 2)</f>
        <v>0</v>
      </c>
    </row>
    <row r="220" spans="1:22" x14ac:dyDescent="0.2">
      <c r="C220" s="28" t="str">
        <f>"Объем: "&amp;Source!I320&amp;"=2+"&amp;"1"</f>
        <v>Объем: 3=2+1</v>
      </c>
    </row>
    <row r="221" spans="1:22" ht="14.25" x14ac:dyDescent="0.2">
      <c r="A221" s="18"/>
      <c r="B221" s="18"/>
      <c r="C221" s="18" t="s">
        <v>1100</v>
      </c>
      <c r="D221" s="19"/>
      <c r="E221" s="9"/>
      <c r="F221" s="21">
        <f>Source!AO320</f>
        <v>86.45</v>
      </c>
      <c r="G221" s="20" t="str">
        <f>Source!DG320</f>
        <v/>
      </c>
      <c r="H221" s="9">
        <f>Source!AV320</f>
        <v>1</v>
      </c>
      <c r="I221" s="9">
        <f>IF(Source!BA320&lt;&gt; 0, Source!BA320, 1)</f>
        <v>1</v>
      </c>
      <c r="J221" s="21">
        <f>Source!S320</f>
        <v>259.35000000000002</v>
      </c>
      <c r="K221" s="21"/>
    </row>
    <row r="222" spans="1:22" ht="14.25" x14ac:dyDescent="0.2">
      <c r="A222" s="18"/>
      <c r="B222" s="18"/>
      <c r="C222" s="18" t="s">
        <v>1107</v>
      </c>
      <c r="D222" s="19"/>
      <c r="E222" s="9"/>
      <c r="F222" s="21">
        <f>Source!AM320</f>
        <v>0.23</v>
      </c>
      <c r="G222" s="20" t="str">
        <f>Source!DE320</f>
        <v/>
      </c>
      <c r="H222" s="9">
        <f>Source!AV320</f>
        <v>1</v>
      </c>
      <c r="I222" s="9">
        <f>IF(Source!BB320&lt;&gt; 0, Source!BB320, 1)</f>
        <v>1</v>
      </c>
      <c r="J222" s="21">
        <f>Source!Q320</f>
        <v>0.69</v>
      </c>
      <c r="K222" s="21"/>
    </row>
    <row r="223" spans="1:22" ht="14.25" x14ac:dyDescent="0.2">
      <c r="A223" s="18"/>
      <c r="B223" s="18"/>
      <c r="C223" s="18" t="s">
        <v>1101</v>
      </c>
      <c r="D223" s="19"/>
      <c r="E223" s="9"/>
      <c r="F223" s="21">
        <f>Source!AL320</f>
        <v>2.2000000000000002</v>
      </c>
      <c r="G223" s="20" t="str">
        <f>Source!DD320</f>
        <v/>
      </c>
      <c r="H223" s="9">
        <f>Source!AW320</f>
        <v>1</v>
      </c>
      <c r="I223" s="9">
        <f>IF(Source!BC320&lt;&gt; 0, Source!BC320, 1)</f>
        <v>1</v>
      </c>
      <c r="J223" s="21">
        <f>Source!P320</f>
        <v>6.6</v>
      </c>
      <c r="K223" s="21"/>
    </row>
    <row r="224" spans="1:22" ht="14.25" x14ac:dyDescent="0.2">
      <c r="A224" s="18"/>
      <c r="B224" s="18"/>
      <c r="C224" s="18" t="s">
        <v>1102</v>
      </c>
      <c r="D224" s="19" t="s">
        <v>1103</v>
      </c>
      <c r="E224" s="9">
        <f>Source!AT320</f>
        <v>70</v>
      </c>
      <c r="F224" s="21"/>
      <c r="G224" s="20"/>
      <c r="H224" s="9"/>
      <c r="I224" s="9"/>
      <c r="J224" s="21">
        <f>SUM(R219:R223)</f>
        <v>181.55</v>
      </c>
      <c r="K224" s="21"/>
    </row>
    <row r="225" spans="1:22" ht="14.25" x14ac:dyDescent="0.2">
      <c r="A225" s="18"/>
      <c r="B225" s="18"/>
      <c r="C225" s="18" t="s">
        <v>1104</v>
      </c>
      <c r="D225" s="19" t="s">
        <v>1103</v>
      </c>
      <c r="E225" s="9">
        <f>Source!AU320</f>
        <v>10</v>
      </c>
      <c r="F225" s="21"/>
      <c r="G225" s="20"/>
      <c r="H225" s="9"/>
      <c r="I225" s="9"/>
      <c r="J225" s="21">
        <f>SUM(T219:T224)</f>
        <v>25.94</v>
      </c>
      <c r="K225" s="21"/>
    </row>
    <row r="226" spans="1:22" ht="14.25" x14ac:dyDescent="0.2">
      <c r="A226" s="18"/>
      <c r="B226" s="18"/>
      <c r="C226" s="18" t="s">
        <v>1105</v>
      </c>
      <c r="D226" s="19" t="s">
        <v>1106</v>
      </c>
      <c r="E226" s="9">
        <f>Source!AQ320</f>
        <v>0.14000000000000001</v>
      </c>
      <c r="F226" s="21"/>
      <c r="G226" s="20" t="str">
        <f>Source!DI320</f>
        <v/>
      </c>
      <c r="H226" s="9">
        <f>Source!AV320</f>
        <v>1</v>
      </c>
      <c r="I226" s="9"/>
      <c r="J226" s="21"/>
      <c r="K226" s="21">
        <f>Source!U320</f>
        <v>0.42000000000000004</v>
      </c>
    </row>
    <row r="227" spans="1:22" ht="15" x14ac:dyDescent="0.25">
      <c r="A227" s="23"/>
      <c r="B227" s="23"/>
      <c r="C227" s="23"/>
      <c r="D227" s="23"/>
      <c r="E227" s="23"/>
      <c r="F227" s="23"/>
      <c r="G227" s="23"/>
      <c r="H227" s="23"/>
      <c r="I227" s="44">
        <f>J221+J222+J223+J224+J225</f>
        <v>474.13000000000005</v>
      </c>
      <c r="J227" s="44"/>
      <c r="K227" s="24">
        <f>IF(Source!I320&lt;&gt;0, ROUND(I227/Source!I320, 2), 0)</f>
        <v>158.04</v>
      </c>
      <c r="P227" s="22">
        <f>I227</f>
        <v>474.13000000000005</v>
      </c>
    </row>
    <row r="228" spans="1:22" ht="85.5" x14ac:dyDescent="0.2">
      <c r="A228" s="18">
        <v>19</v>
      </c>
      <c r="B228" s="18" t="str">
        <f>Source!F321</f>
        <v>1.17-2103-13-15/1</v>
      </c>
      <c r="C228" s="18" t="str">
        <f>Source!G321</f>
        <v>Техническое обслуживание стальных панельных радиаторов типа 10 высотой 500 мм длиной до 1500 мм / Стальной трубчатый радиатор, тип PC-1-500, высота H = 540 мм, ширина В = 40 мм, радиатор 1-рядный:</v>
      </c>
      <c r="D228" s="19" t="str">
        <f>Source!H321</f>
        <v>шт.</v>
      </c>
      <c r="E228" s="9">
        <f>Source!I321</f>
        <v>50</v>
      </c>
      <c r="F228" s="21"/>
      <c r="G228" s="20"/>
      <c r="H228" s="9"/>
      <c r="I228" s="9"/>
      <c r="J228" s="21"/>
      <c r="K228" s="21"/>
      <c r="Q228">
        <f>ROUND((Source!BZ321/100)*ROUND((Source!AF321*Source!AV321)*Source!I321, 2), 2)</f>
        <v>7083.3</v>
      </c>
      <c r="R228">
        <f>Source!X321</f>
        <v>7083.3</v>
      </c>
      <c r="S228">
        <f>ROUND((Source!CA321/100)*ROUND((Source!AF321*Source!AV321)*Source!I321, 2), 2)</f>
        <v>1011.9</v>
      </c>
      <c r="T228">
        <f>Source!Y321</f>
        <v>1011.9</v>
      </c>
      <c r="U228">
        <f>ROUND((175/100)*ROUND((Source!AE321*Source!AV321)*Source!I321, 2), 2)</f>
        <v>0</v>
      </c>
      <c r="V228">
        <f>ROUND((108/100)*ROUND(Source!CS321*Source!I321, 2), 2)</f>
        <v>0</v>
      </c>
    </row>
    <row r="229" spans="1:22" x14ac:dyDescent="0.2">
      <c r="C229" s="28" t="str">
        <f>"Объем: "&amp;Source!I321&amp;"=1+"&amp;"13+"&amp;"3+"&amp;"4+"&amp;"1+"&amp;"11+"&amp;"4+"&amp;"4+"&amp;"8+"&amp;"1"</f>
        <v>Объем: 50=1+13+3+4+1+11+4+4+8+1</v>
      </c>
    </row>
    <row r="230" spans="1:22" ht="14.25" x14ac:dyDescent="0.2">
      <c r="A230" s="18"/>
      <c r="B230" s="18"/>
      <c r="C230" s="18" t="s">
        <v>1100</v>
      </c>
      <c r="D230" s="19"/>
      <c r="E230" s="9"/>
      <c r="F230" s="21">
        <f>Source!AO321</f>
        <v>202.38</v>
      </c>
      <c r="G230" s="20" t="str">
        <f>Source!DG321</f>
        <v/>
      </c>
      <c r="H230" s="9">
        <f>Source!AV321</f>
        <v>1</v>
      </c>
      <c r="I230" s="9">
        <f>IF(Source!BA321&lt;&gt; 0, Source!BA321, 1)</f>
        <v>1</v>
      </c>
      <c r="J230" s="21">
        <f>Source!S321</f>
        <v>10119</v>
      </c>
      <c r="K230" s="21"/>
    </row>
    <row r="231" spans="1:22" ht="14.25" x14ac:dyDescent="0.2">
      <c r="A231" s="18"/>
      <c r="B231" s="18"/>
      <c r="C231" s="18" t="s">
        <v>1101</v>
      </c>
      <c r="D231" s="19"/>
      <c r="E231" s="9"/>
      <c r="F231" s="21">
        <f>Source!AL321</f>
        <v>0.24</v>
      </c>
      <c r="G231" s="20" t="str">
        <f>Source!DD321</f>
        <v/>
      </c>
      <c r="H231" s="9">
        <f>Source!AW321</f>
        <v>1</v>
      </c>
      <c r="I231" s="9">
        <f>IF(Source!BC321&lt;&gt; 0, Source!BC321, 1)</f>
        <v>1</v>
      </c>
      <c r="J231" s="21">
        <f>Source!P321</f>
        <v>12</v>
      </c>
      <c r="K231" s="21"/>
    </row>
    <row r="232" spans="1:22" ht="14.25" x14ac:dyDescent="0.2">
      <c r="A232" s="18"/>
      <c r="B232" s="18"/>
      <c r="C232" s="18" t="s">
        <v>1102</v>
      </c>
      <c r="D232" s="19" t="s">
        <v>1103</v>
      </c>
      <c r="E232" s="9">
        <f>Source!AT321</f>
        <v>70</v>
      </c>
      <c r="F232" s="21"/>
      <c r="G232" s="20"/>
      <c r="H232" s="9"/>
      <c r="I232" s="9"/>
      <c r="J232" s="21">
        <f>SUM(R228:R231)</f>
        <v>7083.3</v>
      </c>
      <c r="K232" s="21"/>
    </row>
    <row r="233" spans="1:22" ht="14.25" x14ac:dyDescent="0.2">
      <c r="A233" s="18"/>
      <c r="B233" s="18"/>
      <c r="C233" s="18" t="s">
        <v>1104</v>
      </c>
      <c r="D233" s="19" t="s">
        <v>1103</v>
      </c>
      <c r="E233" s="9">
        <f>Source!AU321</f>
        <v>10</v>
      </c>
      <c r="F233" s="21"/>
      <c r="G233" s="20"/>
      <c r="H233" s="9"/>
      <c r="I233" s="9"/>
      <c r="J233" s="21">
        <f>SUM(T228:T232)</f>
        <v>1011.9</v>
      </c>
      <c r="K233" s="21"/>
    </row>
    <row r="234" spans="1:22" ht="14.25" x14ac:dyDescent="0.2">
      <c r="A234" s="18"/>
      <c r="B234" s="18"/>
      <c r="C234" s="18" t="s">
        <v>1105</v>
      </c>
      <c r="D234" s="19" t="s">
        <v>1106</v>
      </c>
      <c r="E234" s="9">
        <f>Source!AQ321</f>
        <v>0.36</v>
      </c>
      <c r="F234" s="21"/>
      <c r="G234" s="20" t="str">
        <f>Source!DI321</f>
        <v/>
      </c>
      <c r="H234" s="9">
        <f>Source!AV321</f>
        <v>1</v>
      </c>
      <c r="I234" s="9"/>
      <c r="J234" s="21"/>
      <c r="K234" s="21">
        <f>Source!U321</f>
        <v>18</v>
      </c>
    </row>
    <row r="235" spans="1:22" ht="15" x14ac:dyDescent="0.25">
      <c r="A235" s="23"/>
      <c r="B235" s="23"/>
      <c r="C235" s="23"/>
      <c r="D235" s="23"/>
      <c r="E235" s="23"/>
      <c r="F235" s="23"/>
      <c r="G235" s="23"/>
      <c r="H235" s="23"/>
      <c r="I235" s="44">
        <f>J230+J231+J232+J233</f>
        <v>18226.2</v>
      </c>
      <c r="J235" s="44"/>
      <c r="K235" s="24">
        <f>IF(Source!I321&lt;&gt;0, ROUND(I235/Source!I321, 2), 0)</f>
        <v>364.52</v>
      </c>
      <c r="P235" s="22">
        <f>I235</f>
        <v>18226.2</v>
      </c>
    </row>
    <row r="236" spans="1:22" ht="85.5" x14ac:dyDescent="0.2">
      <c r="A236" s="18">
        <v>20</v>
      </c>
      <c r="B236" s="18" t="str">
        <f>Source!F322</f>
        <v>1.17-2103-13-19/1</v>
      </c>
      <c r="C236" s="18" t="str">
        <f>Source!G322</f>
        <v>Техническое обслуживание стальных панельных радиаторов типа 20 высотой 500 мм длиной до 1500 мм / Стальной трубчатый радиатор, тип PC-2-500, высота H = 540 мм, ширина В = 100 мм, радиатор 2-рядный</v>
      </c>
      <c r="D236" s="19" t="str">
        <f>Source!H322</f>
        <v>шт.</v>
      </c>
      <c r="E236" s="9">
        <f>Source!I322</f>
        <v>133</v>
      </c>
      <c r="F236" s="21"/>
      <c r="G236" s="20"/>
      <c r="H236" s="9"/>
      <c r="I236" s="9"/>
      <c r="J236" s="21"/>
      <c r="K236" s="21"/>
      <c r="Q236">
        <f>ROUND((Source!BZ322/100)*ROUND((Source!AF322*Source!AV322)*Source!I322, 2), 2)</f>
        <v>24075.66</v>
      </c>
      <c r="R236">
        <f>Source!X322</f>
        <v>24075.66</v>
      </c>
      <c r="S236">
        <f>ROUND((Source!CA322/100)*ROUND((Source!AF322*Source!AV322)*Source!I322, 2), 2)</f>
        <v>3439.38</v>
      </c>
      <c r="T236">
        <f>Source!Y322</f>
        <v>3439.38</v>
      </c>
      <c r="U236">
        <f>ROUND((175/100)*ROUND((Source!AE322*Source!AV322)*Source!I322, 2), 2)</f>
        <v>0</v>
      </c>
      <c r="V236">
        <f>ROUND((108/100)*ROUND(Source!CS322*Source!I322, 2), 2)</f>
        <v>0</v>
      </c>
    </row>
    <row r="237" spans="1:22" ht="14.25" x14ac:dyDescent="0.2">
      <c r="A237" s="18"/>
      <c r="B237" s="18"/>
      <c r="C237" s="18" t="s">
        <v>1100</v>
      </c>
      <c r="D237" s="19"/>
      <c r="E237" s="9"/>
      <c r="F237" s="21">
        <f>Source!AO322</f>
        <v>258.60000000000002</v>
      </c>
      <c r="G237" s="20" t="str">
        <f>Source!DG322</f>
        <v/>
      </c>
      <c r="H237" s="9">
        <f>Source!AV322</f>
        <v>1</v>
      </c>
      <c r="I237" s="9">
        <f>IF(Source!BA322&lt;&gt; 0, Source!BA322, 1)</f>
        <v>1</v>
      </c>
      <c r="J237" s="21">
        <f>Source!S322</f>
        <v>34393.800000000003</v>
      </c>
      <c r="K237" s="21"/>
    </row>
    <row r="238" spans="1:22" ht="14.25" x14ac:dyDescent="0.2">
      <c r="A238" s="18"/>
      <c r="B238" s="18"/>
      <c r="C238" s="18" t="s">
        <v>1101</v>
      </c>
      <c r="D238" s="19"/>
      <c r="E238" s="9"/>
      <c r="F238" s="21">
        <f>Source!AL322</f>
        <v>0.47</v>
      </c>
      <c r="G238" s="20" t="str">
        <f>Source!DD322</f>
        <v/>
      </c>
      <c r="H238" s="9">
        <f>Source!AW322</f>
        <v>1</v>
      </c>
      <c r="I238" s="9">
        <f>IF(Source!BC322&lt;&gt; 0, Source!BC322, 1)</f>
        <v>1</v>
      </c>
      <c r="J238" s="21">
        <f>Source!P322</f>
        <v>62.51</v>
      </c>
      <c r="K238" s="21"/>
    </row>
    <row r="239" spans="1:22" ht="14.25" x14ac:dyDescent="0.2">
      <c r="A239" s="18"/>
      <c r="B239" s="18"/>
      <c r="C239" s="18" t="s">
        <v>1102</v>
      </c>
      <c r="D239" s="19" t="s">
        <v>1103</v>
      </c>
      <c r="E239" s="9">
        <f>Source!AT322</f>
        <v>70</v>
      </c>
      <c r="F239" s="21"/>
      <c r="G239" s="20"/>
      <c r="H239" s="9"/>
      <c r="I239" s="9"/>
      <c r="J239" s="21">
        <f>SUM(R236:R238)</f>
        <v>24075.66</v>
      </c>
      <c r="K239" s="21"/>
    </row>
    <row r="240" spans="1:22" ht="14.25" x14ac:dyDescent="0.2">
      <c r="A240" s="18"/>
      <c r="B240" s="18"/>
      <c r="C240" s="18" t="s">
        <v>1104</v>
      </c>
      <c r="D240" s="19" t="s">
        <v>1103</v>
      </c>
      <c r="E240" s="9">
        <f>Source!AU322</f>
        <v>10</v>
      </c>
      <c r="F240" s="21"/>
      <c r="G240" s="20"/>
      <c r="H240" s="9"/>
      <c r="I240" s="9"/>
      <c r="J240" s="21">
        <f>SUM(T236:T239)</f>
        <v>3439.38</v>
      </c>
      <c r="K240" s="21"/>
    </row>
    <row r="241" spans="1:22" ht="14.25" x14ac:dyDescent="0.2">
      <c r="A241" s="18"/>
      <c r="B241" s="18"/>
      <c r="C241" s="18" t="s">
        <v>1105</v>
      </c>
      <c r="D241" s="19" t="s">
        <v>1106</v>
      </c>
      <c r="E241" s="9">
        <f>Source!AQ322</f>
        <v>0.46</v>
      </c>
      <c r="F241" s="21"/>
      <c r="G241" s="20" t="str">
        <f>Source!DI322</f>
        <v/>
      </c>
      <c r="H241" s="9">
        <f>Source!AV322</f>
        <v>1</v>
      </c>
      <c r="I241" s="9"/>
      <c r="J241" s="21"/>
      <c r="K241" s="21">
        <f>Source!U322</f>
        <v>61.18</v>
      </c>
    </row>
    <row r="242" spans="1:22" ht="15" x14ac:dyDescent="0.25">
      <c r="A242" s="23"/>
      <c r="B242" s="23"/>
      <c r="C242" s="23"/>
      <c r="D242" s="23"/>
      <c r="E242" s="23"/>
      <c r="F242" s="23"/>
      <c r="G242" s="23"/>
      <c r="H242" s="23"/>
      <c r="I242" s="44">
        <f>J237+J238+J239+J240</f>
        <v>61971.35</v>
      </c>
      <c r="J242" s="44"/>
      <c r="K242" s="24">
        <f>IF(Source!I322&lt;&gt;0, ROUND(I242/Source!I322, 2), 0)</f>
        <v>465.95</v>
      </c>
      <c r="P242" s="22">
        <f>I242</f>
        <v>61971.35</v>
      </c>
    </row>
    <row r="243" spans="1:22" ht="85.5" x14ac:dyDescent="0.2">
      <c r="A243" s="18">
        <v>21</v>
      </c>
      <c r="B243" s="18" t="str">
        <f>Source!F323</f>
        <v>1.17-2103-13-27/1</v>
      </c>
      <c r="C243" s="18" t="str">
        <f>Source!G323</f>
        <v>Техническое обслуживание стальных панельных радиаторов типа 33 высотой 500 мм длиной до 1500 мм / Стальной трубчатый радиатор, тип PC-3-500, высота H = 540 мм, ширина В = 160 мм, радиатор 3-рядный</v>
      </c>
      <c r="D243" s="19" t="str">
        <f>Source!H323</f>
        <v>шт.</v>
      </c>
      <c r="E243" s="9">
        <f>Source!I323</f>
        <v>8</v>
      </c>
      <c r="F243" s="21"/>
      <c r="G243" s="20"/>
      <c r="H243" s="9"/>
      <c r="I243" s="9"/>
      <c r="J243" s="21"/>
      <c r="K243" s="21"/>
      <c r="Q243">
        <f>ROUND((Source!BZ323/100)*ROUND((Source!AF323*Source!AV323)*Source!I323, 2), 2)</f>
        <v>1825.94</v>
      </c>
      <c r="R243">
        <f>Source!X323</f>
        <v>1825.94</v>
      </c>
      <c r="S243">
        <f>ROUND((Source!CA323/100)*ROUND((Source!AF323*Source!AV323)*Source!I323, 2), 2)</f>
        <v>260.85000000000002</v>
      </c>
      <c r="T243">
        <f>Source!Y323</f>
        <v>260.85000000000002</v>
      </c>
      <c r="U243">
        <f>ROUND((175/100)*ROUND((Source!AE323*Source!AV323)*Source!I323, 2), 2)</f>
        <v>0.42</v>
      </c>
      <c r="V243">
        <f>ROUND((108/100)*ROUND(Source!CS323*Source!I323, 2), 2)</f>
        <v>0.26</v>
      </c>
    </row>
    <row r="244" spans="1:22" ht="14.25" x14ac:dyDescent="0.2">
      <c r="A244" s="18"/>
      <c r="B244" s="18"/>
      <c r="C244" s="18" t="s">
        <v>1100</v>
      </c>
      <c r="D244" s="19"/>
      <c r="E244" s="9"/>
      <c r="F244" s="21">
        <f>Source!AO323</f>
        <v>326.06</v>
      </c>
      <c r="G244" s="20" t="str">
        <f>Source!DG323</f>
        <v/>
      </c>
      <c r="H244" s="9">
        <f>Source!AV323</f>
        <v>1</v>
      </c>
      <c r="I244" s="9">
        <f>IF(Source!BA323&lt;&gt; 0, Source!BA323, 1)</f>
        <v>1</v>
      </c>
      <c r="J244" s="21">
        <f>Source!S323</f>
        <v>2608.48</v>
      </c>
      <c r="K244" s="21"/>
    </row>
    <row r="245" spans="1:22" ht="14.25" x14ac:dyDescent="0.2">
      <c r="A245" s="18"/>
      <c r="B245" s="18"/>
      <c r="C245" s="18" t="s">
        <v>1107</v>
      </c>
      <c r="D245" s="19"/>
      <c r="E245" s="9"/>
      <c r="F245" s="21">
        <f>Source!AM323</f>
        <v>2.5299999999999998</v>
      </c>
      <c r="G245" s="20" t="str">
        <f>Source!DE323</f>
        <v/>
      </c>
      <c r="H245" s="9">
        <f>Source!AV323</f>
        <v>1</v>
      </c>
      <c r="I245" s="9">
        <f>IF(Source!BB323&lt;&gt; 0, Source!BB323, 1)</f>
        <v>1</v>
      </c>
      <c r="J245" s="21">
        <f>Source!Q323</f>
        <v>20.239999999999998</v>
      </c>
      <c r="K245" s="21"/>
    </row>
    <row r="246" spans="1:22" ht="14.25" x14ac:dyDescent="0.2">
      <c r="A246" s="18"/>
      <c r="B246" s="18"/>
      <c r="C246" s="18" t="s">
        <v>1108</v>
      </c>
      <c r="D246" s="19"/>
      <c r="E246" s="9"/>
      <c r="F246" s="21">
        <f>Source!AN323</f>
        <v>0.03</v>
      </c>
      <c r="G246" s="20" t="str">
        <f>Source!DF323</f>
        <v/>
      </c>
      <c r="H246" s="9">
        <f>Source!AV323</f>
        <v>1</v>
      </c>
      <c r="I246" s="9">
        <f>IF(Source!BS323&lt;&gt; 0, Source!BS323, 1)</f>
        <v>1</v>
      </c>
      <c r="J246" s="25">
        <f>Source!R323</f>
        <v>0.24</v>
      </c>
      <c r="K246" s="21"/>
    </row>
    <row r="247" spans="1:22" ht="14.25" x14ac:dyDescent="0.2">
      <c r="A247" s="18"/>
      <c r="B247" s="18"/>
      <c r="C247" s="18" t="s">
        <v>1101</v>
      </c>
      <c r="D247" s="19"/>
      <c r="E247" s="9"/>
      <c r="F247" s="21">
        <f>Source!AL323</f>
        <v>0.47</v>
      </c>
      <c r="G247" s="20" t="str">
        <f>Source!DD323</f>
        <v/>
      </c>
      <c r="H247" s="9">
        <f>Source!AW323</f>
        <v>1</v>
      </c>
      <c r="I247" s="9">
        <f>IF(Source!BC323&lt;&gt; 0, Source!BC323, 1)</f>
        <v>1</v>
      </c>
      <c r="J247" s="21">
        <f>Source!P323</f>
        <v>3.76</v>
      </c>
      <c r="K247" s="21"/>
    </row>
    <row r="248" spans="1:22" ht="14.25" x14ac:dyDescent="0.2">
      <c r="A248" s="18"/>
      <c r="B248" s="18"/>
      <c r="C248" s="18" t="s">
        <v>1102</v>
      </c>
      <c r="D248" s="19" t="s">
        <v>1103</v>
      </c>
      <c r="E248" s="9">
        <f>Source!AT323</f>
        <v>70</v>
      </c>
      <c r="F248" s="21"/>
      <c r="G248" s="20"/>
      <c r="H248" s="9"/>
      <c r="I248" s="9"/>
      <c r="J248" s="21">
        <f>SUM(R243:R247)</f>
        <v>1825.94</v>
      </c>
      <c r="K248" s="21"/>
    </row>
    <row r="249" spans="1:22" ht="14.25" x14ac:dyDescent="0.2">
      <c r="A249" s="18"/>
      <c r="B249" s="18"/>
      <c r="C249" s="18" t="s">
        <v>1104</v>
      </c>
      <c r="D249" s="19" t="s">
        <v>1103</v>
      </c>
      <c r="E249" s="9">
        <f>Source!AU323</f>
        <v>10</v>
      </c>
      <c r="F249" s="21"/>
      <c r="G249" s="20"/>
      <c r="H249" s="9"/>
      <c r="I249" s="9"/>
      <c r="J249" s="21">
        <f>SUM(T243:T248)</f>
        <v>260.85000000000002</v>
      </c>
      <c r="K249" s="21"/>
    </row>
    <row r="250" spans="1:22" ht="14.25" x14ac:dyDescent="0.2">
      <c r="A250" s="18"/>
      <c r="B250" s="18"/>
      <c r="C250" s="18" t="s">
        <v>1109</v>
      </c>
      <c r="D250" s="19" t="s">
        <v>1103</v>
      </c>
      <c r="E250" s="9">
        <f>108</f>
        <v>108</v>
      </c>
      <c r="F250" s="21"/>
      <c r="G250" s="20"/>
      <c r="H250" s="9"/>
      <c r="I250" s="9"/>
      <c r="J250" s="21">
        <f>SUM(V243:V249)</f>
        <v>0.26</v>
      </c>
      <c r="K250" s="21"/>
    </row>
    <row r="251" spans="1:22" ht="14.25" x14ac:dyDescent="0.2">
      <c r="A251" s="18"/>
      <c r="B251" s="18"/>
      <c r="C251" s="18" t="s">
        <v>1105</v>
      </c>
      <c r="D251" s="19" t="s">
        <v>1106</v>
      </c>
      <c r="E251" s="9">
        <f>Source!AQ323</f>
        <v>0.57999999999999996</v>
      </c>
      <c r="F251" s="21"/>
      <c r="G251" s="20" t="str">
        <f>Source!DI323</f>
        <v/>
      </c>
      <c r="H251" s="9">
        <f>Source!AV323</f>
        <v>1</v>
      </c>
      <c r="I251" s="9"/>
      <c r="J251" s="21"/>
      <c r="K251" s="21">
        <f>Source!U323</f>
        <v>4.6399999999999997</v>
      </c>
    </row>
    <row r="252" spans="1:22" ht="15" x14ac:dyDescent="0.25">
      <c r="A252" s="23"/>
      <c r="B252" s="23"/>
      <c r="C252" s="23"/>
      <c r="D252" s="23"/>
      <c r="E252" s="23"/>
      <c r="F252" s="23"/>
      <c r="G252" s="23"/>
      <c r="H252" s="23"/>
      <c r="I252" s="44">
        <f>J244+J245+J247+J248+J249+J250</f>
        <v>4719.5300000000007</v>
      </c>
      <c r="J252" s="44"/>
      <c r="K252" s="24">
        <f>IF(Source!I323&lt;&gt;0, ROUND(I252/Source!I323, 2), 0)</f>
        <v>589.94000000000005</v>
      </c>
      <c r="P252" s="22">
        <f>I252</f>
        <v>4719.5300000000007</v>
      </c>
    </row>
    <row r="253" spans="1:22" ht="156.75" x14ac:dyDescent="0.2">
      <c r="A253" s="18">
        <v>22</v>
      </c>
      <c r="B253" s="18" t="str">
        <f>Source!F324</f>
        <v>1.17-2103-13-15/1</v>
      </c>
      <c r="C253" s="18" t="str">
        <f>Source!G324</f>
        <v>Техническое обслуживание стальных панельных радиаторов типа 10 высотой 500 мм длиной до 1500 мм / Стальной трубчатый радиатор, тип PC-1-500, высота H = 540 мм, ширина В= 40 мм, радиатор 1-рядный, с встроенным термостатическим вентилем Danfoss RTD-N BIV с предварительной настройкой, нижнее подключение (правостороннее либо левостороннее)</v>
      </c>
      <c r="D253" s="19" t="str">
        <f>Source!H324</f>
        <v>шт.</v>
      </c>
      <c r="E253" s="9">
        <f>Source!I324</f>
        <v>2</v>
      </c>
      <c r="F253" s="21"/>
      <c r="G253" s="20"/>
      <c r="H253" s="9"/>
      <c r="I253" s="9"/>
      <c r="J253" s="21"/>
      <c r="K253" s="21"/>
      <c r="Q253">
        <f>ROUND((Source!BZ324/100)*ROUND((Source!AF324*Source!AV324)*Source!I324, 2), 2)</f>
        <v>283.33</v>
      </c>
      <c r="R253">
        <f>Source!X324</f>
        <v>283.33</v>
      </c>
      <c r="S253">
        <f>ROUND((Source!CA324/100)*ROUND((Source!AF324*Source!AV324)*Source!I324, 2), 2)</f>
        <v>40.479999999999997</v>
      </c>
      <c r="T253">
        <f>Source!Y324</f>
        <v>40.479999999999997</v>
      </c>
      <c r="U253">
        <f>ROUND((175/100)*ROUND((Source!AE324*Source!AV324)*Source!I324, 2), 2)</f>
        <v>0</v>
      </c>
      <c r="V253">
        <f>ROUND((108/100)*ROUND(Source!CS324*Source!I324, 2), 2)</f>
        <v>0</v>
      </c>
    </row>
    <row r="254" spans="1:22" ht="14.25" x14ac:dyDescent="0.2">
      <c r="A254" s="18"/>
      <c r="B254" s="18"/>
      <c r="C254" s="18" t="s">
        <v>1100</v>
      </c>
      <c r="D254" s="19"/>
      <c r="E254" s="9"/>
      <c r="F254" s="21">
        <f>Source!AO324</f>
        <v>202.38</v>
      </c>
      <c r="G254" s="20" t="str">
        <f>Source!DG324</f>
        <v/>
      </c>
      <c r="H254" s="9">
        <f>Source!AV324</f>
        <v>1</v>
      </c>
      <c r="I254" s="9">
        <f>IF(Source!BA324&lt;&gt; 0, Source!BA324, 1)</f>
        <v>1</v>
      </c>
      <c r="J254" s="21">
        <f>Source!S324</f>
        <v>404.76</v>
      </c>
      <c r="K254" s="21"/>
    </row>
    <row r="255" spans="1:22" ht="14.25" x14ac:dyDescent="0.2">
      <c r="A255" s="18"/>
      <c r="B255" s="18"/>
      <c r="C255" s="18" t="s">
        <v>1101</v>
      </c>
      <c r="D255" s="19"/>
      <c r="E255" s="9"/>
      <c r="F255" s="21">
        <f>Source!AL324</f>
        <v>0.24</v>
      </c>
      <c r="G255" s="20" t="str">
        <f>Source!DD324</f>
        <v/>
      </c>
      <c r="H255" s="9">
        <f>Source!AW324</f>
        <v>1</v>
      </c>
      <c r="I255" s="9">
        <f>IF(Source!BC324&lt;&gt; 0, Source!BC324, 1)</f>
        <v>1</v>
      </c>
      <c r="J255" s="21">
        <f>Source!P324</f>
        <v>0.48</v>
      </c>
      <c r="K255" s="21"/>
    </row>
    <row r="256" spans="1:22" ht="14.25" x14ac:dyDescent="0.2">
      <c r="A256" s="18"/>
      <c r="B256" s="18"/>
      <c r="C256" s="18" t="s">
        <v>1102</v>
      </c>
      <c r="D256" s="19" t="s">
        <v>1103</v>
      </c>
      <c r="E256" s="9">
        <f>Source!AT324</f>
        <v>70</v>
      </c>
      <c r="F256" s="21"/>
      <c r="G256" s="20"/>
      <c r="H256" s="9"/>
      <c r="I256" s="9"/>
      <c r="J256" s="21">
        <f>SUM(R253:R255)</f>
        <v>283.33</v>
      </c>
      <c r="K256" s="21"/>
    </row>
    <row r="257" spans="1:22" ht="14.25" x14ac:dyDescent="0.2">
      <c r="A257" s="18"/>
      <c r="B257" s="18"/>
      <c r="C257" s="18" t="s">
        <v>1104</v>
      </c>
      <c r="D257" s="19" t="s">
        <v>1103</v>
      </c>
      <c r="E257" s="9">
        <f>Source!AU324</f>
        <v>10</v>
      </c>
      <c r="F257" s="21"/>
      <c r="G257" s="20"/>
      <c r="H257" s="9"/>
      <c r="I257" s="9"/>
      <c r="J257" s="21">
        <f>SUM(T253:T256)</f>
        <v>40.479999999999997</v>
      </c>
      <c r="K257" s="21"/>
    </row>
    <row r="258" spans="1:22" ht="14.25" x14ac:dyDescent="0.2">
      <c r="A258" s="18"/>
      <c r="B258" s="18"/>
      <c r="C258" s="18" t="s">
        <v>1105</v>
      </c>
      <c r="D258" s="19" t="s">
        <v>1106</v>
      </c>
      <c r="E258" s="9">
        <f>Source!AQ324</f>
        <v>0.36</v>
      </c>
      <c r="F258" s="21"/>
      <c r="G258" s="20" t="str">
        <f>Source!DI324</f>
        <v/>
      </c>
      <c r="H258" s="9">
        <f>Source!AV324</f>
        <v>1</v>
      </c>
      <c r="I258" s="9"/>
      <c r="J258" s="21"/>
      <c r="K258" s="21">
        <f>Source!U324</f>
        <v>0.72</v>
      </c>
    </row>
    <row r="259" spans="1:22" ht="15" x14ac:dyDescent="0.25">
      <c r="A259" s="23"/>
      <c r="B259" s="23"/>
      <c r="C259" s="23"/>
      <c r="D259" s="23"/>
      <c r="E259" s="23"/>
      <c r="F259" s="23"/>
      <c r="G259" s="23"/>
      <c r="H259" s="23"/>
      <c r="I259" s="44">
        <f>J254+J255+J256+J257</f>
        <v>729.05</v>
      </c>
      <c r="J259" s="44"/>
      <c r="K259" s="24">
        <f>IF(Source!I324&lt;&gt;0, ROUND(I259/Source!I324, 2), 0)</f>
        <v>364.53</v>
      </c>
      <c r="P259" s="22">
        <f>I259</f>
        <v>729.05</v>
      </c>
    </row>
    <row r="260" spans="1:22" ht="156.75" x14ac:dyDescent="0.2">
      <c r="A260" s="18">
        <v>23</v>
      </c>
      <c r="B260" s="18" t="str">
        <f>Source!F325</f>
        <v>1.17-2103-13-19/1</v>
      </c>
      <c r="C260" s="18" t="str">
        <f>Source!G325</f>
        <v>Техническое обслуживание стальных панельных радиаторов типа 20 высотой 500 мм длиной до 1500 мм / Стальной трубчатый радиатор, тип PC-2-500, высота H = 540 мм, ширина В= 100 мм, радиатор 2-рядный, с встроенным термостатическим вентилем Danfoss RTD-N BIV с предварительной настройкой, нижнее подключение (правостороннее либо левостороннее)</v>
      </c>
      <c r="D260" s="19" t="str">
        <f>Source!H325</f>
        <v>шт.</v>
      </c>
      <c r="E260" s="9">
        <f>Source!I325</f>
        <v>4</v>
      </c>
      <c r="F260" s="21"/>
      <c r="G260" s="20"/>
      <c r="H260" s="9"/>
      <c r="I260" s="9"/>
      <c r="J260" s="21"/>
      <c r="K260" s="21"/>
      <c r="Q260">
        <f>ROUND((Source!BZ325/100)*ROUND((Source!AF325*Source!AV325)*Source!I325, 2), 2)</f>
        <v>724.08</v>
      </c>
      <c r="R260">
        <f>Source!X325</f>
        <v>724.08</v>
      </c>
      <c r="S260">
        <f>ROUND((Source!CA325/100)*ROUND((Source!AF325*Source!AV325)*Source!I325, 2), 2)</f>
        <v>103.44</v>
      </c>
      <c r="T260">
        <f>Source!Y325</f>
        <v>103.44</v>
      </c>
      <c r="U260">
        <f>ROUND((175/100)*ROUND((Source!AE325*Source!AV325)*Source!I325, 2), 2)</f>
        <v>0</v>
      </c>
      <c r="V260">
        <f>ROUND((108/100)*ROUND(Source!CS325*Source!I325, 2), 2)</f>
        <v>0</v>
      </c>
    </row>
    <row r="261" spans="1:22" ht="14.25" x14ac:dyDescent="0.2">
      <c r="A261" s="18"/>
      <c r="B261" s="18"/>
      <c r="C261" s="18" t="s">
        <v>1100</v>
      </c>
      <c r="D261" s="19"/>
      <c r="E261" s="9"/>
      <c r="F261" s="21">
        <f>Source!AO325</f>
        <v>258.60000000000002</v>
      </c>
      <c r="G261" s="20" t="str">
        <f>Source!DG325</f>
        <v/>
      </c>
      <c r="H261" s="9">
        <f>Source!AV325</f>
        <v>1</v>
      </c>
      <c r="I261" s="9">
        <f>IF(Source!BA325&lt;&gt; 0, Source!BA325, 1)</f>
        <v>1</v>
      </c>
      <c r="J261" s="21">
        <f>Source!S325</f>
        <v>1034.4000000000001</v>
      </c>
      <c r="K261" s="21"/>
    </row>
    <row r="262" spans="1:22" ht="14.25" x14ac:dyDescent="0.2">
      <c r="A262" s="18"/>
      <c r="B262" s="18"/>
      <c r="C262" s="18" t="s">
        <v>1101</v>
      </c>
      <c r="D262" s="19"/>
      <c r="E262" s="9"/>
      <c r="F262" s="21">
        <f>Source!AL325</f>
        <v>0.47</v>
      </c>
      <c r="G262" s="20" t="str">
        <f>Source!DD325</f>
        <v/>
      </c>
      <c r="H262" s="9">
        <f>Source!AW325</f>
        <v>1</v>
      </c>
      <c r="I262" s="9">
        <f>IF(Source!BC325&lt;&gt; 0, Source!BC325, 1)</f>
        <v>1</v>
      </c>
      <c r="J262" s="21">
        <f>Source!P325</f>
        <v>1.88</v>
      </c>
      <c r="K262" s="21"/>
    </row>
    <row r="263" spans="1:22" ht="14.25" x14ac:dyDescent="0.2">
      <c r="A263" s="18"/>
      <c r="B263" s="18"/>
      <c r="C263" s="18" t="s">
        <v>1102</v>
      </c>
      <c r="D263" s="19" t="s">
        <v>1103</v>
      </c>
      <c r="E263" s="9">
        <f>Source!AT325</f>
        <v>70</v>
      </c>
      <c r="F263" s="21"/>
      <c r="G263" s="20"/>
      <c r="H263" s="9"/>
      <c r="I263" s="9"/>
      <c r="J263" s="21">
        <f>SUM(R260:R262)</f>
        <v>724.08</v>
      </c>
      <c r="K263" s="21"/>
    </row>
    <row r="264" spans="1:22" ht="14.25" x14ac:dyDescent="0.2">
      <c r="A264" s="18"/>
      <c r="B264" s="18"/>
      <c r="C264" s="18" t="s">
        <v>1104</v>
      </c>
      <c r="D264" s="19" t="s">
        <v>1103</v>
      </c>
      <c r="E264" s="9">
        <f>Source!AU325</f>
        <v>10</v>
      </c>
      <c r="F264" s="21"/>
      <c r="G264" s="20"/>
      <c r="H264" s="9"/>
      <c r="I264" s="9"/>
      <c r="J264" s="21">
        <f>SUM(T260:T263)</f>
        <v>103.44</v>
      </c>
      <c r="K264" s="21"/>
    </row>
    <row r="265" spans="1:22" ht="14.25" x14ac:dyDescent="0.2">
      <c r="A265" s="18"/>
      <c r="B265" s="18"/>
      <c r="C265" s="18" t="s">
        <v>1105</v>
      </c>
      <c r="D265" s="19" t="s">
        <v>1106</v>
      </c>
      <c r="E265" s="9">
        <f>Source!AQ325</f>
        <v>0.46</v>
      </c>
      <c r="F265" s="21"/>
      <c r="G265" s="20" t="str">
        <f>Source!DI325</f>
        <v/>
      </c>
      <c r="H265" s="9">
        <f>Source!AV325</f>
        <v>1</v>
      </c>
      <c r="I265" s="9"/>
      <c r="J265" s="21"/>
      <c r="K265" s="21">
        <f>Source!U325</f>
        <v>1.84</v>
      </c>
    </row>
    <row r="266" spans="1:22" ht="15" x14ac:dyDescent="0.25">
      <c r="A266" s="23"/>
      <c r="B266" s="23"/>
      <c r="C266" s="23"/>
      <c r="D266" s="23"/>
      <c r="E266" s="23"/>
      <c r="F266" s="23"/>
      <c r="G266" s="23"/>
      <c r="H266" s="23"/>
      <c r="I266" s="44">
        <f>J261+J262+J263+J264</f>
        <v>1863.8000000000002</v>
      </c>
      <c r="J266" s="44"/>
      <c r="K266" s="24">
        <f>IF(Source!I325&lt;&gt;0, ROUND(I266/Source!I325, 2), 0)</f>
        <v>465.95</v>
      </c>
      <c r="P266" s="22">
        <f>I266</f>
        <v>1863.8000000000002</v>
      </c>
    </row>
    <row r="267" spans="1:22" ht="156.75" x14ac:dyDescent="0.2">
      <c r="A267" s="18">
        <v>24</v>
      </c>
      <c r="B267" s="18" t="str">
        <f>Source!F326</f>
        <v>1.17-2103-13-27/1</v>
      </c>
      <c r="C267" s="18" t="str">
        <f>Source!G326</f>
        <v>Техническое обслуживание стальных панельных радиаторов типа 33 высотой 500 мм длиной до 1500 мм / Стальной трубчатый радиатор, тип PC-3-500, высота H = 540 мм, ширина В= 160 мм, радиатор 3-рядный, с встроенным термостатическим вентилем Danfoss RTD-N BIV с предварительной настройкой, нижнее подключение (правостороннее либо левостороннее)</v>
      </c>
      <c r="D267" s="19" t="str">
        <f>Source!H326</f>
        <v>шт.</v>
      </c>
      <c r="E267" s="9">
        <f>Source!I326</f>
        <v>5</v>
      </c>
      <c r="F267" s="21"/>
      <c r="G267" s="20"/>
      <c r="H267" s="9"/>
      <c r="I267" s="9"/>
      <c r="J267" s="21"/>
      <c r="K267" s="21"/>
      <c r="Q267">
        <f>ROUND((Source!BZ326/100)*ROUND((Source!AF326*Source!AV326)*Source!I326, 2), 2)</f>
        <v>1141.21</v>
      </c>
      <c r="R267">
        <f>Source!X326</f>
        <v>1141.21</v>
      </c>
      <c r="S267">
        <f>ROUND((Source!CA326/100)*ROUND((Source!AF326*Source!AV326)*Source!I326, 2), 2)</f>
        <v>163.03</v>
      </c>
      <c r="T267">
        <f>Source!Y326</f>
        <v>163.03</v>
      </c>
      <c r="U267">
        <f>ROUND((175/100)*ROUND((Source!AE326*Source!AV326)*Source!I326, 2), 2)</f>
        <v>0.26</v>
      </c>
      <c r="V267">
        <f>ROUND((108/100)*ROUND(Source!CS326*Source!I326, 2), 2)</f>
        <v>0.16</v>
      </c>
    </row>
    <row r="268" spans="1:22" ht="14.25" x14ac:dyDescent="0.2">
      <c r="A268" s="18"/>
      <c r="B268" s="18"/>
      <c r="C268" s="18" t="s">
        <v>1100</v>
      </c>
      <c r="D268" s="19"/>
      <c r="E268" s="9"/>
      <c r="F268" s="21">
        <f>Source!AO326</f>
        <v>326.06</v>
      </c>
      <c r="G268" s="20" t="str">
        <f>Source!DG326</f>
        <v/>
      </c>
      <c r="H268" s="9">
        <f>Source!AV326</f>
        <v>1</v>
      </c>
      <c r="I268" s="9">
        <f>IF(Source!BA326&lt;&gt; 0, Source!BA326, 1)</f>
        <v>1</v>
      </c>
      <c r="J268" s="21">
        <f>Source!S326</f>
        <v>1630.3</v>
      </c>
      <c r="K268" s="21"/>
    </row>
    <row r="269" spans="1:22" ht="14.25" x14ac:dyDescent="0.2">
      <c r="A269" s="18"/>
      <c r="B269" s="18"/>
      <c r="C269" s="18" t="s">
        <v>1107</v>
      </c>
      <c r="D269" s="19"/>
      <c r="E269" s="9"/>
      <c r="F269" s="21">
        <f>Source!AM326</f>
        <v>2.5299999999999998</v>
      </c>
      <c r="G269" s="20" t="str">
        <f>Source!DE326</f>
        <v/>
      </c>
      <c r="H269" s="9">
        <f>Source!AV326</f>
        <v>1</v>
      </c>
      <c r="I269" s="9">
        <f>IF(Source!BB326&lt;&gt; 0, Source!BB326, 1)</f>
        <v>1</v>
      </c>
      <c r="J269" s="21">
        <f>Source!Q326</f>
        <v>12.65</v>
      </c>
      <c r="K269" s="21"/>
    </row>
    <row r="270" spans="1:22" ht="14.25" x14ac:dyDescent="0.2">
      <c r="A270" s="18"/>
      <c r="B270" s="18"/>
      <c r="C270" s="18" t="s">
        <v>1108</v>
      </c>
      <c r="D270" s="19"/>
      <c r="E270" s="9"/>
      <c r="F270" s="21">
        <f>Source!AN326</f>
        <v>0.03</v>
      </c>
      <c r="G270" s="20" t="str">
        <f>Source!DF326</f>
        <v/>
      </c>
      <c r="H270" s="9">
        <f>Source!AV326</f>
        <v>1</v>
      </c>
      <c r="I270" s="9">
        <f>IF(Source!BS326&lt;&gt; 0, Source!BS326, 1)</f>
        <v>1</v>
      </c>
      <c r="J270" s="25">
        <f>Source!R326</f>
        <v>0.15</v>
      </c>
      <c r="K270" s="21"/>
    </row>
    <row r="271" spans="1:22" ht="14.25" x14ac:dyDescent="0.2">
      <c r="A271" s="18"/>
      <c r="B271" s="18"/>
      <c r="C271" s="18" t="s">
        <v>1101</v>
      </c>
      <c r="D271" s="19"/>
      <c r="E271" s="9"/>
      <c r="F271" s="21">
        <f>Source!AL326</f>
        <v>0.47</v>
      </c>
      <c r="G271" s="20" t="str">
        <f>Source!DD326</f>
        <v/>
      </c>
      <c r="H271" s="9">
        <f>Source!AW326</f>
        <v>1</v>
      </c>
      <c r="I271" s="9">
        <f>IF(Source!BC326&lt;&gt; 0, Source!BC326, 1)</f>
        <v>1</v>
      </c>
      <c r="J271" s="21">
        <f>Source!P326</f>
        <v>2.35</v>
      </c>
      <c r="K271" s="21"/>
    </row>
    <row r="272" spans="1:22" ht="14.25" x14ac:dyDescent="0.2">
      <c r="A272" s="18"/>
      <c r="B272" s="18"/>
      <c r="C272" s="18" t="s">
        <v>1102</v>
      </c>
      <c r="D272" s="19" t="s">
        <v>1103</v>
      </c>
      <c r="E272" s="9">
        <f>Source!AT326</f>
        <v>70</v>
      </c>
      <c r="F272" s="21"/>
      <c r="G272" s="20"/>
      <c r="H272" s="9"/>
      <c r="I272" s="9"/>
      <c r="J272" s="21">
        <f>SUM(R267:R271)</f>
        <v>1141.21</v>
      </c>
      <c r="K272" s="21"/>
    </row>
    <row r="273" spans="1:22" ht="14.25" x14ac:dyDescent="0.2">
      <c r="A273" s="18"/>
      <c r="B273" s="18"/>
      <c r="C273" s="18" t="s">
        <v>1104</v>
      </c>
      <c r="D273" s="19" t="s">
        <v>1103</v>
      </c>
      <c r="E273" s="9">
        <f>Source!AU326</f>
        <v>10</v>
      </c>
      <c r="F273" s="21"/>
      <c r="G273" s="20"/>
      <c r="H273" s="9"/>
      <c r="I273" s="9"/>
      <c r="J273" s="21">
        <f>SUM(T267:T272)</f>
        <v>163.03</v>
      </c>
      <c r="K273" s="21"/>
    </row>
    <row r="274" spans="1:22" ht="14.25" x14ac:dyDescent="0.2">
      <c r="A274" s="18"/>
      <c r="B274" s="18"/>
      <c r="C274" s="18" t="s">
        <v>1109</v>
      </c>
      <c r="D274" s="19" t="s">
        <v>1103</v>
      </c>
      <c r="E274" s="9">
        <f>108</f>
        <v>108</v>
      </c>
      <c r="F274" s="21"/>
      <c r="G274" s="20"/>
      <c r="H274" s="9"/>
      <c r="I274" s="9"/>
      <c r="J274" s="21">
        <f>SUM(V267:V273)</f>
        <v>0.16</v>
      </c>
      <c r="K274" s="21"/>
    </row>
    <row r="275" spans="1:22" ht="14.25" x14ac:dyDescent="0.2">
      <c r="A275" s="18"/>
      <c r="B275" s="18"/>
      <c r="C275" s="18" t="s">
        <v>1105</v>
      </c>
      <c r="D275" s="19" t="s">
        <v>1106</v>
      </c>
      <c r="E275" s="9">
        <f>Source!AQ326</f>
        <v>0.57999999999999996</v>
      </c>
      <c r="F275" s="21"/>
      <c r="G275" s="20" t="str">
        <f>Source!DI326</f>
        <v/>
      </c>
      <c r="H275" s="9">
        <f>Source!AV326</f>
        <v>1</v>
      </c>
      <c r="I275" s="9"/>
      <c r="J275" s="21"/>
      <c r="K275" s="21">
        <f>Source!U326</f>
        <v>2.9</v>
      </c>
    </row>
    <row r="276" spans="1:22" ht="15" x14ac:dyDescent="0.25">
      <c r="A276" s="23"/>
      <c r="B276" s="23"/>
      <c r="C276" s="23"/>
      <c r="D276" s="23"/>
      <c r="E276" s="23"/>
      <c r="F276" s="23"/>
      <c r="G276" s="23"/>
      <c r="H276" s="23"/>
      <c r="I276" s="44">
        <f>J268+J269+J271+J272+J273+J274</f>
        <v>2949.7000000000003</v>
      </c>
      <c r="J276" s="44"/>
      <c r="K276" s="24">
        <f>IF(Source!I326&lt;&gt;0, ROUND(I276/Source!I326, 2), 0)</f>
        <v>589.94000000000005</v>
      </c>
      <c r="P276" s="22">
        <f>I276</f>
        <v>2949.7000000000003</v>
      </c>
    </row>
    <row r="277" spans="1:22" ht="28.5" x14ac:dyDescent="0.2">
      <c r="A277" s="18">
        <v>25</v>
      </c>
      <c r="B277" s="18" t="str">
        <f>Source!F327</f>
        <v>1.17-2103-17-1/1</v>
      </c>
      <c r="C277" s="18" t="str">
        <f>Source!G327</f>
        <v>Техническое обслуживание автоматического воздухоотводчика</v>
      </c>
      <c r="D277" s="19" t="str">
        <f>Source!H327</f>
        <v>10 шт.</v>
      </c>
      <c r="E277" s="9">
        <f>Source!I327</f>
        <v>4.4000000000000004</v>
      </c>
      <c r="F277" s="21"/>
      <c r="G277" s="20"/>
      <c r="H277" s="9"/>
      <c r="I277" s="9"/>
      <c r="J277" s="21"/>
      <c r="K277" s="21"/>
      <c r="Q277">
        <f>ROUND((Source!BZ327/100)*ROUND((Source!AF327*Source!AV327)*Source!I327, 2), 2)</f>
        <v>2890.83</v>
      </c>
      <c r="R277">
        <f>Source!X327</f>
        <v>2890.83</v>
      </c>
      <c r="S277">
        <f>ROUND((Source!CA327/100)*ROUND((Source!AF327*Source!AV327)*Source!I327, 2), 2)</f>
        <v>412.98</v>
      </c>
      <c r="T277">
        <f>Source!Y327</f>
        <v>412.98</v>
      </c>
      <c r="U277">
        <f>ROUND((175/100)*ROUND((Source!AE327*Source!AV327)*Source!I327, 2), 2)</f>
        <v>0</v>
      </c>
      <c r="V277">
        <f>ROUND((108/100)*ROUND(Source!CS327*Source!I327, 2), 2)</f>
        <v>0</v>
      </c>
    </row>
    <row r="278" spans="1:22" x14ac:dyDescent="0.2">
      <c r="C278" s="28" t="str">
        <f>"Объем: "&amp;Source!I327&amp;"=44/"&amp;"10"</f>
        <v>Объем: 4,4=44/10</v>
      </c>
    </row>
    <row r="279" spans="1:22" ht="14.25" x14ac:dyDescent="0.2">
      <c r="A279" s="18"/>
      <c r="B279" s="18"/>
      <c r="C279" s="18" t="s">
        <v>1100</v>
      </c>
      <c r="D279" s="19"/>
      <c r="E279" s="9"/>
      <c r="F279" s="21">
        <f>Source!AO327</f>
        <v>938.58</v>
      </c>
      <c r="G279" s="20" t="str">
        <f>Source!DG327</f>
        <v/>
      </c>
      <c r="H279" s="9">
        <f>Source!AV327</f>
        <v>1</v>
      </c>
      <c r="I279" s="9">
        <f>IF(Source!BA327&lt;&gt; 0, Source!BA327, 1)</f>
        <v>1</v>
      </c>
      <c r="J279" s="21">
        <f>Source!S327</f>
        <v>4129.75</v>
      </c>
      <c r="K279" s="21"/>
    </row>
    <row r="280" spans="1:22" ht="14.25" x14ac:dyDescent="0.2">
      <c r="A280" s="18"/>
      <c r="B280" s="18"/>
      <c r="C280" s="18" t="s">
        <v>1101</v>
      </c>
      <c r="D280" s="19"/>
      <c r="E280" s="9"/>
      <c r="F280" s="21">
        <f>Source!AL327</f>
        <v>0.63</v>
      </c>
      <c r="G280" s="20" t="str">
        <f>Source!DD327</f>
        <v/>
      </c>
      <c r="H280" s="9">
        <f>Source!AW327</f>
        <v>1</v>
      </c>
      <c r="I280" s="9">
        <f>IF(Source!BC327&lt;&gt; 0, Source!BC327, 1)</f>
        <v>1</v>
      </c>
      <c r="J280" s="21">
        <f>Source!P327</f>
        <v>2.77</v>
      </c>
      <c r="K280" s="21"/>
    </row>
    <row r="281" spans="1:22" ht="14.25" x14ac:dyDescent="0.2">
      <c r="A281" s="18"/>
      <c r="B281" s="18"/>
      <c r="C281" s="18" t="s">
        <v>1102</v>
      </c>
      <c r="D281" s="19" t="s">
        <v>1103</v>
      </c>
      <c r="E281" s="9">
        <f>Source!AT327</f>
        <v>70</v>
      </c>
      <c r="F281" s="21"/>
      <c r="G281" s="20"/>
      <c r="H281" s="9"/>
      <c r="I281" s="9"/>
      <c r="J281" s="21">
        <f>SUM(R277:R280)</f>
        <v>2890.83</v>
      </c>
      <c r="K281" s="21"/>
    </row>
    <row r="282" spans="1:22" ht="14.25" x14ac:dyDescent="0.2">
      <c r="A282" s="18"/>
      <c r="B282" s="18"/>
      <c r="C282" s="18" t="s">
        <v>1104</v>
      </c>
      <c r="D282" s="19" t="s">
        <v>1103</v>
      </c>
      <c r="E282" s="9">
        <f>Source!AU327</f>
        <v>10</v>
      </c>
      <c r="F282" s="21"/>
      <c r="G282" s="20"/>
      <c r="H282" s="9"/>
      <c r="I282" s="9"/>
      <c r="J282" s="21">
        <f>SUM(T277:T281)</f>
        <v>412.98</v>
      </c>
      <c r="K282" s="21"/>
    </row>
    <row r="283" spans="1:22" ht="14.25" x14ac:dyDescent="0.2">
      <c r="A283" s="18"/>
      <c r="B283" s="18"/>
      <c r="C283" s="18" t="s">
        <v>1105</v>
      </c>
      <c r="D283" s="19" t="s">
        <v>1106</v>
      </c>
      <c r="E283" s="9">
        <f>Source!AQ327</f>
        <v>1.52</v>
      </c>
      <c r="F283" s="21"/>
      <c r="G283" s="20" t="str">
        <f>Source!DI327</f>
        <v/>
      </c>
      <c r="H283" s="9">
        <f>Source!AV327</f>
        <v>1</v>
      </c>
      <c r="I283" s="9"/>
      <c r="J283" s="21"/>
      <c r="K283" s="21">
        <f>Source!U327</f>
        <v>6.6880000000000006</v>
      </c>
    </row>
    <row r="284" spans="1:22" ht="15" x14ac:dyDescent="0.25">
      <c r="A284" s="23"/>
      <c r="B284" s="23"/>
      <c r="C284" s="23"/>
      <c r="D284" s="23"/>
      <c r="E284" s="23"/>
      <c r="F284" s="23"/>
      <c r="G284" s="23"/>
      <c r="H284" s="23"/>
      <c r="I284" s="44">
        <f>J279+J280+J281+J282</f>
        <v>7436.33</v>
      </c>
      <c r="J284" s="44"/>
      <c r="K284" s="24">
        <f>IF(Source!I327&lt;&gt;0, ROUND(I284/Source!I327, 2), 0)</f>
        <v>1690.08</v>
      </c>
      <c r="P284" s="22">
        <f>I284</f>
        <v>7436.33</v>
      </c>
    </row>
    <row r="285" spans="1:22" ht="57" x14ac:dyDescent="0.2">
      <c r="A285" s="18">
        <v>26</v>
      </c>
      <c r="B285" s="18" t="str">
        <f>Source!F331</f>
        <v>1.15-2203-7-1/1</v>
      </c>
      <c r="C285" s="18" t="str">
        <f>Source!G331</f>
        <v>Техническое обслуживание крана шарового латунного никелированного диаметром до 25 мм / Кран с накидной гайкой 1/2"х3/4" VT.241 «Valtec»</v>
      </c>
      <c r="D285" s="19" t="str">
        <f>Source!H331</f>
        <v>10 шт.</v>
      </c>
      <c r="E285" s="9">
        <f>Source!I331</f>
        <v>23</v>
      </c>
      <c r="F285" s="21"/>
      <c r="G285" s="20"/>
      <c r="H285" s="9"/>
      <c r="I285" s="9"/>
      <c r="J285" s="21"/>
      <c r="K285" s="21"/>
      <c r="Q285">
        <f>ROUND((Source!BZ331/100)*ROUND((Source!AF331*Source!AV331)*Source!I331, 2), 2)</f>
        <v>4473.71</v>
      </c>
      <c r="R285">
        <f>Source!X331</f>
        <v>4473.71</v>
      </c>
      <c r="S285">
        <f>ROUND((Source!CA331/100)*ROUND((Source!AF331*Source!AV331)*Source!I331, 2), 2)</f>
        <v>639.1</v>
      </c>
      <c r="T285">
        <f>Source!Y331</f>
        <v>639.1</v>
      </c>
      <c r="U285">
        <f>ROUND((175/100)*ROUND((Source!AE331*Source!AV331)*Source!I331, 2), 2)</f>
        <v>0</v>
      </c>
      <c r="V285">
        <f>ROUND((108/100)*ROUND(Source!CS331*Source!I331, 2), 2)</f>
        <v>0</v>
      </c>
    </row>
    <row r="286" spans="1:22" x14ac:dyDescent="0.2">
      <c r="C286" s="28" t="str">
        <f>"Объем: "&amp;Source!I331&amp;"=230/"&amp;"10"</f>
        <v>Объем: 23=230/10</v>
      </c>
    </row>
    <row r="287" spans="1:22" ht="14.25" x14ac:dyDescent="0.2">
      <c r="A287" s="18"/>
      <c r="B287" s="18"/>
      <c r="C287" s="18" t="s">
        <v>1100</v>
      </c>
      <c r="D287" s="19"/>
      <c r="E287" s="9"/>
      <c r="F287" s="21">
        <f>Source!AO331</f>
        <v>277.87</v>
      </c>
      <c r="G287" s="20" t="str">
        <f>Source!DG331</f>
        <v/>
      </c>
      <c r="H287" s="9">
        <f>Source!AV331</f>
        <v>1</v>
      </c>
      <c r="I287" s="9">
        <f>IF(Source!BA331&lt;&gt; 0, Source!BA331, 1)</f>
        <v>1</v>
      </c>
      <c r="J287" s="21">
        <f>Source!S331</f>
        <v>6391.01</v>
      </c>
      <c r="K287" s="21"/>
    </row>
    <row r="288" spans="1:22" ht="14.25" x14ac:dyDescent="0.2">
      <c r="A288" s="18"/>
      <c r="B288" s="18"/>
      <c r="C288" s="18" t="s">
        <v>1102</v>
      </c>
      <c r="D288" s="19" t="s">
        <v>1103</v>
      </c>
      <c r="E288" s="9">
        <f>Source!AT331</f>
        <v>70</v>
      </c>
      <c r="F288" s="21"/>
      <c r="G288" s="20"/>
      <c r="H288" s="9"/>
      <c r="I288" s="9"/>
      <c r="J288" s="21">
        <f>SUM(R285:R287)</f>
        <v>4473.71</v>
      </c>
      <c r="K288" s="21"/>
    </row>
    <row r="289" spans="1:22" ht="14.25" x14ac:dyDescent="0.2">
      <c r="A289" s="18"/>
      <c r="B289" s="18"/>
      <c r="C289" s="18" t="s">
        <v>1104</v>
      </c>
      <c r="D289" s="19" t="s">
        <v>1103</v>
      </c>
      <c r="E289" s="9">
        <f>Source!AU331</f>
        <v>10</v>
      </c>
      <c r="F289" s="21"/>
      <c r="G289" s="20"/>
      <c r="H289" s="9"/>
      <c r="I289" s="9"/>
      <c r="J289" s="21">
        <f>SUM(T285:T288)</f>
        <v>639.1</v>
      </c>
      <c r="K289" s="21"/>
    </row>
    <row r="290" spans="1:22" ht="14.25" x14ac:dyDescent="0.2">
      <c r="A290" s="18"/>
      <c r="B290" s="18"/>
      <c r="C290" s="18" t="s">
        <v>1105</v>
      </c>
      <c r="D290" s="19" t="s">
        <v>1106</v>
      </c>
      <c r="E290" s="9">
        <f>Source!AQ331</f>
        <v>0.45</v>
      </c>
      <c r="F290" s="21"/>
      <c r="G290" s="20" t="str">
        <f>Source!DI331</f>
        <v/>
      </c>
      <c r="H290" s="9">
        <f>Source!AV331</f>
        <v>1</v>
      </c>
      <c r="I290" s="9"/>
      <c r="J290" s="21"/>
      <c r="K290" s="21">
        <f>Source!U331</f>
        <v>10.35</v>
      </c>
    </row>
    <row r="291" spans="1:22" ht="15" x14ac:dyDescent="0.25">
      <c r="A291" s="23"/>
      <c r="B291" s="23"/>
      <c r="C291" s="23"/>
      <c r="D291" s="23"/>
      <c r="E291" s="23"/>
      <c r="F291" s="23"/>
      <c r="G291" s="23"/>
      <c r="H291" s="23"/>
      <c r="I291" s="44">
        <f>J287+J288+J289</f>
        <v>11503.820000000002</v>
      </c>
      <c r="J291" s="44"/>
      <c r="K291" s="24">
        <f>IF(Source!I331&lt;&gt;0, ROUND(I291/Source!I331, 2), 0)</f>
        <v>500.17</v>
      </c>
      <c r="P291" s="22">
        <f>I291</f>
        <v>11503.820000000002</v>
      </c>
    </row>
    <row r="292" spans="1:22" ht="157.5" x14ac:dyDescent="0.2">
      <c r="A292" s="18">
        <v>27</v>
      </c>
      <c r="B292" s="18" t="s">
        <v>1110</v>
      </c>
      <c r="C292" s="18" t="s">
        <v>1111</v>
      </c>
      <c r="D292" s="19" t="str">
        <f>Source!H332</f>
        <v>шт.</v>
      </c>
      <c r="E292" s="9">
        <f>Source!I332</f>
        <v>22</v>
      </c>
      <c r="F292" s="21"/>
      <c r="G292" s="20"/>
      <c r="H292" s="9"/>
      <c r="I292" s="9"/>
      <c r="J292" s="21"/>
      <c r="K292" s="21"/>
      <c r="Q292">
        <f>ROUND((Source!BZ332/100)*ROUND((Source!AF332*Source!AV332)*Source!I332, 2), 2)</f>
        <v>23868.43</v>
      </c>
      <c r="R292">
        <f>Source!X332</f>
        <v>23868.43</v>
      </c>
      <c r="S292">
        <f>ROUND((Source!CA332/100)*ROUND((Source!AF332*Source!AV332)*Source!I332, 2), 2)</f>
        <v>3409.78</v>
      </c>
      <c r="T292">
        <f>Source!Y332</f>
        <v>3409.78</v>
      </c>
      <c r="U292">
        <f>ROUND((175/100)*ROUND((Source!AE332*Source!AV332)*Source!I332, 2), 2)</f>
        <v>3785.13</v>
      </c>
      <c r="V292">
        <f>ROUND((108/100)*ROUND(Source!CS332*Source!I332, 2), 2)</f>
        <v>2335.96</v>
      </c>
    </row>
    <row r="293" spans="1:22" x14ac:dyDescent="0.2">
      <c r="C293" s="28" t="str">
        <f>"Объем: "&amp;Source!I332&amp;"=7+"&amp;"13+"&amp;"2"</f>
        <v>Объем: 22=7+13+2</v>
      </c>
    </row>
    <row r="294" spans="1:22" ht="14.25" x14ac:dyDescent="0.2">
      <c r="A294" s="18"/>
      <c r="B294" s="18"/>
      <c r="C294" s="18" t="s">
        <v>1100</v>
      </c>
      <c r="D294" s="19"/>
      <c r="E294" s="9"/>
      <c r="F294" s="21">
        <f>Source!AO332</f>
        <v>2214.14</v>
      </c>
      <c r="G294" s="20" t="str">
        <f>Source!DG332</f>
        <v>)*0,70</v>
      </c>
      <c r="H294" s="9">
        <f>Source!AV332</f>
        <v>1</v>
      </c>
      <c r="I294" s="9">
        <f>IF(Source!BA332&lt;&gt; 0, Source!BA332, 1)</f>
        <v>1</v>
      </c>
      <c r="J294" s="21">
        <f>Source!S332</f>
        <v>34097.760000000002</v>
      </c>
      <c r="K294" s="21"/>
    </row>
    <row r="295" spans="1:22" ht="14.25" x14ac:dyDescent="0.2">
      <c r="A295" s="18"/>
      <c r="B295" s="18"/>
      <c r="C295" s="18" t="s">
        <v>1107</v>
      </c>
      <c r="D295" s="19"/>
      <c r="E295" s="9"/>
      <c r="F295" s="21">
        <f>Source!AM332</f>
        <v>221.51</v>
      </c>
      <c r="G295" s="20" t="str">
        <f>Source!DE332</f>
        <v>)*0,70</v>
      </c>
      <c r="H295" s="9">
        <f>Source!AV332</f>
        <v>1</v>
      </c>
      <c r="I295" s="9">
        <f>IF(Source!BB332&lt;&gt; 0, Source!BB332, 1)</f>
        <v>1</v>
      </c>
      <c r="J295" s="21">
        <f>Source!Q332</f>
        <v>3411.25</v>
      </c>
      <c r="K295" s="21"/>
    </row>
    <row r="296" spans="1:22" ht="14.25" x14ac:dyDescent="0.2">
      <c r="A296" s="18"/>
      <c r="B296" s="18"/>
      <c r="C296" s="18" t="s">
        <v>1108</v>
      </c>
      <c r="D296" s="19"/>
      <c r="E296" s="9"/>
      <c r="F296" s="21">
        <f>Source!AN332</f>
        <v>140.44999999999999</v>
      </c>
      <c r="G296" s="20" t="str">
        <f>Source!DF332</f>
        <v>)*0,70</v>
      </c>
      <c r="H296" s="9">
        <f>Source!AV332</f>
        <v>1</v>
      </c>
      <c r="I296" s="9">
        <f>IF(Source!BS332&lt;&gt; 0, Source!BS332, 1)</f>
        <v>1</v>
      </c>
      <c r="J296" s="25">
        <f>Source!R332</f>
        <v>2162.9299999999998</v>
      </c>
      <c r="K296" s="21"/>
    </row>
    <row r="297" spans="1:22" ht="14.25" x14ac:dyDescent="0.2">
      <c r="A297" s="18"/>
      <c r="B297" s="18"/>
      <c r="C297" s="18" t="s">
        <v>1101</v>
      </c>
      <c r="D297" s="19"/>
      <c r="E297" s="9"/>
      <c r="F297" s="21">
        <f>Source!AL332</f>
        <v>31.22</v>
      </c>
      <c r="G297" s="20" t="str">
        <f>Source!DD332</f>
        <v>)*1</v>
      </c>
      <c r="H297" s="9">
        <f>Source!AW332</f>
        <v>1</v>
      </c>
      <c r="I297" s="9">
        <f>IF(Source!BC332&lt;&gt; 0, Source!BC332, 1)</f>
        <v>1</v>
      </c>
      <c r="J297" s="21">
        <f>Source!P332</f>
        <v>686.84</v>
      </c>
      <c r="K297" s="21"/>
    </row>
    <row r="298" spans="1:22" ht="14.25" x14ac:dyDescent="0.2">
      <c r="A298" s="18"/>
      <c r="B298" s="18"/>
      <c r="C298" s="18" t="s">
        <v>1102</v>
      </c>
      <c r="D298" s="19" t="s">
        <v>1103</v>
      </c>
      <c r="E298" s="9">
        <f>Source!AT332</f>
        <v>70</v>
      </c>
      <c r="F298" s="21"/>
      <c r="G298" s="20"/>
      <c r="H298" s="9"/>
      <c r="I298" s="9"/>
      <c r="J298" s="21">
        <f>SUM(R292:R297)</f>
        <v>23868.43</v>
      </c>
      <c r="K298" s="21"/>
    </row>
    <row r="299" spans="1:22" ht="14.25" x14ac:dyDescent="0.2">
      <c r="A299" s="18"/>
      <c r="B299" s="18"/>
      <c r="C299" s="18" t="s">
        <v>1104</v>
      </c>
      <c r="D299" s="19" t="s">
        <v>1103</v>
      </c>
      <c r="E299" s="9">
        <f>Source!AU332</f>
        <v>10</v>
      </c>
      <c r="F299" s="21"/>
      <c r="G299" s="20"/>
      <c r="H299" s="9"/>
      <c r="I299" s="9"/>
      <c r="J299" s="21">
        <f>SUM(T292:T298)</f>
        <v>3409.78</v>
      </c>
      <c r="K299" s="21"/>
    </row>
    <row r="300" spans="1:22" ht="14.25" x14ac:dyDescent="0.2">
      <c r="A300" s="18"/>
      <c r="B300" s="18"/>
      <c r="C300" s="18" t="s">
        <v>1109</v>
      </c>
      <c r="D300" s="19" t="s">
        <v>1103</v>
      </c>
      <c r="E300" s="9">
        <f>108</f>
        <v>108</v>
      </c>
      <c r="F300" s="21"/>
      <c r="G300" s="20"/>
      <c r="H300" s="9"/>
      <c r="I300" s="9"/>
      <c r="J300" s="21">
        <f>SUM(V292:V299)</f>
        <v>2335.96</v>
      </c>
      <c r="K300" s="21"/>
    </row>
    <row r="301" spans="1:22" ht="14.25" x14ac:dyDescent="0.2">
      <c r="A301" s="18"/>
      <c r="B301" s="18"/>
      <c r="C301" s="18" t="s">
        <v>1105</v>
      </c>
      <c r="D301" s="19" t="s">
        <v>1106</v>
      </c>
      <c r="E301" s="9">
        <f>Source!AQ332</f>
        <v>3.12</v>
      </c>
      <c r="F301" s="21"/>
      <c r="G301" s="20" t="str">
        <f>Source!DI332</f>
        <v>)*0,70</v>
      </c>
      <c r="H301" s="9">
        <f>Source!AV332</f>
        <v>1</v>
      </c>
      <c r="I301" s="9"/>
      <c r="J301" s="21"/>
      <c r="K301" s="21">
        <f>Source!U332</f>
        <v>48.047999999999995</v>
      </c>
    </row>
    <row r="302" spans="1:22" ht="15" x14ac:dyDescent="0.25">
      <c r="A302" s="23"/>
      <c r="B302" s="23"/>
      <c r="C302" s="23"/>
      <c r="D302" s="23"/>
      <c r="E302" s="23"/>
      <c r="F302" s="23"/>
      <c r="G302" s="23"/>
      <c r="H302" s="23"/>
      <c r="I302" s="44">
        <f>J294+J295+J297+J298+J299+J300</f>
        <v>67810.02</v>
      </c>
      <c r="J302" s="44"/>
      <c r="K302" s="24">
        <f>IF(Source!I332&lt;&gt;0, ROUND(I302/Source!I332, 2), 0)</f>
        <v>3082.27</v>
      </c>
      <c r="P302" s="22">
        <f>I302</f>
        <v>67810.02</v>
      </c>
    </row>
    <row r="303" spans="1:22" ht="85.5" x14ac:dyDescent="0.2">
      <c r="A303" s="18">
        <v>28</v>
      </c>
      <c r="B303" s="18" t="str">
        <f>Source!F334</f>
        <v>1.23-2103-27-1/1</v>
      </c>
      <c r="C303" s="18" t="str">
        <f>Source!G334</f>
        <v>Техническое обслуживание преобразователя давления МТ100 и аналогов  / Автоматический регулятор перепада давления Ду 15 50-300 мбар в к-те с запорно-регулирующим клапаном</v>
      </c>
      <c r="D303" s="19" t="str">
        <f>Source!H334</f>
        <v>10 шт.</v>
      </c>
      <c r="E303" s="9">
        <f>Source!I334</f>
        <v>2.2000000000000002</v>
      </c>
      <c r="F303" s="21"/>
      <c r="G303" s="20"/>
      <c r="H303" s="9"/>
      <c r="I303" s="9"/>
      <c r="J303" s="21"/>
      <c r="K303" s="21"/>
      <c r="Q303">
        <f>ROUND((Source!BZ334/100)*ROUND((Source!AF334*Source!AV334)*Source!I334, 2), 2)</f>
        <v>13660.96</v>
      </c>
      <c r="R303">
        <f>Source!X334</f>
        <v>13660.96</v>
      </c>
      <c r="S303">
        <f>ROUND((Source!CA334/100)*ROUND((Source!AF334*Source!AV334)*Source!I334, 2), 2)</f>
        <v>1951.57</v>
      </c>
      <c r="T303">
        <f>Source!Y334</f>
        <v>1951.57</v>
      </c>
      <c r="U303">
        <f>ROUND((175/100)*ROUND((Source!AE334*Source!AV334)*Source!I334, 2), 2)</f>
        <v>0</v>
      </c>
      <c r="V303">
        <f>ROUND((108/100)*ROUND(Source!CS334*Source!I334, 2), 2)</f>
        <v>0</v>
      </c>
    </row>
    <row r="304" spans="1:22" x14ac:dyDescent="0.2">
      <c r="C304" s="28" t="str">
        <f>"Объем: "&amp;Source!I334&amp;"=(3+"&amp;"5+"&amp;"8+"&amp;"6)/"&amp;"10"</f>
        <v>Объем: 2,2=(3+5+8+6)/10</v>
      </c>
    </row>
    <row r="305" spans="1:22" ht="14.25" x14ac:dyDescent="0.2">
      <c r="A305" s="18"/>
      <c r="B305" s="18"/>
      <c r="C305" s="18" t="s">
        <v>1100</v>
      </c>
      <c r="D305" s="19"/>
      <c r="E305" s="9"/>
      <c r="F305" s="21">
        <f>Source!AO334</f>
        <v>8870.75</v>
      </c>
      <c r="G305" s="20" t="str">
        <f>Source!DG334</f>
        <v/>
      </c>
      <c r="H305" s="9">
        <f>Source!AV334</f>
        <v>1</v>
      </c>
      <c r="I305" s="9">
        <f>IF(Source!BA334&lt;&gt; 0, Source!BA334, 1)</f>
        <v>1</v>
      </c>
      <c r="J305" s="21">
        <f>Source!S334</f>
        <v>19515.650000000001</v>
      </c>
      <c r="K305" s="21"/>
    </row>
    <row r="306" spans="1:22" ht="14.25" x14ac:dyDescent="0.2">
      <c r="A306" s="18"/>
      <c r="B306" s="18"/>
      <c r="C306" s="18" t="s">
        <v>1101</v>
      </c>
      <c r="D306" s="19"/>
      <c r="E306" s="9"/>
      <c r="F306" s="21">
        <f>Source!AL334</f>
        <v>17.39</v>
      </c>
      <c r="G306" s="20" t="str">
        <f>Source!DD334</f>
        <v/>
      </c>
      <c r="H306" s="9">
        <f>Source!AW334</f>
        <v>1</v>
      </c>
      <c r="I306" s="9">
        <f>IF(Source!BC334&lt;&gt; 0, Source!BC334, 1)</f>
        <v>1</v>
      </c>
      <c r="J306" s="21">
        <f>Source!P334</f>
        <v>38.26</v>
      </c>
      <c r="K306" s="21"/>
    </row>
    <row r="307" spans="1:22" ht="14.25" x14ac:dyDescent="0.2">
      <c r="A307" s="18"/>
      <c r="B307" s="18"/>
      <c r="C307" s="18" t="s">
        <v>1102</v>
      </c>
      <c r="D307" s="19" t="s">
        <v>1103</v>
      </c>
      <c r="E307" s="9">
        <f>Source!AT334</f>
        <v>70</v>
      </c>
      <c r="F307" s="21"/>
      <c r="G307" s="20"/>
      <c r="H307" s="9"/>
      <c r="I307" s="9"/>
      <c r="J307" s="21">
        <f>SUM(R303:R306)</f>
        <v>13660.96</v>
      </c>
      <c r="K307" s="21"/>
    </row>
    <row r="308" spans="1:22" ht="14.25" x14ac:dyDescent="0.2">
      <c r="A308" s="18"/>
      <c r="B308" s="18"/>
      <c r="C308" s="18" t="s">
        <v>1104</v>
      </c>
      <c r="D308" s="19" t="s">
        <v>1103</v>
      </c>
      <c r="E308" s="9">
        <f>Source!AU334</f>
        <v>10</v>
      </c>
      <c r="F308" s="21"/>
      <c r="G308" s="20"/>
      <c r="H308" s="9"/>
      <c r="I308" s="9"/>
      <c r="J308" s="21">
        <f>SUM(T303:T307)</f>
        <v>1951.57</v>
      </c>
      <c r="K308" s="21"/>
    </row>
    <row r="309" spans="1:22" ht="14.25" x14ac:dyDescent="0.2">
      <c r="A309" s="18"/>
      <c r="B309" s="18"/>
      <c r="C309" s="18" t="s">
        <v>1105</v>
      </c>
      <c r="D309" s="19" t="s">
        <v>1106</v>
      </c>
      <c r="E309" s="9">
        <f>Source!AQ334</f>
        <v>12.5</v>
      </c>
      <c r="F309" s="21"/>
      <c r="G309" s="20" t="str">
        <f>Source!DI334</f>
        <v/>
      </c>
      <c r="H309" s="9">
        <f>Source!AV334</f>
        <v>1</v>
      </c>
      <c r="I309" s="9"/>
      <c r="J309" s="21"/>
      <c r="K309" s="21">
        <f>Source!U334</f>
        <v>27.500000000000004</v>
      </c>
    </row>
    <row r="310" spans="1:22" ht="15" x14ac:dyDescent="0.25">
      <c r="A310" s="23"/>
      <c r="B310" s="23"/>
      <c r="C310" s="23"/>
      <c r="D310" s="23"/>
      <c r="E310" s="23"/>
      <c r="F310" s="23"/>
      <c r="G310" s="23"/>
      <c r="H310" s="23"/>
      <c r="I310" s="44">
        <f>J305+J306+J307+J308</f>
        <v>35166.439999999995</v>
      </c>
      <c r="J310" s="44"/>
      <c r="K310" s="24">
        <f>IF(Source!I334&lt;&gt;0, ROUND(I310/Source!I334, 2), 0)</f>
        <v>15984.75</v>
      </c>
      <c r="P310" s="22">
        <f>I310</f>
        <v>35166.439999999995</v>
      </c>
    </row>
    <row r="311" spans="1:22" ht="57" x14ac:dyDescent="0.2">
      <c r="A311" s="18">
        <v>29</v>
      </c>
      <c r="B311" s="18" t="str">
        <f>Source!F335</f>
        <v>1.23-2103-41-1/1</v>
      </c>
      <c r="C311" s="18" t="str">
        <f>Source!G335</f>
        <v>Техническое обслуживание регулирующего клапана / Клапан балансировочный ручной регулировки Ду 15 VT.054.N.04 «Valtec»</v>
      </c>
      <c r="D311" s="19" t="str">
        <f>Source!H335</f>
        <v>шт.</v>
      </c>
      <c r="E311" s="9">
        <f>Source!I335</f>
        <v>115</v>
      </c>
      <c r="F311" s="21"/>
      <c r="G311" s="20"/>
      <c r="H311" s="9"/>
      <c r="I311" s="9"/>
      <c r="J311" s="21"/>
      <c r="K311" s="21"/>
      <c r="Q311">
        <f>ROUND((Source!BZ335/100)*ROUND((Source!AF335*Source!AV335)*Source!I335, 2), 2)</f>
        <v>16744</v>
      </c>
      <c r="R311">
        <f>Source!X335</f>
        <v>16744</v>
      </c>
      <c r="S311">
        <f>ROUND((Source!CA335/100)*ROUND((Source!AF335*Source!AV335)*Source!I335, 2), 2)</f>
        <v>2392</v>
      </c>
      <c r="T311">
        <f>Source!Y335</f>
        <v>2392</v>
      </c>
      <c r="U311">
        <f>ROUND((175/100)*ROUND((Source!AE335*Source!AV335)*Source!I335, 2), 2)</f>
        <v>9975.9599999999991</v>
      </c>
      <c r="V311">
        <f>ROUND((108/100)*ROUND(Source!CS335*Source!I335, 2), 2)</f>
        <v>6156.59</v>
      </c>
    </row>
    <row r="312" spans="1:22" ht="14.25" x14ac:dyDescent="0.2">
      <c r="A312" s="18"/>
      <c r="B312" s="18"/>
      <c r="C312" s="18" t="s">
        <v>1100</v>
      </c>
      <c r="D312" s="19"/>
      <c r="E312" s="9"/>
      <c r="F312" s="21">
        <f>Source!AO335</f>
        <v>208</v>
      </c>
      <c r="G312" s="20" t="str">
        <f>Source!DG335</f>
        <v/>
      </c>
      <c r="H312" s="9">
        <f>Source!AV335</f>
        <v>1</v>
      </c>
      <c r="I312" s="9">
        <f>IF(Source!BA335&lt;&gt; 0, Source!BA335, 1)</f>
        <v>1</v>
      </c>
      <c r="J312" s="21">
        <f>Source!S335</f>
        <v>23920</v>
      </c>
      <c r="K312" s="21"/>
    </row>
    <row r="313" spans="1:22" ht="14.25" x14ac:dyDescent="0.2">
      <c r="A313" s="18"/>
      <c r="B313" s="18"/>
      <c r="C313" s="18" t="s">
        <v>1107</v>
      </c>
      <c r="D313" s="19"/>
      <c r="E313" s="9"/>
      <c r="F313" s="21">
        <f>Source!AM335</f>
        <v>78.180000000000007</v>
      </c>
      <c r="G313" s="20" t="str">
        <f>Source!DE335</f>
        <v/>
      </c>
      <c r="H313" s="9">
        <f>Source!AV335</f>
        <v>1</v>
      </c>
      <c r="I313" s="9">
        <f>IF(Source!BB335&lt;&gt; 0, Source!BB335, 1)</f>
        <v>1</v>
      </c>
      <c r="J313" s="21">
        <f>Source!Q335</f>
        <v>8990.7000000000007</v>
      </c>
      <c r="K313" s="21"/>
    </row>
    <row r="314" spans="1:22" ht="14.25" x14ac:dyDescent="0.2">
      <c r="A314" s="18"/>
      <c r="B314" s="18"/>
      <c r="C314" s="18" t="s">
        <v>1108</v>
      </c>
      <c r="D314" s="19"/>
      <c r="E314" s="9"/>
      <c r="F314" s="21">
        <f>Source!AN335</f>
        <v>49.57</v>
      </c>
      <c r="G314" s="20" t="str">
        <f>Source!DF335</f>
        <v/>
      </c>
      <c r="H314" s="9">
        <f>Source!AV335</f>
        <v>1</v>
      </c>
      <c r="I314" s="9">
        <f>IF(Source!BS335&lt;&gt; 0, Source!BS335, 1)</f>
        <v>1</v>
      </c>
      <c r="J314" s="25">
        <f>Source!R335</f>
        <v>5700.55</v>
      </c>
      <c r="K314" s="21"/>
    </row>
    <row r="315" spans="1:22" ht="14.25" x14ac:dyDescent="0.2">
      <c r="A315" s="18"/>
      <c r="B315" s="18"/>
      <c r="C315" s="18" t="s">
        <v>1102</v>
      </c>
      <c r="D315" s="19" t="s">
        <v>1103</v>
      </c>
      <c r="E315" s="9">
        <f>Source!AT335</f>
        <v>70</v>
      </c>
      <c r="F315" s="21"/>
      <c r="G315" s="20"/>
      <c r="H315" s="9"/>
      <c r="I315" s="9"/>
      <c r="J315" s="21">
        <f>SUM(R311:R314)</f>
        <v>16744</v>
      </c>
      <c r="K315" s="21"/>
    </row>
    <row r="316" spans="1:22" ht="14.25" x14ac:dyDescent="0.2">
      <c r="A316" s="18"/>
      <c r="B316" s="18"/>
      <c r="C316" s="18" t="s">
        <v>1104</v>
      </c>
      <c r="D316" s="19" t="s">
        <v>1103</v>
      </c>
      <c r="E316" s="9">
        <f>Source!AU335</f>
        <v>10</v>
      </c>
      <c r="F316" s="21"/>
      <c r="G316" s="20"/>
      <c r="H316" s="9"/>
      <c r="I316" s="9"/>
      <c r="J316" s="21">
        <f>SUM(T311:T315)</f>
        <v>2392</v>
      </c>
      <c r="K316" s="21"/>
    </row>
    <row r="317" spans="1:22" ht="14.25" x14ac:dyDescent="0.2">
      <c r="A317" s="18"/>
      <c r="B317" s="18"/>
      <c r="C317" s="18" t="s">
        <v>1109</v>
      </c>
      <c r="D317" s="19" t="s">
        <v>1103</v>
      </c>
      <c r="E317" s="9">
        <f>108</f>
        <v>108</v>
      </c>
      <c r="F317" s="21"/>
      <c r="G317" s="20"/>
      <c r="H317" s="9"/>
      <c r="I317" s="9"/>
      <c r="J317" s="21">
        <f>SUM(V311:V316)</f>
        <v>6156.59</v>
      </c>
      <c r="K317" s="21"/>
    </row>
    <row r="318" spans="1:22" ht="14.25" x14ac:dyDescent="0.2">
      <c r="A318" s="18"/>
      <c r="B318" s="18"/>
      <c r="C318" s="18" t="s">
        <v>1105</v>
      </c>
      <c r="D318" s="19" t="s">
        <v>1106</v>
      </c>
      <c r="E318" s="9">
        <f>Source!AQ335</f>
        <v>0.37</v>
      </c>
      <c r="F318" s="21"/>
      <c r="G318" s="20" t="str">
        <f>Source!DI335</f>
        <v/>
      </c>
      <c r="H318" s="9">
        <f>Source!AV335</f>
        <v>1</v>
      </c>
      <c r="I318" s="9"/>
      <c r="J318" s="21"/>
      <c r="K318" s="21">
        <f>Source!U335</f>
        <v>42.55</v>
      </c>
    </row>
    <row r="319" spans="1:22" ht="15" x14ac:dyDescent="0.25">
      <c r="A319" s="23"/>
      <c r="B319" s="23"/>
      <c r="C319" s="23"/>
      <c r="D319" s="23"/>
      <c r="E319" s="23"/>
      <c r="F319" s="23"/>
      <c r="G319" s="23"/>
      <c r="H319" s="23"/>
      <c r="I319" s="44">
        <f>J312+J313+J315+J316+J317</f>
        <v>58203.289999999994</v>
      </c>
      <c r="J319" s="44"/>
      <c r="K319" s="24">
        <f>IF(Source!I335&lt;&gt;0, ROUND(I319/Source!I335, 2), 0)</f>
        <v>506.12</v>
      </c>
      <c r="P319" s="22">
        <f>I319</f>
        <v>58203.289999999994</v>
      </c>
    </row>
    <row r="320" spans="1:22" ht="28.5" x14ac:dyDescent="0.2">
      <c r="A320" s="18">
        <v>30</v>
      </c>
      <c r="B320" s="18" t="str">
        <f>Source!F336</f>
        <v>1.15-2303-4-1/1</v>
      </c>
      <c r="C320" s="18" t="str">
        <f>Source!G336</f>
        <v>Прочистка сетчатых фильтров грубой очистки воды диаметром до 25 мм</v>
      </c>
      <c r="D320" s="19" t="str">
        <f>Source!H336</f>
        <v>10 шт.</v>
      </c>
      <c r="E320" s="9">
        <f>Source!I336</f>
        <v>2.1</v>
      </c>
      <c r="F320" s="21"/>
      <c r="G320" s="20"/>
      <c r="H320" s="9"/>
      <c r="I320" s="9"/>
      <c r="J320" s="21"/>
      <c r="K320" s="21"/>
      <c r="Q320">
        <f>ROUND((Source!BZ336/100)*ROUND((Source!AF336*Source!AV336)*Source!I336, 2), 2)</f>
        <v>1851.73</v>
      </c>
      <c r="R320">
        <f>Source!X336</f>
        <v>1851.73</v>
      </c>
      <c r="S320">
        <f>ROUND((Source!CA336/100)*ROUND((Source!AF336*Source!AV336)*Source!I336, 2), 2)</f>
        <v>264.52999999999997</v>
      </c>
      <c r="T320">
        <f>Source!Y336</f>
        <v>264.52999999999997</v>
      </c>
      <c r="U320">
        <f>ROUND((175/100)*ROUND((Source!AE336*Source!AV336)*Source!I336, 2), 2)</f>
        <v>0</v>
      </c>
      <c r="V320">
        <f>ROUND((108/100)*ROUND(Source!CS336*Source!I336, 2), 2)</f>
        <v>0</v>
      </c>
    </row>
    <row r="321" spans="1:22" x14ac:dyDescent="0.2">
      <c r="C321" s="28" t="str">
        <f>"Объем: "&amp;Source!I336&amp;"=(3+"&amp;"5+"&amp;"13)/"&amp;"10"</f>
        <v>Объем: 2,1=(3+5+13)/10</v>
      </c>
    </row>
    <row r="322" spans="1:22" ht="14.25" x14ac:dyDescent="0.2">
      <c r="A322" s="18"/>
      <c r="B322" s="18"/>
      <c r="C322" s="18" t="s">
        <v>1100</v>
      </c>
      <c r="D322" s="19"/>
      <c r="E322" s="9"/>
      <c r="F322" s="21">
        <f>Source!AO336</f>
        <v>1259.68</v>
      </c>
      <c r="G322" s="20" t="str">
        <f>Source!DG336</f>
        <v/>
      </c>
      <c r="H322" s="9">
        <f>Source!AV336</f>
        <v>1</v>
      </c>
      <c r="I322" s="9">
        <f>IF(Source!BA336&lt;&gt; 0, Source!BA336, 1)</f>
        <v>1</v>
      </c>
      <c r="J322" s="21">
        <f>Source!S336</f>
        <v>2645.33</v>
      </c>
      <c r="K322" s="21"/>
    </row>
    <row r="323" spans="1:22" ht="14.25" x14ac:dyDescent="0.2">
      <c r="A323" s="18"/>
      <c r="B323" s="18"/>
      <c r="C323" s="18" t="s">
        <v>1102</v>
      </c>
      <c r="D323" s="19" t="s">
        <v>1103</v>
      </c>
      <c r="E323" s="9">
        <f>Source!AT336</f>
        <v>70</v>
      </c>
      <c r="F323" s="21"/>
      <c r="G323" s="20"/>
      <c r="H323" s="9"/>
      <c r="I323" s="9"/>
      <c r="J323" s="21">
        <f>SUM(R320:R322)</f>
        <v>1851.73</v>
      </c>
      <c r="K323" s="21"/>
    </row>
    <row r="324" spans="1:22" ht="14.25" x14ac:dyDescent="0.2">
      <c r="A324" s="18"/>
      <c r="B324" s="18"/>
      <c r="C324" s="18" t="s">
        <v>1104</v>
      </c>
      <c r="D324" s="19" t="s">
        <v>1103</v>
      </c>
      <c r="E324" s="9">
        <f>Source!AU336</f>
        <v>10</v>
      </c>
      <c r="F324" s="21"/>
      <c r="G324" s="20"/>
      <c r="H324" s="9"/>
      <c r="I324" s="9"/>
      <c r="J324" s="21">
        <f>SUM(T320:T323)</f>
        <v>264.52999999999997</v>
      </c>
      <c r="K324" s="21"/>
    </row>
    <row r="325" spans="1:22" ht="14.25" x14ac:dyDescent="0.2">
      <c r="A325" s="18"/>
      <c r="B325" s="18"/>
      <c r="C325" s="18" t="s">
        <v>1105</v>
      </c>
      <c r="D325" s="19" t="s">
        <v>1106</v>
      </c>
      <c r="E325" s="9">
        <f>Source!AQ336</f>
        <v>2.04</v>
      </c>
      <c r="F325" s="21"/>
      <c r="G325" s="20" t="str">
        <f>Source!DI336</f>
        <v/>
      </c>
      <c r="H325" s="9">
        <f>Source!AV336</f>
        <v>1</v>
      </c>
      <c r="I325" s="9"/>
      <c r="J325" s="21"/>
      <c r="K325" s="21">
        <f>Source!U336</f>
        <v>4.2840000000000007</v>
      </c>
    </row>
    <row r="326" spans="1:22" ht="15" x14ac:dyDescent="0.25">
      <c r="A326" s="23"/>
      <c r="B326" s="23"/>
      <c r="C326" s="23"/>
      <c r="D326" s="23"/>
      <c r="E326" s="23"/>
      <c r="F326" s="23"/>
      <c r="G326" s="23"/>
      <c r="H326" s="23"/>
      <c r="I326" s="44">
        <f>J322+J323+J324</f>
        <v>4761.5899999999992</v>
      </c>
      <c r="J326" s="44"/>
      <c r="K326" s="24">
        <f>IF(Source!I336&lt;&gt;0, ROUND(I326/Source!I336, 2), 0)</f>
        <v>2267.42</v>
      </c>
      <c r="P326" s="22">
        <f>I326</f>
        <v>4761.5899999999992</v>
      </c>
    </row>
    <row r="327" spans="1:22" ht="28.5" x14ac:dyDescent="0.2">
      <c r="A327" s="18">
        <v>31</v>
      </c>
      <c r="B327" s="18" t="str">
        <f>Source!F337</f>
        <v>1.15-2303-4-2/1</v>
      </c>
      <c r="C327" s="18" t="str">
        <f>Source!G337</f>
        <v>Прочистка сетчатых фильтров грубой очистки воды диаметром до 50 мм</v>
      </c>
      <c r="D327" s="19" t="str">
        <f>Source!H337</f>
        <v>10 шт.</v>
      </c>
      <c r="E327" s="9">
        <f>Source!I337</f>
        <v>0.1</v>
      </c>
      <c r="F327" s="21"/>
      <c r="G327" s="20"/>
      <c r="H327" s="9"/>
      <c r="I327" s="9"/>
      <c r="J327" s="21"/>
      <c r="K327" s="21"/>
      <c r="Q327">
        <f>ROUND((Source!BZ337/100)*ROUND((Source!AF337*Source!AV337)*Source!I337, 2), 2)</f>
        <v>100.72</v>
      </c>
      <c r="R327">
        <f>Source!X337</f>
        <v>100.72</v>
      </c>
      <c r="S327">
        <f>ROUND((Source!CA337/100)*ROUND((Source!AF337*Source!AV337)*Source!I337, 2), 2)</f>
        <v>14.39</v>
      </c>
      <c r="T327">
        <f>Source!Y337</f>
        <v>14.39</v>
      </c>
      <c r="U327">
        <f>ROUND((175/100)*ROUND((Source!AE337*Source!AV337)*Source!I337, 2), 2)</f>
        <v>0</v>
      </c>
      <c r="V327">
        <f>ROUND((108/100)*ROUND(Source!CS337*Source!I337, 2), 2)</f>
        <v>0</v>
      </c>
    </row>
    <row r="328" spans="1:22" x14ac:dyDescent="0.2">
      <c r="C328" s="28" t="str">
        <f>"Объем: "&amp;Source!I337&amp;"=1/"&amp;"10"</f>
        <v>Объем: 0,1=1/10</v>
      </c>
    </row>
    <row r="329" spans="1:22" ht="14.25" x14ac:dyDescent="0.2">
      <c r="A329" s="18"/>
      <c r="B329" s="18"/>
      <c r="C329" s="18" t="s">
        <v>1100</v>
      </c>
      <c r="D329" s="19"/>
      <c r="E329" s="9"/>
      <c r="F329" s="21">
        <f>Source!AO337</f>
        <v>1438.75</v>
      </c>
      <c r="G329" s="20" t="str">
        <f>Source!DG337</f>
        <v/>
      </c>
      <c r="H329" s="9">
        <f>Source!AV337</f>
        <v>1</v>
      </c>
      <c r="I329" s="9">
        <f>IF(Source!BA337&lt;&gt; 0, Source!BA337, 1)</f>
        <v>1</v>
      </c>
      <c r="J329" s="21">
        <f>Source!S337</f>
        <v>143.88</v>
      </c>
      <c r="K329" s="21"/>
    </row>
    <row r="330" spans="1:22" ht="14.25" x14ac:dyDescent="0.2">
      <c r="A330" s="18"/>
      <c r="B330" s="18"/>
      <c r="C330" s="18" t="s">
        <v>1102</v>
      </c>
      <c r="D330" s="19" t="s">
        <v>1103</v>
      </c>
      <c r="E330" s="9">
        <f>Source!AT337</f>
        <v>70</v>
      </c>
      <c r="F330" s="21"/>
      <c r="G330" s="20"/>
      <c r="H330" s="9"/>
      <c r="I330" s="9"/>
      <c r="J330" s="21">
        <f>SUM(R327:R329)</f>
        <v>100.72</v>
      </c>
      <c r="K330" s="21"/>
    </row>
    <row r="331" spans="1:22" ht="14.25" x14ac:dyDescent="0.2">
      <c r="A331" s="18"/>
      <c r="B331" s="18"/>
      <c r="C331" s="18" t="s">
        <v>1104</v>
      </c>
      <c r="D331" s="19" t="s">
        <v>1103</v>
      </c>
      <c r="E331" s="9">
        <f>Source!AU337</f>
        <v>10</v>
      </c>
      <c r="F331" s="21"/>
      <c r="G331" s="20"/>
      <c r="H331" s="9"/>
      <c r="I331" s="9"/>
      <c r="J331" s="21">
        <f>SUM(T327:T330)</f>
        <v>14.39</v>
      </c>
      <c r="K331" s="21"/>
    </row>
    <row r="332" spans="1:22" ht="14.25" x14ac:dyDescent="0.2">
      <c r="A332" s="18"/>
      <c r="B332" s="18"/>
      <c r="C332" s="18" t="s">
        <v>1105</v>
      </c>
      <c r="D332" s="19" t="s">
        <v>1106</v>
      </c>
      <c r="E332" s="9">
        <f>Source!AQ337</f>
        <v>2.33</v>
      </c>
      <c r="F332" s="21"/>
      <c r="G332" s="20" t="str">
        <f>Source!DI337</f>
        <v/>
      </c>
      <c r="H332" s="9">
        <f>Source!AV337</f>
        <v>1</v>
      </c>
      <c r="I332" s="9"/>
      <c r="J332" s="21"/>
      <c r="K332" s="21">
        <f>Source!U337</f>
        <v>0.23300000000000001</v>
      </c>
    </row>
    <row r="333" spans="1:22" ht="15" x14ac:dyDescent="0.25">
      <c r="A333" s="23"/>
      <c r="B333" s="23"/>
      <c r="C333" s="23"/>
      <c r="D333" s="23"/>
      <c r="E333" s="23"/>
      <c r="F333" s="23"/>
      <c r="G333" s="23"/>
      <c r="H333" s="23"/>
      <c r="I333" s="44">
        <f>J329+J330+J331</f>
        <v>258.99</v>
      </c>
      <c r="J333" s="44"/>
      <c r="K333" s="24">
        <f>IF(Source!I337&lt;&gt;0, ROUND(I333/Source!I337, 2), 0)</f>
        <v>2589.9</v>
      </c>
      <c r="P333" s="22">
        <f>I333</f>
        <v>258.99</v>
      </c>
    </row>
    <row r="334" spans="1:22" ht="57" x14ac:dyDescent="0.2">
      <c r="A334" s="18">
        <v>32</v>
      </c>
      <c r="B334" s="18" t="str">
        <f>Source!F338</f>
        <v>1.15-2203-7-1/1</v>
      </c>
      <c r="C334" s="18" t="str">
        <f>Source!G338</f>
        <v>Техническое обслуживание крана шарового латунного никелированного диаметром до 25 мм / Кран шаровой с полусгоном</v>
      </c>
      <c r="D334" s="19" t="str">
        <f>Source!H338</f>
        <v>10 шт.</v>
      </c>
      <c r="E334" s="9">
        <f>Source!I338</f>
        <v>5</v>
      </c>
      <c r="F334" s="21"/>
      <c r="G334" s="20"/>
      <c r="H334" s="9"/>
      <c r="I334" s="9"/>
      <c r="J334" s="21"/>
      <c r="K334" s="21"/>
      <c r="Q334">
        <f>ROUND((Source!BZ338/100)*ROUND((Source!AF338*Source!AV338)*Source!I338, 2), 2)</f>
        <v>972.55</v>
      </c>
      <c r="R334">
        <f>Source!X338</f>
        <v>972.55</v>
      </c>
      <c r="S334">
        <f>ROUND((Source!CA338/100)*ROUND((Source!AF338*Source!AV338)*Source!I338, 2), 2)</f>
        <v>138.94</v>
      </c>
      <c r="T334">
        <f>Source!Y338</f>
        <v>138.94</v>
      </c>
      <c r="U334">
        <f>ROUND((175/100)*ROUND((Source!AE338*Source!AV338)*Source!I338, 2), 2)</f>
        <v>0</v>
      </c>
      <c r="V334">
        <f>ROUND((108/100)*ROUND(Source!CS338*Source!I338, 2), 2)</f>
        <v>0</v>
      </c>
    </row>
    <row r="335" spans="1:22" x14ac:dyDescent="0.2">
      <c r="C335" s="28" t="str">
        <f>"Объем: "&amp;Source!I338&amp;"=(8+"&amp;"10+"&amp;"26+"&amp;"6)/"&amp;"10"</f>
        <v>Объем: 5=(8+10+26+6)/10</v>
      </c>
    </row>
    <row r="336" spans="1:22" ht="14.25" x14ac:dyDescent="0.2">
      <c r="A336" s="18"/>
      <c r="B336" s="18"/>
      <c r="C336" s="18" t="s">
        <v>1100</v>
      </c>
      <c r="D336" s="19"/>
      <c r="E336" s="9"/>
      <c r="F336" s="21">
        <f>Source!AO338</f>
        <v>277.87</v>
      </c>
      <c r="G336" s="20" t="str">
        <f>Source!DG338</f>
        <v/>
      </c>
      <c r="H336" s="9">
        <f>Source!AV338</f>
        <v>1</v>
      </c>
      <c r="I336" s="9">
        <f>IF(Source!BA338&lt;&gt; 0, Source!BA338, 1)</f>
        <v>1</v>
      </c>
      <c r="J336" s="21">
        <f>Source!S338</f>
        <v>1389.35</v>
      </c>
      <c r="K336" s="21"/>
    </row>
    <row r="337" spans="1:22" ht="14.25" x14ac:dyDescent="0.2">
      <c r="A337" s="18"/>
      <c r="B337" s="18"/>
      <c r="C337" s="18" t="s">
        <v>1102</v>
      </c>
      <c r="D337" s="19" t="s">
        <v>1103</v>
      </c>
      <c r="E337" s="9">
        <f>Source!AT338</f>
        <v>70</v>
      </c>
      <c r="F337" s="21"/>
      <c r="G337" s="20"/>
      <c r="H337" s="9"/>
      <c r="I337" s="9"/>
      <c r="J337" s="21">
        <f>SUM(R334:R336)</f>
        <v>972.55</v>
      </c>
      <c r="K337" s="21"/>
    </row>
    <row r="338" spans="1:22" ht="14.25" x14ac:dyDescent="0.2">
      <c r="A338" s="18"/>
      <c r="B338" s="18"/>
      <c r="C338" s="18" t="s">
        <v>1104</v>
      </c>
      <c r="D338" s="19" t="s">
        <v>1103</v>
      </c>
      <c r="E338" s="9">
        <f>Source!AU338</f>
        <v>10</v>
      </c>
      <c r="F338" s="21"/>
      <c r="G338" s="20"/>
      <c r="H338" s="9"/>
      <c r="I338" s="9"/>
      <c r="J338" s="21">
        <f>SUM(T334:T337)</f>
        <v>138.94</v>
      </c>
      <c r="K338" s="21"/>
    </row>
    <row r="339" spans="1:22" ht="14.25" x14ac:dyDescent="0.2">
      <c r="A339" s="18"/>
      <c r="B339" s="18"/>
      <c r="C339" s="18" t="s">
        <v>1105</v>
      </c>
      <c r="D339" s="19" t="s">
        <v>1106</v>
      </c>
      <c r="E339" s="9">
        <f>Source!AQ338</f>
        <v>0.45</v>
      </c>
      <c r="F339" s="21"/>
      <c r="G339" s="20" t="str">
        <f>Source!DI338</f>
        <v/>
      </c>
      <c r="H339" s="9">
        <f>Source!AV338</f>
        <v>1</v>
      </c>
      <c r="I339" s="9"/>
      <c r="J339" s="21"/>
      <c r="K339" s="21">
        <f>Source!U338</f>
        <v>2.25</v>
      </c>
    </row>
    <row r="340" spans="1:22" ht="15" x14ac:dyDescent="0.25">
      <c r="A340" s="23"/>
      <c r="B340" s="23"/>
      <c r="C340" s="23"/>
      <c r="D340" s="23"/>
      <c r="E340" s="23"/>
      <c r="F340" s="23"/>
      <c r="G340" s="23"/>
      <c r="H340" s="23"/>
      <c r="I340" s="44">
        <f>J336+J337+J338</f>
        <v>2500.8399999999997</v>
      </c>
      <c r="J340" s="44"/>
      <c r="K340" s="24">
        <f>IF(Source!I338&lt;&gt;0, ROUND(I340/Source!I338, 2), 0)</f>
        <v>500.17</v>
      </c>
      <c r="P340" s="22">
        <f>I340</f>
        <v>2500.8399999999997</v>
      </c>
    </row>
    <row r="341" spans="1:22" ht="42.75" x14ac:dyDescent="0.2">
      <c r="A341" s="18">
        <v>33</v>
      </c>
      <c r="B341" s="18" t="str">
        <f>Source!F339</f>
        <v>1.15-2203-7-2/1</v>
      </c>
      <c r="C341" s="18" t="str">
        <f>Source!G339</f>
        <v>Техническое обслуживание крана шарового латунного никелированного диаметром до 50 мм</v>
      </c>
      <c r="D341" s="19" t="str">
        <f>Source!H339</f>
        <v>10 шт.</v>
      </c>
      <c r="E341" s="9">
        <f>Source!I339</f>
        <v>0.8</v>
      </c>
      <c r="F341" s="21"/>
      <c r="G341" s="20"/>
      <c r="H341" s="9"/>
      <c r="I341" s="9"/>
      <c r="J341" s="21"/>
      <c r="K341" s="21"/>
      <c r="Q341">
        <f>ROUND((Source!BZ339/100)*ROUND((Source!AF339*Source!AV339)*Source!I339, 2), 2)</f>
        <v>210.94</v>
      </c>
      <c r="R341">
        <f>Source!X339</f>
        <v>210.94</v>
      </c>
      <c r="S341">
        <f>ROUND((Source!CA339/100)*ROUND((Source!AF339*Source!AV339)*Source!I339, 2), 2)</f>
        <v>30.13</v>
      </c>
      <c r="T341">
        <f>Source!Y339</f>
        <v>30.13</v>
      </c>
      <c r="U341">
        <f>ROUND((175/100)*ROUND((Source!AE339*Source!AV339)*Source!I339, 2), 2)</f>
        <v>0</v>
      </c>
      <c r="V341">
        <f>ROUND((108/100)*ROUND(Source!CS339*Source!I339, 2), 2)</f>
        <v>0</v>
      </c>
    </row>
    <row r="342" spans="1:22" x14ac:dyDescent="0.2">
      <c r="C342" s="28" t="str">
        <f>"Объем: "&amp;Source!I339&amp;"=(2+"&amp;"4+"&amp;"2)/"&amp;"10"</f>
        <v>Объем: 0,8=(2+4+2)/10</v>
      </c>
    </row>
    <row r="343" spans="1:22" ht="14.25" x14ac:dyDescent="0.2">
      <c r="A343" s="18"/>
      <c r="B343" s="18"/>
      <c r="C343" s="18" t="s">
        <v>1100</v>
      </c>
      <c r="D343" s="19"/>
      <c r="E343" s="9"/>
      <c r="F343" s="21">
        <f>Source!AO339</f>
        <v>376.67</v>
      </c>
      <c r="G343" s="20" t="str">
        <f>Source!DG339</f>
        <v/>
      </c>
      <c r="H343" s="9">
        <f>Source!AV339</f>
        <v>1</v>
      </c>
      <c r="I343" s="9">
        <f>IF(Source!BA339&lt;&gt; 0, Source!BA339, 1)</f>
        <v>1</v>
      </c>
      <c r="J343" s="21">
        <f>Source!S339</f>
        <v>301.33999999999997</v>
      </c>
      <c r="K343" s="21"/>
    </row>
    <row r="344" spans="1:22" ht="14.25" x14ac:dyDescent="0.2">
      <c r="A344" s="18"/>
      <c r="B344" s="18"/>
      <c r="C344" s="18" t="s">
        <v>1102</v>
      </c>
      <c r="D344" s="19" t="s">
        <v>1103</v>
      </c>
      <c r="E344" s="9">
        <f>Source!AT339</f>
        <v>70</v>
      </c>
      <c r="F344" s="21"/>
      <c r="G344" s="20"/>
      <c r="H344" s="9"/>
      <c r="I344" s="9"/>
      <c r="J344" s="21">
        <f>SUM(R341:R343)</f>
        <v>210.94</v>
      </c>
      <c r="K344" s="21"/>
    </row>
    <row r="345" spans="1:22" ht="14.25" x14ac:dyDescent="0.2">
      <c r="A345" s="18"/>
      <c r="B345" s="18"/>
      <c r="C345" s="18" t="s">
        <v>1104</v>
      </c>
      <c r="D345" s="19" t="s">
        <v>1103</v>
      </c>
      <c r="E345" s="9">
        <f>Source!AU339</f>
        <v>10</v>
      </c>
      <c r="F345" s="21"/>
      <c r="G345" s="20"/>
      <c r="H345" s="9"/>
      <c r="I345" s="9"/>
      <c r="J345" s="21">
        <f>SUM(T341:T344)</f>
        <v>30.13</v>
      </c>
      <c r="K345" s="21"/>
    </row>
    <row r="346" spans="1:22" ht="14.25" x14ac:dyDescent="0.2">
      <c r="A346" s="18"/>
      <c r="B346" s="18"/>
      <c r="C346" s="18" t="s">
        <v>1105</v>
      </c>
      <c r="D346" s="19" t="s">
        <v>1106</v>
      </c>
      <c r="E346" s="9">
        <f>Source!AQ339</f>
        <v>0.61</v>
      </c>
      <c r="F346" s="21"/>
      <c r="G346" s="20" t="str">
        <f>Source!DI339</f>
        <v/>
      </c>
      <c r="H346" s="9">
        <f>Source!AV339</f>
        <v>1</v>
      </c>
      <c r="I346" s="9"/>
      <c r="J346" s="21"/>
      <c r="K346" s="21">
        <f>Source!U339</f>
        <v>0.48799999999999999</v>
      </c>
    </row>
    <row r="347" spans="1:22" ht="15" x14ac:dyDescent="0.25">
      <c r="A347" s="23"/>
      <c r="B347" s="23"/>
      <c r="C347" s="23"/>
      <c r="D347" s="23"/>
      <c r="E347" s="23"/>
      <c r="F347" s="23"/>
      <c r="G347" s="23"/>
      <c r="H347" s="23"/>
      <c r="I347" s="44">
        <f>J343+J344+J345</f>
        <v>542.41</v>
      </c>
      <c r="J347" s="44"/>
      <c r="K347" s="24">
        <f>IF(Source!I339&lt;&gt;0, ROUND(I347/Source!I339, 2), 0)</f>
        <v>678.01</v>
      </c>
      <c r="P347" s="22">
        <f>I347</f>
        <v>542.41</v>
      </c>
    </row>
    <row r="348" spans="1:22" ht="28.5" x14ac:dyDescent="0.2">
      <c r="A348" s="18">
        <v>34</v>
      </c>
      <c r="B348" s="18" t="str">
        <f>Source!F340</f>
        <v>1.17-2103-17-1/1</v>
      </c>
      <c r="C348" s="18" t="str">
        <f>Source!G340</f>
        <v>Техническое обслуживание автоматического воздухоотводчика</v>
      </c>
      <c r="D348" s="19" t="str">
        <f>Source!H340</f>
        <v>10 шт.</v>
      </c>
      <c r="E348" s="9">
        <f>Source!I340</f>
        <v>3.4</v>
      </c>
      <c r="F348" s="21"/>
      <c r="G348" s="20"/>
      <c r="H348" s="9"/>
      <c r="I348" s="9"/>
      <c r="J348" s="21"/>
      <c r="K348" s="21"/>
      <c r="Q348">
        <f>ROUND((Source!BZ340/100)*ROUND((Source!AF340*Source!AV340)*Source!I340, 2), 2)</f>
        <v>2233.8200000000002</v>
      </c>
      <c r="R348">
        <f>Source!X340</f>
        <v>2233.8200000000002</v>
      </c>
      <c r="S348">
        <f>ROUND((Source!CA340/100)*ROUND((Source!AF340*Source!AV340)*Source!I340, 2), 2)</f>
        <v>319.12</v>
      </c>
      <c r="T348">
        <f>Source!Y340</f>
        <v>319.12</v>
      </c>
      <c r="U348">
        <f>ROUND((175/100)*ROUND((Source!AE340*Source!AV340)*Source!I340, 2), 2)</f>
        <v>0</v>
      </c>
      <c r="V348">
        <f>ROUND((108/100)*ROUND(Source!CS340*Source!I340, 2), 2)</f>
        <v>0</v>
      </c>
    </row>
    <row r="349" spans="1:22" x14ac:dyDescent="0.2">
      <c r="C349" s="28" t="str">
        <f>"Объем: "&amp;Source!I340&amp;"=34/"&amp;"10"</f>
        <v>Объем: 3,4=34/10</v>
      </c>
    </row>
    <row r="350" spans="1:22" ht="14.25" x14ac:dyDescent="0.2">
      <c r="A350" s="18"/>
      <c r="B350" s="18"/>
      <c r="C350" s="18" t="s">
        <v>1100</v>
      </c>
      <c r="D350" s="19"/>
      <c r="E350" s="9"/>
      <c r="F350" s="21">
        <f>Source!AO340</f>
        <v>938.58</v>
      </c>
      <c r="G350" s="20" t="str">
        <f>Source!DG340</f>
        <v/>
      </c>
      <c r="H350" s="9">
        <f>Source!AV340</f>
        <v>1</v>
      </c>
      <c r="I350" s="9">
        <f>IF(Source!BA340&lt;&gt; 0, Source!BA340, 1)</f>
        <v>1</v>
      </c>
      <c r="J350" s="21">
        <f>Source!S340</f>
        <v>3191.17</v>
      </c>
      <c r="K350" s="21"/>
    </row>
    <row r="351" spans="1:22" ht="14.25" x14ac:dyDescent="0.2">
      <c r="A351" s="18"/>
      <c r="B351" s="18"/>
      <c r="C351" s="18" t="s">
        <v>1101</v>
      </c>
      <c r="D351" s="19"/>
      <c r="E351" s="9"/>
      <c r="F351" s="21">
        <f>Source!AL340</f>
        <v>0.63</v>
      </c>
      <c r="G351" s="20" t="str">
        <f>Source!DD340</f>
        <v/>
      </c>
      <c r="H351" s="9">
        <f>Source!AW340</f>
        <v>1</v>
      </c>
      <c r="I351" s="9">
        <f>IF(Source!BC340&lt;&gt; 0, Source!BC340, 1)</f>
        <v>1</v>
      </c>
      <c r="J351" s="21">
        <f>Source!P340</f>
        <v>2.14</v>
      </c>
      <c r="K351" s="21"/>
    </row>
    <row r="352" spans="1:22" ht="14.25" x14ac:dyDescent="0.2">
      <c r="A352" s="18"/>
      <c r="B352" s="18"/>
      <c r="C352" s="18" t="s">
        <v>1102</v>
      </c>
      <c r="D352" s="19" t="s">
        <v>1103</v>
      </c>
      <c r="E352" s="9">
        <f>Source!AT340</f>
        <v>70</v>
      </c>
      <c r="F352" s="21"/>
      <c r="G352" s="20"/>
      <c r="H352" s="9"/>
      <c r="I352" s="9"/>
      <c r="J352" s="21">
        <f>SUM(R348:R351)</f>
        <v>2233.8200000000002</v>
      </c>
      <c r="K352" s="21"/>
    </row>
    <row r="353" spans="1:22" ht="14.25" x14ac:dyDescent="0.2">
      <c r="A353" s="18"/>
      <c r="B353" s="18"/>
      <c r="C353" s="18" t="s">
        <v>1104</v>
      </c>
      <c r="D353" s="19" t="s">
        <v>1103</v>
      </c>
      <c r="E353" s="9">
        <f>Source!AU340</f>
        <v>10</v>
      </c>
      <c r="F353" s="21"/>
      <c r="G353" s="20"/>
      <c r="H353" s="9"/>
      <c r="I353" s="9"/>
      <c r="J353" s="21">
        <f>SUM(T348:T352)</f>
        <v>319.12</v>
      </c>
      <c r="K353" s="21"/>
    </row>
    <row r="354" spans="1:22" ht="14.25" x14ac:dyDescent="0.2">
      <c r="A354" s="18"/>
      <c r="B354" s="18"/>
      <c r="C354" s="18" t="s">
        <v>1105</v>
      </c>
      <c r="D354" s="19" t="s">
        <v>1106</v>
      </c>
      <c r="E354" s="9">
        <f>Source!AQ340</f>
        <v>1.52</v>
      </c>
      <c r="F354" s="21"/>
      <c r="G354" s="20" t="str">
        <f>Source!DI340</f>
        <v/>
      </c>
      <c r="H354" s="9">
        <f>Source!AV340</f>
        <v>1</v>
      </c>
      <c r="I354" s="9"/>
      <c r="J354" s="21"/>
      <c r="K354" s="21">
        <f>Source!U340</f>
        <v>5.1680000000000001</v>
      </c>
    </row>
    <row r="355" spans="1:22" ht="15" x14ac:dyDescent="0.25">
      <c r="A355" s="23"/>
      <c r="B355" s="23"/>
      <c r="C355" s="23"/>
      <c r="D355" s="23"/>
      <c r="E355" s="23"/>
      <c r="F355" s="23"/>
      <c r="G355" s="23"/>
      <c r="H355" s="23"/>
      <c r="I355" s="44">
        <f>J350+J351+J352+J353</f>
        <v>5746.25</v>
      </c>
      <c r="J355" s="44"/>
      <c r="K355" s="24">
        <f>IF(Source!I340&lt;&gt;0, ROUND(I355/Source!I340, 2), 0)</f>
        <v>1690.07</v>
      </c>
      <c r="P355" s="22">
        <f>I355</f>
        <v>5746.25</v>
      </c>
    </row>
    <row r="357" spans="1:22" ht="15" customHeight="1" x14ac:dyDescent="0.25">
      <c r="A357" s="46" t="str">
        <f>CONCATENATE("Итого по подразделу: ",IF(Source!G349&lt;&gt;"Новый подраздел", Source!G349, ""))</f>
        <v>Итого по подразделу: 2.1 Отопление</v>
      </c>
      <c r="B357" s="46"/>
      <c r="C357" s="46"/>
      <c r="D357" s="46"/>
      <c r="E357" s="46"/>
      <c r="F357" s="46"/>
      <c r="G357" s="46"/>
      <c r="H357" s="46"/>
      <c r="I357" s="45">
        <f>SUM(P207:P356)</f>
        <v>295973.93</v>
      </c>
      <c r="J357" s="45"/>
      <c r="K357" s="26"/>
    </row>
    <row r="360" spans="1:22" ht="16.5" customHeight="1" x14ac:dyDescent="0.25">
      <c r="A360" s="48" t="str">
        <f>CONCATENATE("Подраздел: ",IF(Source!G379&lt;&gt;"Новый подраздел", Source!G379, ""))</f>
        <v>Подраздел: 2.2 Автоматизированный узел управления системой отопления и вентиляции воздуха</v>
      </c>
      <c r="B360" s="48"/>
      <c r="C360" s="48"/>
      <c r="D360" s="48"/>
      <c r="E360" s="48"/>
      <c r="F360" s="48"/>
      <c r="G360" s="48"/>
      <c r="H360" s="48"/>
      <c r="I360" s="48"/>
      <c r="J360" s="48"/>
      <c r="K360" s="48"/>
    </row>
    <row r="362" spans="1:22" ht="15" customHeight="1" x14ac:dyDescent="0.25">
      <c r="B362" s="47" t="str">
        <f>Source!G383</f>
        <v>Индивидуальный тепловой пункт системы отопления</v>
      </c>
      <c r="C362" s="47"/>
      <c r="D362" s="47"/>
      <c r="E362" s="47"/>
      <c r="F362" s="47"/>
      <c r="G362" s="47"/>
      <c r="H362" s="47"/>
      <c r="I362" s="47"/>
      <c r="J362" s="47"/>
    </row>
    <row r="363" spans="1:22" ht="71.25" x14ac:dyDescent="0.2">
      <c r="A363" s="18">
        <v>35</v>
      </c>
      <c r="B363" s="18" t="str">
        <f>Source!F384</f>
        <v>1.23-2103-41-1/1</v>
      </c>
      <c r="C363" s="18" t="str">
        <f>Source!G384</f>
        <v>Техническое обслуживание регулирующего клапана / Клапан запорно-регулирующий VB2 Ду40, kv25 с электроприводом привод AMV 20 Danfoss  ООО «Термаль 31»</v>
      </c>
      <c r="D363" s="19" t="str">
        <f>Source!H384</f>
        <v>шт.</v>
      </c>
      <c r="E363" s="9">
        <f>Source!I384</f>
        <v>1</v>
      </c>
      <c r="F363" s="21"/>
      <c r="G363" s="20"/>
      <c r="H363" s="9"/>
      <c r="I363" s="9"/>
      <c r="J363" s="21"/>
      <c r="K363" s="21"/>
      <c r="Q363">
        <f>ROUND((Source!BZ384/100)*ROUND((Source!AF384*Source!AV384)*Source!I384, 2), 2)</f>
        <v>291.2</v>
      </c>
      <c r="R363">
        <f>Source!X384</f>
        <v>291.2</v>
      </c>
      <c r="S363">
        <f>ROUND((Source!CA384/100)*ROUND((Source!AF384*Source!AV384)*Source!I384, 2), 2)</f>
        <v>41.6</v>
      </c>
      <c r="T363">
        <f>Source!Y384</f>
        <v>41.6</v>
      </c>
      <c r="U363">
        <f>ROUND((175/100)*ROUND((Source!AE384*Source!AV384)*Source!I384, 2), 2)</f>
        <v>173.5</v>
      </c>
      <c r="V363">
        <f>ROUND((108/100)*ROUND(Source!CS384*Source!I384, 2), 2)</f>
        <v>107.07</v>
      </c>
    </row>
    <row r="364" spans="1:22" ht="14.25" x14ac:dyDescent="0.2">
      <c r="A364" s="18"/>
      <c r="B364" s="18"/>
      <c r="C364" s="18" t="s">
        <v>1100</v>
      </c>
      <c r="D364" s="19"/>
      <c r="E364" s="9"/>
      <c r="F364" s="21">
        <f>Source!AO384</f>
        <v>208</v>
      </c>
      <c r="G364" s="20" t="str">
        <f>Source!DG384</f>
        <v>)*2</v>
      </c>
      <c r="H364" s="9">
        <f>Source!AV384</f>
        <v>1</v>
      </c>
      <c r="I364" s="9">
        <f>IF(Source!BA384&lt;&gt; 0, Source!BA384, 1)</f>
        <v>1</v>
      </c>
      <c r="J364" s="21">
        <f>Source!S384</f>
        <v>416</v>
      </c>
      <c r="K364" s="21"/>
    </row>
    <row r="365" spans="1:22" ht="14.25" x14ac:dyDescent="0.2">
      <c r="A365" s="18"/>
      <c r="B365" s="18"/>
      <c r="C365" s="18" t="s">
        <v>1107</v>
      </c>
      <c r="D365" s="19"/>
      <c r="E365" s="9"/>
      <c r="F365" s="21">
        <f>Source!AM384</f>
        <v>78.180000000000007</v>
      </c>
      <c r="G365" s="20" t="str">
        <f>Source!DE384</f>
        <v>)*2</v>
      </c>
      <c r="H365" s="9">
        <f>Source!AV384</f>
        <v>1</v>
      </c>
      <c r="I365" s="9">
        <f>IF(Source!BB384&lt;&gt; 0, Source!BB384, 1)</f>
        <v>1</v>
      </c>
      <c r="J365" s="21">
        <f>Source!Q384</f>
        <v>156.36000000000001</v>
      </c>
      <c r="K365" s="21"/>
    </row>
    <row r="366" spans="1:22" ht="14.25" x14ac:dyDescent="0.2">
      <c r="A366" s="18"/>
      <c r="B366" s="18"/>
      <c r="C366" s="18" t="s">
        <v>1108</v>
      </c>
      <c r="D366" s="19"/>
      <c r="E366" s="9"/>
      <c r="F366" s="21">
        <f>Source!AN384</f>
        <v>49.57</v>
      </c>
      <c r="G366" s="20" t="str">
        <f>Source!DF384</f>
        <v>)*2</v>
      </c>
      <c r="H366" s="9">
        <f>Source!AV384</f>
        <v>1</v>
      </c>
      <c r="I366" s="9">
        <f>IF(Source!BS384&lt;&gt; 0, Source!BS384, 1)</f>
        <v>1</v>
      </c>
      <c r="J366" s="25">
        <f>Source!R384</f>
        <v>99.14</v>
      </c>
      <c r="K366" s="21"/>
    </row>
    <row r="367" spans="1:22" ht="14.25" x14ac:dyDescent="0.2">
      <c r="A367" s="18"/>
      <c r="B367" s="18"/>
      <c r="C367" s="18" t="s">
        <v>1102</v>
      </c>
      <c r="D367" s="19" t="s">
        <v>1103</v>
      </c>
      <c r="E367" s="9">
        <f>Source!AT384</f>
        <v>70</v>
      </c>
      <c r="F367" s="21"/>
      <c r="G367" s="20"/>
      <c r="H367" s="9"/>
      <c r="I367" s="9"/>
      <c r="J367" s="21">
        <f>SUM(R363:R366)</f>
        <v>291.2</v>
      </c>
      <c r="K367" s="21"/>
    </row>
    <row r="368" spans="1:22" ht="14.25" x14ac:dyDescent="0.2">
      <c r="A368" s="18"/>
      <c r="B368" s="18"/>
      <c r="C368" s="18" t="s">
        <v>1104</v>
      </c>
      <c r="D368" s="19" t="s">
        <v>1103</v>
      </c>
      <c r="E368" s="9">
        <f>Source!AU384</f>
        <v>10</v>
      </c>
      <c r="F368" s="21"/>
      <c r="G368" s="20"/>
      <c r="H368" s="9"/>
      <c r="I368" s="9"/>
      <c r="J368" s="21">
        <f>SUM(T363:T367)</f>
        <v>41.6</v>
      </c>
      <c r="K368" s="21"/>
    </row>
    <row r="369" spans="1:22" ht="14.25" x14ac:dyDescent="0.2">
      <c r="A369" s="18"/>
      <c r="B369" s="18"/>
      <c r="C369" s="18" t="s">
        <v>1109</v>
      </c>
      <c r="D369" s="19" t="s">
        <v>1103</v>
      </c>
      <c r="E369" s="9">
        <f>108</f>
        <v>108</v>
      </c>
      <c r="F369" s="21"/>
      <c r="G369" s="20"/>
      <c r="H369" s="9"/>
      <c r="I369" s="9"/>
      <c r="J369" s="21">
        <f>SUM(V363:V368)</f>
        <v>107.07</v>
      </c>
      <c r="K369" s="21"/>
    </row>
    <row r="370" spans="1:22" ht="14.25" x14ac:dyDescent="0.2">
      <c r="A370" s="18"/>
      <c r="B370" s="18"/>
      <c r="C370" s="18" t="s">
        <v>1105</v>
      </c>
      <c r="D370" s="19" t="s">
        <v>1106</v>
      </c>
      <c r="E370" s="9">
        <f>Source!AQ384</f>
        <v>0.37</v>
      </c>
      <c r="F370" s="21"/>
      <c r="G370" s="20" t="str">
        <f>Source!DI384</f>
        <v>)*2</v>
      </c>
      <c r="H370" s="9">
        <f>Source!AV384</f>
        <v>1</v>
      </c>
      <c r="I370" s="9"/>
      <c r="J370" s="21"/>
      <c r="K370" s="21">
        <f>Source!U384</f>
        <v>0.74</v>
      </c>
    </row>
    <row r="371" spans="1:22" ht="15" x14ac:dyDescent="0.25">
      <c r="A371" s="23"/>
      <c r="B371" s="23"/>
      <c r="C371" s="23"/>
      <c r="D371" s="23"/>
      <c r="E371" s="23"/>
      <c r="F371" s="23"/>
      <c r="G371" s="23"/>
      <c r="H371" s="23"/>
      <c r="I371" s="44">
        <f>J364+J365+J367+J368+J369</f>
        <v>1012.23</v>
      </c>
      <c r="J371" s="44"/>
      <c r="K371" s="24">
        <f>IF(Source!I384&lt;&gt;0, ROUND(I371/Source!I384, 2), 0)</f>
        <v>1012.23</v>
      </c>
      <c r="P371" s="22">
        <f>I371</f>
        <v>1012.23</v>
      </c>
    </row>
    <row r="372" spans="1:22" ht="57" x14ac:dyDescent="0.2">
      <c r="A372" s="18">
        <v>36</v>
      </c>
      <c r="B372" s="18" t="str">
        <f>Source!F385</f>
        <v>1.23-2303-4-4/1</v>
      </c>
      <c r="C372" s="18" t="str">
        <f>Source!G385</f>
        <v>Техническое обслуживание средств автоматизации, механизмы электрические однооборотные МЭО, ИМ</v>
      </c>
      <c r="D372" s="19" t="str">
        <f>Source!H385</f>
        <v>шт.</v>
      </c>
      <c r="E372" s="9">
        <f>Source!I385</f>
        <v>1</v>
      </c>
      <c r="F372" s="21"/>
      <c r="G372" s="20"/>
      <c r="H372" s="9"/>
      <c r="I372" s="9"/>
      <c r="J372" s="21"/>
      <c r="K372" s="21"/>
      <c r="Q372">
        <f>ROUND((Source!BZ385/100)*ROUND((Source!AF385*Source!AV385)*Source!I385, 2), 2)</f>
        <v>1881.24</v>
      </c>
      <c r="R372">
        <f>Source!X385</f>
        <v>1881.24</v>
      </c>
      <c r="S372">
        <f>ROUND((Source!CA385/100)*ROUND((Source!AF385*Source!AV385)*Source!I385, 2), 2)</f>
        <v>268.75</v>
      </c>
      <c r="T372">
        <f>Source!Y385</f>
        <v>268.75</v>
      </c>
      <c r="U372">
        <f>ROUND((175/100)*ROUND((Source!AE385*Source!AV385)*Source!I385, 2), 2)</f>
        <v>0</v>
      </c>
      <c r="V372">
        <f>ROUND((108/100)*ROUND(Source!CS385*Source!I385, 2), 2)</f>
        <v>0</v>
      </c>
    </row>
    <row r="373" spans="1:22" ht="14.25" x14ac:dyDescent="0.2">
      <c r="A373" s="18"/>
      <c r="B373" s="18"/>
      <c r="C373" s="18" t="s">
        <v>1100</v>
      </c>
      <c r="D373" s="19"/>
      <c r="E373" s="9"/>
      <c r="F373" s="21">
        <f>Source!AO385</f>
        <v>1343.74</v>
      </c>
      <c r="G373" s="20" t="str">
        <f>Source!DG385</f>
        <v>)*2</v>
      </c>
      <c r="H373" s="9">
        <f>Source!AV385</f>
        <v>1</v>
      </c>
      <c r="I373" s="9">
        <f>IF(Source!BA385&lt;&gt; 0, Source!BA385, 1)</f>
        <v>1</v>
      </c>
      <c r="J373" s="21">
        <f>Source!S385</f>
        <v>2687.48</v>
      </c>
      <c r="K373" s="21"/>
    </row>
    <row r="374" spans="1:22" ht="14.25" x14ac:dyDescent="0.2">
      <c r="A374" s="18"/>
      <c r="B374" s="18"/>
      <c r="C374" s="18" t="s">
        <v>1102</v>
      </c>
      <c r="D374" s="19" t="s">
        <v>1103</v>
      </c>
      <c r="E374" s="9">
        <f>Source!AT385</f>
        <v>70</v>
      </c>
      <c r="F374" s="21"/>
      <c r="G374" s="20"/>
      <c r="H374" s="9"/>
      <c r="I374" s="9"/>
      <c r="J374" s="21">
        <f>SUM(R372:R373)</f>
        <v>1881.24</v>
      </c>
      <c r="K374" s="21"/>
    </row>
    <row r="375" spans="1:22" ht="14.25" x14ac:dyDescent="0.2">
      <c r="A375" s="18"/>
      <c r="B375" s="18"/>
      <c r="C375" s="18" t="s">
        <v>1104</v>
      </c>
      <c r="D375" s="19" t="s">
        <v>1103</v>
      </c>
      <c r="E375" s="9">
        <f>Source!AU385</f>
        <v>10</v>
      </c>
      <c r="F375" s="21"/>
      <c r="G375" s="20"/>
      <c r="H375" s="9"/>
      <c r="I375" s="9"/>
      <c r="J375" s="21">
        <f>SUM(T372:T374)</f>
        <v>268.75</v>
      </c>
      <c r="K375" s="21"/>
    </row>
    <row r="376" spans="1:22" ht="14.25" x14ac:dyDescent="0.2">
      <c r="A376" s="18"/>
      <c r="B376" s="18"/>
      <c r="C376" s="18" t="s">
        <v>1105</v>
      </c>
      <c r="D376" s="19" t="s">
        <v>1106</v>
      </c>
      <c r="E376" s="9">
        <f>Source!AQ385</f>
        <v>1.62</v>
      </c>
      <c r="F376" s="21"/>
      <c r="G376" s="20" t="str">
        <f>Source!DI385</f>
        <v>)*2</v>
      </c>
      <c r="H376" s="9">
        <f>Source!AV385</f>
        <v>1</v>
      </c>
      <c r="I376" s="9"/>
      <c r="J376" s="21"/>
      <c r="K376" s="21">
        <f>Source!U385</f>
        <v>3.24</v>
      </c>
    </row>
    <row r="377" spans="1:22" ht="15" x14ac:dyDescent="0.25">
      <c r="A377" s="23"/>
      <c r="B377" s="23"/>
      <c r="C377" s="23"/>
      <c r="D377" s="23"/>
      <c r="E377" s="23"/>
      <c r="F377" s="23"/>
      <c r="G377" s="23"/>
      <c r="H377" s="23"/>
      <c r="I377" s="44">
        <f>J373+J374+J375</f>
        <v>4837.47</v>
      </c>
      <c r="J377" s="44"/>
      <c r="K377" s="24">
        <f>IF(Source!I385&lt;&gt;0, ROUND(I377/Source!I385, 2), 0)</f>
        <v>4837.47</v>
      </c>
      <c r="P377" s="22">
        <f>I377</f>
        <v>4837.47</v>
      </c>
    </row>
    <row r="378" spans="1:22" ht="57" x14ac:dyDescent="0.2">
      <c r="A378" s="18">
        <v>37</v>
      </c>
      <c r="B378" s="18" t="str">
        <f>Source!F386</f>
        <v>1.24-2503-4-18/1</v>
      </c>
      <c r="C378" s="18" t="str">
        <f>Source!G386</f>
        <v>Техническое обслуживание циркуляционных насосов систем отопления с тепловыми насосами - ежемесячное</v>
      </c>
      <c r="D378" s="19" t="str">
        <f>Source!H386</f>
        <v>шт.</v>
      </c>
      <c r="E378" s="9">
        <f>Source!I386</f>
        <v>1</v>
      </c>
      <c r="F378" s="21"/>
      <c r="G378" s="20"/>
      <c r="H378" s="9"/>
      <c r="I378" s="9"/>
      <c r="J378" s="21"/>
      <c r="K378" s="21"/>
      <c r="Q378">
        <f>ROUND((Source!BZ386/100)*ROUND((Source!AF386*Source!AV386)*Source!I386, 2), 2)</f>
        <v>824.63</v>
      </c>
      <c r="R378">
        <f>Source!X386</f>
        <v>824.63</v>
      </c>
      <c r="S378">
        <f>ROUND((Source!CA386/100)*ROUND((Source!AF386*Source!AV386)*Source!I386, 2), 2)</f>
        <v>117.8</v>
      </c>
      <c r="T378">
        <f>Source!Y386</f>
        <v>117.8</v>
      </c>
      <c r="U378">
        <f>ROUND((175/100)*ROUND((Source!AE386*Source!AV386)*Source!I386, 2), 2)</f>
        <v>867.51</v>
      </c>
      <c r="V378">
        <f>ROUND((108/100)*ROUND(Source!CS386*Source!I386, 2), 2)</f>
        <v>535.38</v>
      </c>
    </row>
    <row r="379" spans="1:22" ht="14.25" x14ac:dyDescent="0.2">
      <c r="A379" s="18"/>
      <c r="B379" s="18"/>
      <c r="C379" s="18" t="s">
        <v>1100</v>
      </c>
      <c r="D379" s="19"/>
      <c r="E379" s="9"/>
      <c r="F379" s="21">
        <f>Source!AO386</f>
        <v>294.51</v>
      </c>
      <c r="G379" s="20" t="str">
        <f>Source!DG386</f>
        <v>)*4</v>
      </c>
      <c r="H379" s="9">
        <f>Source!AV386</f>
        <v>1</v>
      </c>
      <c r="I379" s="9">
        <f>IF(Source!BA386&lt;&gt; 0, Source!BA386, 1)</f>
        <v>1</v>
      </c>
      <c r="J379" s="21">
        <f>Source!S386</f>
        <v>1178.04</v>
      </c>
      <c r="K379" s="21"/>
    </row>
    <row r="380" spans="1:22" ht="14.25" x14ac:dyDescent="0.2">
      <c r="A380" s="18"/>
      <c r="B380" s="18"/>
      <c r="C380" s="18" t="s">
        <v>1107</v>
      </c>
      <c r="D380" s="19"/>
      <c r="E380" s="9"/>
      <c r="F380" s="21">
        <f>Source!AM386</f>
        <v>195.45</v>
      </c>
      <c r="G380" s="20" t="str">
        <f>Source!DE386</f>
        <v>)*4</v>
      </c>
      <c r="H380" s="9">
        <f>Source!AV386</f>
        <v>1</v>
      </c>
      <c r="I380" s="9">
        <f>IF(Source!BB386&lt;&gt; 0, Source!BB386, 1)</f>
        <v>1</v>
      </c>
      <c r="J380" s="21">
        <f>Source!Q386</f>
        <v>781.8</v>
      </c>
      <c r="K380" s="21"/>
    </row>
    <row r="381" spans="1:22" ht="14.25" x14ac:dyDescent="0.2">
      <c r="A381" s="18"/>
      <c r="B381" s="18"/>
      <c r="C381" s="18" t="s">
        <v>1108</v>
      </c>
      <c r="D381" s="19"/>
      <c r="E381" s="9"/>
      <c r="F381" s="21">
        <f>Source!AN386</f>
        <v>123.93</v>
      </c>
      <c r="G381" s="20" t="str">
        <f>Source!DF386</f>
        <v>)*4</v>
      </c>
      <c r="H381" s="9">
        <f>Source!AV386</f>
        <v>1</v>
      </c>
      <c r="I381" s="9">
        <f>IF(Source!BS386&lt;&gt; 0, Source!BS386, 1)</f>
        <v>1</v>
      </c>
      <c r="J381" s="25">
        <f>Source!R386</f>
        <v>495.72</v>
      </c>
      <c r="K381" s="21"/>
    </row>
    <row r="382" spans="1:22" ht="14.25" x14ac:dyDescent="0.2">
      <c r="A382" s="18"/>
      <c r="B382" s="18"/>
      <c r="C382" s="18" t="s">
        <v>1101</v>
      </c>
      <c r="D382" s="19"/>
      <c r="E382" s="9"/>
      <c r="F382" s="21">
        <f>Source!AL386</f>
        <v>0.63</v>
      </c>
      <c r="G382" s="20" t="str">
        <f>Source!DD386</f>
        <v>)*4</v>
      </c>
      <c r="H382" s="9">
        <f>Source!AW386</f>
        <v>1</v>
      </c>
      <c r="I382" s="9">
        <f>IF(Source!BC386&lt;&gt; 0, Source!BC386, 1)</f>
        <v>1</v>
      </c>
      <c r="J382" s="21">
        <f>Source!P386</f>
        <v>2.52</v>
      </c>
      <c r="K382" s="21"/>
    </row>
    <row r="383" spans="1:22" ht="14.25" x14ac:dyDescent="0.2">
      <c r="A383" s="18"/>
      <c r="B383" s="18"/>
      <c r="C383" s="18" t="s">
        <v>1102</v>
      </c>
      <c r="D383" s="19" t="s">
        <v>1103</v>
      </c>
      <c r="E383" s="9">
        <f>Source!AT386</f>
        <v>70</v>
      </c>
      <c r="F383" s="21"/>
      <c r="G383" s="20"/>
      <c r="H383" s="9"/>
      <c r="I383" s="9"/>
      <c r="J383" s="21">
        <f>SUM(R378:R382)</f>
        <v>824.63</v>
      </c>
      <c r="K383" s="21"/>
    </row>
    <row r="384" spans="1:22" ht="14.25" x14ac:dyDescent="0.2">
      <c r="A384" s="18"/>
      <c r="B384" s="18"/>
      <c r="C384" s="18" t="s">
        <v>1104</v>
      </c>
      <c r="D384" s="19" t="s">
        <v>1103</v>
      </c>
      <c r="E384" s="9">
        <f>Source!AU386</f>
        <v>10</v>
      </c>
      <c r="F384" s="21"/>
      <c r="G384" s="20"/>
      <c r="H384" s="9"/>
      <c r="I384" s="9"/>
      <c r="J384" s="21">
        <f>SUM(T378:T383)</f>
        <v>117.8</v>
      </c>
      <c r="K384" s="21"/>
    </row>
    <row r="385" spans="1:22" ht="14.25" x14ac:dyDescent="0.2">
      <c r="A385" s="18"/>
      <c r="B385" s="18"/>
      <c r="C385" s="18" t="s">
        <v>1109</v>
      </c>
      <c r="D385" s="19" t="s">
        <v>1103</v>
      </c>
      <c r="E385" s="9">
        <f>108</f>
        <v>108</v>
      </c>
      <c r="F385" s="21"/>
      <c r="G385" s="20"/>
      <c r="H385" s="9"/>
      <c r="I385" s="9"/>
      <c r="J385" s="21">
        <f>SUM(V378:V384)</f>
        <v>535.38</v>
      </c>
      <c r="K385" s="21"/>
    </row>
    <row r="386" spans="1:22" ht="14.25" x14ac:dyDescent="0.2">
      <c r="A386" s="18"/>
      <c r="B386" s="18"/>
      <c r="C386" s="18" t="s">
        <v>1105</v>
      </c>
      <c r="D386" s="19" t="s">
        <v>1106</v>
      </c>
      <c r="E386" s="9">
        <f>Source!AQ386</f>
        <v>0.42</v>
      </c>
      <c r="F386" s="21"/>
      <c r="G386" s="20" t="str">
        <f>Source!DI386</f>
        <v>)*4</v>
      </c>
      <c r="H386" s="9">
        <f>Source!AV386</f>
        <v>1</v>
      </c>
      <c r="I386" s="9"/>
      <c r="J386" s="21"/>
      <c r="K386" s="21">
        <f>Source!U386</f>
        <v>1.68</v>
      </c>
    </row>
    <row r="387" spans="1:22" ht="15" x14ac:dyDescent="0.25">
      <c r="A387" s="23"/>
      <c r="B387" s="23"/>
      <c r="C387" s="23"/>
      <c r="D387" s="23"/>
      <c r="E387" s="23"/>
      <c r="F387" s="23"/>
      <c r="G387" s="23"/>
      <c r="H387" s="23"/>
      <c r="I387" s="44">
        <f>J379+J380+J382+J383+J384+J385</f>
        <v>3440.17</v>
      </c>
      <c r="J387" s="44"/>
      <c r="K387" s="24">
        <f>IF(Source!I386&lt;&gt;0, ROUND(I387/Source!I386, 2), 0)</f>
        <v>3440.17</v>
      </c>
      <c r="P387" s="22">
        <f>I387</f>
        <v>3440.17</v>
      </c>
    </row>
    <row r="388" spans="1:22" ht="57" x14ac:dyDescent="0.2">
      <c r="A388" s="18">
        <v>38</v>
      </c>
      <c r="B388" s="18" t="str">
        <f>Source!F387</f>
        <v>1.23-2103-21-1/1</v>
      </c>
      <c r="C388" s="18" t="str">
        <f>Source!G387</f>
        <v>Техническое обслуживание преобразователей давления, перепада давления, тензорезисторных, дифференциальных (Сапфир)</v>
      </c>
      <c r="D388" s="19" t="str">
        <f>Source!H387</f>
        <v>шт.</v>
      </c>
      <c r="E388" s="9">
        <f>Source!I387</f>
        <v>1</v>
      </c>
      <c r="F388" s="21"/>
      <c r="G388" s="20"/>
      <c r="H388" s="9"/>
      <c r="I388" s="9"/>
      <c r="J388" s="21"/>
      <c r="K388" s="21"/>
      <c r="Q388">
        <f>ROUND((Source!BZ387/100)*ROUND((Source!AF387*Source!AV387)*Source!I387, 2), 2)</f>
        <v>894.17</v>
      </c>
      <c r="R388">
        <f>Source!X387</f>
        <v>894.17</v>
      </c>
      <c r="S388">
        <f>ROUND((Source!CA387/100)*ROUND((Source!AF387*Source!AV387)*Source!I387, 2), 2)</f>
        <v>127.74</v>
      </c>
      <c r="T388">
        <f>Source!Y387</f>
        <v>127.74</v>
      </c>
      <c r="U388">
        <f>ROUND((175/100)*ROUND((Source!AE387*Source!AV387)*Source!I387, 2), 2)</f>
        <v>0</v>
      </c>
      <c r="V388">
        <f>ROUND((108/100)*ROUND(Source!CS387*Source!I387, 2), 2)</f>
        <v>0</v>
      </c>
    </row>
    <row r="389" spans="1:22" ht="14.25" x14ac:dyDescent="0.2">
      <c r="A389" s="18"/>
      <c r="B389" s="18"/>
      <c r="C389" s="18" t="s">
        <v>1100</v>
      </c>
      <c r="D389" s="19"/>
      <c r="E389" s="9"/>
      <c r="F389" s="21">
        <f>Source!AO387</f>
        <v>638.69000000000005</v>
      </c>
      <c r="G389" s="20" t="str">
        <f>Source!DG387</f>
        <v>)*2</v>
      </c>
      <c r="H389" s="9">
        <f>Source!AV387</f>
        <v>1</v>
      </c>
      <c r="I389" s="9">
        <f>IF(Source!BA387&lt;&gt; 0, Source!BA387, 1)</f>
        <v>1</v>
      </c>
      <c r="J389" s="21">
        <f>Source!S387</f>
        <v>1277.3800000000001</v>
      </c>
      <c r="K389" s="21"/>
    </row>
    <row r="390" spans="1:22" ht="14.25" x14ac:dyDescent="0.2">
      <c r="A390" s="18"/>
      <c r="B390" s="18"/>
      <c r="C390" s="18" t="s">
        <v>1101</v>
      </c>
      <c r="D390" s="19"/>
      <c r="E390" s="9"/>
      <c r="F390" s="21">
        <f>Source!AL387</f>
        <v>19.14</v>
      </c>
      <c r="G390" s="20" t="str">
        <f>Source!DD387</f>
        <v>)*2</v>
      </c>
      <c r="H390" s="9">
        <f>Source!AW387</f>
        <v>1</v>
      </c>
      <c r="I390" s="9">
        <f>IF(Source!BC387&lt;&gt; 0, Source!BC387, 1)</f>
        <v>1</v>
      </c>
      <c r="J390" s="21">
        <f>Source!P387</f>
        <v>38.28</v>
      </c>
      <c r="K390" s="21"/>
    </row>
    <row r="391" spans="1:22" ht="14.25" x14ac:dyDescent="0.2">
      <c r="A391" s="18"/>
      <c r="B391" s="18"/>
      <c r="C391" s="18" t="s">
        <v>1102</v>
      </c>
      <c r="D391" s="19" t="s">
        <v>1103</v>
      </c>
      <c r="E391" s="9">
        <f>Source!AT387</f>
        <v>70</v>
      </c>
      <c r="F391" s="21"/>
      <c r="G391" s="20"/>
      <c r="H391" s="9"/>
      <c r="I391" s="9"/>
      <c r="J391" s="21">
        <f>SUM(R388:R390)</f>
        <v>894.17</v>
      </c>
      <c r="K391" s="21"/>
    </row>
    <row r="392" spans="1:22" ht="14.25" x14ac:dyDescent="0.2">
      <c r="A392" s="18"/>
      <c r="B392" s="18"/>
      <c r="C392" s="18" t="s">
        <v>1104</v>
      </c>
      <c r="D392" s="19" t="s">
        <v>1103</v>
      </c>
      <c r="E392" s="9">
        <f>Source!AU387</f>
        <v>10</v>
      </c>
      <c r="F392" s="21"/>
      <c r="G392" s="20"/>
      <c r="H392" s="9"/>
      <c r="I392" s="9"/>
      <c r="J392" s="21">
        <f>SUM(T388:T391)</f>
        <v>127.74</v>
      </c>
      <c r="K392" s="21"/>
    </row>
    <row r="393" spans="1:22" ht="14.25" x14ac:dyDescent="0.2">
      <c r="A393" s="18"/>
      <c r="B393" s="18"/>
      <c r="C393" s="18" t="s">
        <v>1105</v>
      </c>
      <c r="D393" s="19" t="s">
        <v>1106</v>
      </c>
      <c r="E393" s="9">
        <f>Source!AQ387</f>
        <v>0.77</v>
      </c>
      <c r="F393" s="21"/>
      <c r="G393" s="20" t="str">
        <f>Source!DI387</f>
        <v>)*2</v>
      </c>
      <c r="H393" s="9">
        <f>Source!AV387</f>
        <v>1</v>
      </c>
      <c r="I393" s="9"/>
      <c r="J393" s="21"/>
      <c r="K393" s="21">
        <f>Source!U387</f>
        <v>1.54</v>
      </c>
    </row>
    <row r="394" spans="1:22" ht="15" x14ac:dyDescent="0.25">
      <c r="A394" s="23"/>
      <c r="B394" s="23"/>
      <c r="C394" s="23"/>
      <c r="D394" s="23"/>
      <c r="E394" s="23"/>
      <c r="F394" s="23"/>
      <c r="G394" s="23"/>
      <c r="H394" s="23"/>
      <c r="I394" s="44">
        <f>J389+J390+J391+J392</f>
        <v>2337.5699999999997</v>
      </c>
      <c r="J394" s="44"/>
      <c r="K394" s="24">
        <f>IF(Source!I387&lt;&gt;0, ROUND(I394/Source!I387, 2), 0)</f>
        <v>2337.5700000000002</v>
      </c>
      <c r="P394" s="22">
        <f>I394</f>
        <v>2337.5699999999997</v>
      </c>
    </row>
    <row r="395" spans="1:22" ht="28.5" x14ac:dyDescent="0.2">
      <c r="A395" s="18">
        <v>39</v>
      </c>
      <c r="B395" s="18" t="str">
        <f>Source!F388</f>
        <v>1.23-2303-7-2/1</v>
      </c>
      <c r="C395" s="18" t="str">
        <f>Source!G388</f>
        <v>Техническое обслуживание реле давления, напора, тяги</v>
      </c>
      <c r="D395" s="19" t="str">
        <f>Source!H388</f>
        <v>шт.</v>
      </c>
      <c r="E395" s="9">
        <f>Source!I388</f>
        <v>2</v>
      </c>
      <c r="F395" s="21"/>
      <c r="G395" s="20"/>
      <c r="H395" s="9"/>
      <c r="I395" s="9"/>
      <c r="J395" s="21"/>
      <c r="K395" s="21"/>
      <c r="Q395">
        <f>ROUND((Source!BZ388/100)*ROUND((Source!AF388*Source!AV388)*Source!I388, 2), 2)</f>
        <v>755.08</v>
      </c>
      <c r="R395">
        <f>Source!X388</f>
        <v>755.08</v>
      </c>
      <c r="S395">
        <f>ROUND((Source!CA388/100)*ROUND((Source!AF388*Source!AV388)*Source!I388, 2), 2)</f>
        <v>107.87</v>
      </c>
      <c r="T395">
        <f>Source!Y388</f>
        <v>107.87</v>
      </c>
      <c r="U395">
        <f>ROUND((175/100)*ROUND((Source!AE388*Source!AV388)*Source!I388, 2), 2)</f>
        <v>0</v>
      </c>
      <c r="V395">
        <f>ROUND((108/100)*ROUND(Source!CS388*Source!I388, 2), 2)</f>
        <v>0</v>
      </c>
    </row>
    <row r="396" spans="1:22" x14ac:dyDescent="0.2">
      <c r="C396" s="28" t="str">
        <f>"Объем: "&amp;Source!I388&amp;"=1+"&amp;"1"</f>
        <v>Объем: 2=1+1</v>
      </c>
    </row>
    <row r="397" spans="1:22" ht="14.25" x14ac:dyDescent="0.2">
      <c r="A397" s="18"/>
      <c r="B397" s="18"/>
      <c r="C397" s="18" t="s">
        <v>1100</v>
      </c>
      <c r="D397" s="19"/>
      <c r="E397" s="9"/>
      <c r="F397" s="21">
        <f>Source!AO388</f>
        <v>269.67</v>
      </c>
      <c r="G397" s="20" t="str">
        <f>Source!DG388</f>
        <v>)*2</v>
      </c>
      <c r="H397" s="9">
        <f>Source!AV388</f>
        <v>1</v>
      </c>
      <c r="I397" s="9">
        <f>IF(Source!BA388&lt;&gt; 0, Source!BA388, 1)</f>
        <v>1</v>
      </c>
      <c r="J397" s="21">
        <f>Source!S388</f>
        <v>1078.68</v>
      </c>
      <c r="K397" s="21"/>
    </row>
    <row r="398" spans="1:22" ht="14.25" x14ac:dyDescent="0.2">
      <c r="A398" s="18"/>
      <c r="B398" s="18"/>
      <c r="C398" s="18" t="s">
        <v>1101</v>
      </c>
      <c r="D398" s="19"/>
      <c r="E398" s="9"/>
      <c r="F398" s="21">
        <f>Source!AL388</f>
        <v>19.14</v>
      </c>
      <c r="G398" s="20" t="str">
        <f>Source!DD388</f>
        <v>)*2</v>
      </c>
      <c r="H398" s="9">
        <f>Source!AW388</f>
        <v>1</v>
      </c>
      <c r="I398" s="9">
        <f>IF(Source!BC388&lt;&gt; 0, Source!BC388, 1)</f>
        <v>1</v>
      </c>
      <c r="J398" s="21">
        <f>Source!P388</f>
        <v>76.56</v>
      </c>
      <c r="K398" s="21"/>
    </row>
    <row r="399" spans="1:22" ht="14.25" x14ac:dyDescent="0.2">
      <c r="A399" s="18"/>
      <c r="B399" s="18"/>
      <c r="C399" s="18" t="s">
        <v>1102</v>
      </c>
      <c r="D399" s="19" t="s">
        <v>1103</v>
      </c>
      <c r="E399" s="9">
        <f>Source!AT388</f>
        <v>70</v>
      </c>
      <c r="F399" s="21"/>
      <c r="G399" s="20"/>
      <c r="H399" s="9"/>
      <c r="I399" s="9"/>
      <c r="J399" s="21">
        <f>SUM(R395:R398)</f>
        <v>755.08</v>
      </c>
      <c r="K399" s="21"/>
    </row>
    <row r="400" spans="1:22" ht="14.25" x14ac:dyDescent="0.2">
      <c r="A400" s="18"/>
      <c r="B400" s="18"/>
      <c r="C400" s="18" t="s">
        <v>1104</v>
      </c>
      <c r="D400" s="19" t="s">
        <v>1103</v>
      </c>
      <c r="E400" s="9">
        <f>Source!AU388</f>
        <v>10</v>
      </c>
      <c r="F400" s="21"/>
      <c r="G400" s="20"/>
      <c r="H400" s="9"/>
      <c r="I400" s="9"/>
      <c r="J400" s="21">
        <f>SUM(T395:T399)</f>
        <v>107.87</v>
      </c>
      <c r="K400" s="21"/>
    </row>
    <row r="401" spans="1:22" ht="14.25" x14ac:dyDescent="0.2">
      <c r="A401" s="18"/>
      <c r="B401" s="18"/>
      <c r="C401" s="18" t="s">
        <v>1105</v>
      </c>
      <c r="D401" s="19" t="s">
        <v>1106</v>
      </c>
      <c r="E401" s="9">
        <f>Source!AQ388</f>
        <v>0.38</v>
      </c>
      <c r="F401" s="21"/>
      <c r="G401" s="20" t="str">
        <f>Source!DI388</f>
        <v>)*2</v>
      </c>
      <c r="H401" s="9">
        <f>Source!AV388</f>
        <v>1</v>
      </c>
      <c r="I401" s="9"/>
      <c r="J401" s="21"/>
      <c r="K401" s="21">
        <f>Source!U388</f>
        <v>1.52</v>
      </c>
    </row>
    <row r="402" spans="1:22" ht="15" x14ac:dyDescent="0.25">
      <c r="A402" s="23"/>
      <c r="B402" s="23"/>
      <c r="C402" s="23"/>
      <c r="D402" s="23"/>
      <c r="E402" s="23"/>
      <c r="F402" s="23"/>
      <c r="G402" s="23"/>
      <c r="H402" s="23"/>
      <c r="I402" s="44">
        <f>J397+J398+J399+J400</f>
        <v>2018.19</v>
      </c>
      <c r="J402" s="44"/>
      <c r="K402" s="24">
        <f>IF(Source!I388&lt;&gt;0, ROUND(I402/Source!I388, 2), 0)</f>
        <v>1009.1</v>
      </c>
      <c r="P402" s="22">
        <f>I402</f>
        <v>2018.19</v>
      </c>
    </row>
    <row r="403" spans="1:22" ht="28.5" x14ac:dyDescent="0.2">
      <c r="A403" s="18">
        <v>40</v>
      </c>
      <c r="B403" s="18" t="str">
        <f>Source!F389</f>
        <v>1.23-2303-12-2/1</v>
      </c>
      <c r="C403" s="18" t="str">
        <f>Source!G389</f>
        <v>Техническое обслуживание контроллеров регулирования</v>
      </c>
      <c r="D403" s="19" t="str">
        <f>Source!H389</f>
        <v>шт.</v>
      </c>
      <c r="E403" s="9">
        <f>Source!I389</f>
        <v>1</v>
      </c>
      <c r="F403" s="21"/>
      <c r="G403" s="20"/>
      <c r="H403" s="9"/>
      <c r="I403" s="9"/>
      <c r="J403" s="21"/>
      <c r="K403" s="21"/>
      <c r="Q403">
        <f>ROUND((Source!BZ389/100)*ROUND((Source!AF389*Source!AV389)*Source!I389, 2), 2)</f>
        <v>3844.93</v>
      </c>
      <c r="R403">
        <f>Source!X389</f>
        <v>3844.93</v>
      </c>
      <c r="S403">
        <f>ROUND((Source!CA389/100)*ROUND((Source!AF389*Source!AV389)*Source!I389, 2), 2)</f>
        <v>549.28</v>
      </c>
      <c r="T403">
        <f>Source!Y389</f>
        <v>549.28</v>
      </c>
      <c r="U403">
        <f>ROUND((175/100)*ROUND((Source!AE389*Source!AV389)*Source!I389, 2), 2)</f>
        <v>0</v>
      </c>
      <c r="V403">
        <f>ROUND((108/100)*ROUND(Source!CS389*Source!I389, 2), 2)</f>
        <v>0</v>
      </c>
    </row>
    <row r="404" spans="1:22" ht="14.25" x14ac:dyDescent="0.2">
      <c r="A404" s="18"/>
      <c r="B404" s="18"/>
      <c r="C404" s="18" t="s">
        <v>1100</v>
      </c>
      <c r="D404" s="19"/>
      <c r="E404" s="9"/>
      <c r="F404" s="21">
        <f>Source!AO389</f>
        <v>2746.38</v>
      </c>
      <c r="G404" s="20" t="str">
        <f>Source!DG389</f>
        <v>)*2</v>
      </c>
      <c r="H404" s="9">
        <f>Source!AV389</f>
        <v>1</v>
      </c>
      <c r="I404" s="9">
        <f>IF(Source!BA389&lt;&gt; 0, Source!BA389, 1)</f>
        <v>1</v>
      </c>
      <c r="J404" s="21">
        <f>Source!S389</f>
        <v>5492.76</v>
      </c>
      <c r="K404" s="21"/>
    </row>
    <row r="405" spans="1:22" ht="14.25" x14ac:dyDescent="0.2">
      <c r="A405" s="18"/>
      <c r="B405" s="18"/>
      <c r="C405" s="18" t="s">
        <v>1101</v>
      </c>
      <c r="D405" s="19"/>
      <c r="E405" s="9"/>
      <c r="F405" s="21">
        <f>Source!AL389</f>
        <v>4.97</v>
      </c>
      <c r="G405" s="20" t="str">
        <f>Source!DD389</f>
        <v>)*2</v>
      </c>
      <c r="H405" s="9">
        <f>Source!AW389</f>
        <v>1</v>
      </c>
      <c r="I405" s="9">
        <f>IF(Source!BC389&lt;&gt; 0, Source!BC389, 1)</f>
        <v>1</v>
      </c>
      <c r="J405" s="21">
        <f>Source!P389</f>
        <v>9.94</v>
      </c>
      <c r="K405" s="21"/>
    </row>
    <row r="406" spans="1:22" ht="14.25" x14ac:dyDescent="0.2">
      <c r="A406" s="18"/>
      <c r="B406" s="18"/>
      <c r="C406" s="18" t="s">
        <v>1102</v>
      </c>
      <c r="D406" s="19" t="s">
        <v>1103</v>
      </c>
      <c r="E406" s="9">
        <f>Source!AT389</f>
        <v>70</v>
      </c>
      <c r="F406" s="21"/>
      <c r="G406" s="20"/>
      <c r="H406" s="9"/>
      <c r="I406" s="9"/>
      <c r="J406" s="21">
        <f>SUM(R403:R405)</f>
        <v>3844.93</v>
      </c>
      <c r="K406" s="21"/>
    </row>
    <row r="407" spans="1:22" ht="14.25" x14ac:dyDescent="0.2">
      <c r="A407" s="18"/>
      <c r="B407" s="18"/>
      <c r="C407" s="18" t="s">
        <v>1104</v>
      </c>
      <c r="D407" s="19" t="s">
        <v>1103</v>
      </c>
      <c r="E407" s="9">
        <f>Source!AU389</f>
        <v>10</v>
      </c>
      <c r="F407" s="21"/>
      <c r="G407" s="20"/>
      <c r="H407" s="9"/>
      <c r="I407" s="9"/>
      <c r="J407" s="21">
        <f>SUM(T403:T406)</f>
        <v>549.28</v>
      </c>
      <c r="K407" s="21"/>
    </row>
    <row r="408" spans="1:22" ht="14.25" x14ac:dyDescent="0.2">
      <c r="A408" s="18"/>
      <c r="B408" s="18"/>
      <c r="C408" s="18" t="s">
        <v>1105</v>
      </c>
      <c r="D408" s="19" t="s">
        <v>1106</v>
      </c>
      <c r="E408" s="9">
        <f>Source!AQ389</f>
        <v>3.87</v>
      </c>
      <c r="F408" s="21"/>
      <c r="G408" s="20" t="str">
        <f>Source!DI389</f>
        <v>)*2</v>
      </c>
      <c r="H408" s="9">
        <f>Source!AV389</f>
        <v>1</v>
      </c>
      <c r="I408" s="9"/>
      <c r="J408" s="21"/>
      <c r="K408" s="21">
        <f>Source!U389</f>
        <v>7.74</v>
      </c>
    </row>
    <row r="409" spans="1:22" ht="15" x14ac:dyDescent="0.25">
      <c r="A409" s="23"/>
      <c r="B409" s="23"/>
      <c r="C409" s="23"/>
      <c r="D409" s="23"/>
      <c r="E409" s="23"/>
      <c r="F409" s="23"/>
      <c r="G409" s="23"/>
      <c r="H409" s="23"/>
      <c r="I409" s="44">
        <f>J404+J405+J406+J407</f>
        <v>9896.91</v>
      </c>
      <c r="J409" s="44"/>
      <c r="K409" s="24">
        <f>IF(Source!I389&lt;&gt;0, ROUND(I409/Source!I389, 2), 0)</f>
        <v>9896.91</v>
      </c>
      <c r="P409" s="22">
        <f>I409</f>
        <v>9896.91</v>
      </c>
    </row>
    <row r="410" spans="1:22" ht="99.75" x14ac:dyDescent="0.2">
      <c r="A410" s="18">
        <v>41</v>
      </c>
      <c r="B410" s="18" t="str">
        <f>Source!F390</f>
        <v>1.23-2103-9-7/1</v>
      </c>
      <c r="C410" s="18" t="str">
        <f>Source!G390</f>
        <v>Техническое обслуживание приборов для измерения температуры, регулятор температуры дилатометрический, тип ТУДЭ / Комнатный датчик температуры, задатчик NTC20 T7460B Honeywell, Датчик температуры комнатный</v>
      </c>
      <c r="D410" s="19" t="str">
        <f>Source!H390</f>
        <v>шт.</v>
      </c>
      <c r="E410" s="9">
        <f>Source!I390</f>
        <v>3</v>
      </c>
      <c r="F410" s="21"/>
      <c r="G410" s="20"/>
      <c r="H410" s="9"/>
      <c r="I410" s="9"/>
      <c r="J410" s="21"/>
      <c r="K410" s="21"/>
      <c r="Q410">
        <f>ROUND((Source!BZ390/100)*ROUND((Source!AF390*Source!AV390)*Source!I390, 2), 2)</f>
        <v>2074.7600000000002</v>
      </c>
      <c r="R410">
        <f>Source!X390</f>
        <v>2074.7600000000002</v>
      </c>
      <c r="S410">
        <f>ROUND((Source!CA390/100)*ROUND((Source!AF390*Source!AV390)*Source!I390, 2), 2)</f>
        <v>296.39</v>
      </c>
      <c r="T410">
        <f>Source!Y390</f>
        <v>296.39</v>
      </c>
      <c r="U410">
        <f>ROUND((175/100)*ROUND((Source!AE390*Source!AV390)*Source!I390, 2), 2)</f>
        <v>0</v>
      </c>
      <c r="V410">
        <f>ROUND((108/100)*ROUND(Source!CS390*Source!I390, 2), 2)</f>
        <v>0</v>
      </c>
    </row>
    <row r="411" spans="1:22" ht="14.25" x14ac:dyDescent="0.2">
      <c r="A411" s="18"/>
      <c r="B411" s="18"/>
      <c r="C411" s="18" t="s">
        <v>1100</v>
      </c>
      <c r="D411" s="19"/>
      <c r="E411" s="9"/>
      <c r="F411" s="21">
        <f>Source!AO390</f>
        <v>493.99</v>
      </c>
      <c r="G411" s="20" t="str">
        <f>Source!DG390</f>
        <v>)*2</v>
      </c>
      <c r="H411" s="9">
        <f>Source!AV390</f>
        <v>1</v>
      </c>
      <c r="I411" s="9">
        <f>IF(Source!BA390&lt;&gt; 0, Source!BA390, 1)</f>
        <v>1</v>
      </c>
      <c r="J411" s="21">
        <f>Source!S390</f>
        <v>2963.94</v>
      </c>
      <c r="K411" s="21"/>
    </row>
    <row r="412" spans="1:22" ht="14.25" x14ac:dyDescent="0.2">
      <c r="A412" s="18"/>
      <c r="B412" s="18"/>
      <c r="C412" s="18" t="s">
        <v>1102</v>
      </c>
      <c r="D412" s="19" t="s">
        <v>1103</v>
      </c>
      <c r="E412" s="9">
        <f>Source!AT390</f>
        <v>70</v>
      </c>
      <c r="F412" s="21"/>
      <c r="G412" s="20"/>
      <c r="H412" s="9"/>
      <c r="I412" s="9"/>
      <c r="J412" s="21">
        <f>SUM(R410:R411)</f>
        <v>2074.7600000000002</v>
      </c>
      <c r="K412" s="21"/>
    </row>
    <row r="413" spans="1:22" ht="14.25" x14ac:dyDescent="0.2">
      <c r="A413" s="18"/>
      <c r="B413" s="18"/>
      <c r="C413" s="18" t="s">
        <v>1104</v>
      </c>
      <c r="D413" s="19" t="s">
        <v>1103</v>
      </c>
      <c r="E413" s="9">
        <f>Source!AU390</f>
        <v>10</v>
      </c>
      <c r="F413" s="21"/>
      <c r="G413" s="20"/>
      <c r="H413" s="9"/>
      <c r="I413" s="9"/>
      <c r="J413" s="21">
        <f>SUM(T410:T412)</f>
        <v>296.39</v>
      </c>
      <c r="K413" s="21"/>
    </row>
    <row r="414" spans="1:22" ht="14.25" x14ac:dyDescent="0.2">
      <c r="A414" s="18"/>
      <c r="B414" s="18"/>
      <c r="C414" s="18" t="s">
        <v>1105</v>
      </c>
      <c r="D414" s="19" t="s">
        <v>1106</v>
      </c>
      <c r="E414" s="9">
        <f>Source!AQ390</f>
        <v>0.8</v>
      </c>
      <c r="F414" s="21"/>
      <c r="G414" s="20" t="str">
        <f>Source!DI390</f>
        <v>)*2</v>
      </c>
      <c r="H414" s="9">
        <f>Source!AV390</f>
        <v>1</v>
      </c>
      <c r="I414" s="9"/>
      <c r="J414" s="21"/>
      <c r="K414" s="21">
        <f>Source!U390</f>
        <v>4.8000000000000007</v>
      </c>
    </row>
    <row r="415" spans="1:22" ht="15" x14ac:dyDescent="0.25">
      <c r="A415" s="23"/>
      <c r="B415" s="23"/>
      <c r="C415" s="23"/>
      <c r="D415" s="23"/>
      <c r="E415" s="23"/>
      <c r="F415" s="23"/>
      <c r="G415" s="23"/>
      <c r="H415" s="23"/>
      <c r="I415" s="44">
        <f>J411+J412+J413</f>
        <v>5335.0900000000011</v>
      </c>
      <c r="J415" s="44"/>
      <c r="K415" s="24">
        <f>IF(Source!I390&lt;&gt;0, ROUND(I415/Source!I390, 2), 0)</f>
        <v>1778.36</v>
      </c>
      <c r="P415" s="22">
        <f>I415</f>
        <v>5335.0900000000011</v>
      </c>
    </row>
    <row r="416" spans="1:22" ht="71.25" x14ac:dyDescent="0.2">
      <c r="A416" s="18">
        <v>42</v>
      </c>
      <c r="B416" s="18" t="str">
        <f>Source!F391</f>
        <v>1.15-2203-8-2/1</v>
      </c>
      <c r="C416" s="18" t="str">
        <f>Source!G391</f>
        <v>Техническое обслуживание затворов дисковых поворотных межфланцевых с ручным управлением диаметром 100-150 мм / Затвор поворотный Ду65 Ру16 ADL  ООО «Термаль 31»</v>
      </c>
      <c r="D416" s="19" t="str">
        <f>Source!H391</f>
        <v>шт.</v>
      </c>
      <c r="E416" s="9">
        <f>Source!I391</f>
        <v>2</v>
      </c>
      <c r="F416" s="21"/>
      <c r="G416" s="20"/>
      <c r="H416" s="9"/>
      <c r="I416" s="9"/>
      <c r="J416" s="21"/>
      <c r="K416" s="21"/>
      <c r="Q416">
        <f>ROUND((Source!BZ391/100)*ROUND((Source!AF391*Source!AV391)*Source!I391, 2), 2)</f>
        <v>188.89</v>
      </c>
      <c r="R416">
        <f>Source!X391</f>
        <v>188.89</v>
      </c>
      <c r="S416">
        <f>ROUND((Source!CA391/100)*ROUND((Source!AF391*Source!AV391)*Source!I391, 2), 2)</f>
        <v>26.98</v>
      </c>
      <c r="T416">
        <f>Source!Y391</f>
        <v>26.98</v>
      </c>
      <c r="U416">
        <f>ROUND((175/100)*ROUND((Source!AE391*Source!AV391)*Source!I391, 2), 2)</f>
        <v>0</v>
      </c>
      <c r="V416">
        <f>ROUND((108/100)*ROUND(Source!CS391*Source!I391, 2), 2)</f>
        <v>0</v>
      </c>
    </row>
    <row r="417" spans="1:22" ht="14.25" x14ac:dyDescent="0.2">
      <c r="A417" s="18"/>
      <c r="B417" s="18"/>
      <c r="C417" s="18" t="s">
        <v>1100</v>
      </c>
      <c r="D417" s="19"/>
      <c r="E417" s="9"/>
      <c r="F417" s="21">
        <f>Source!AO391</f>
        <v>134.91999999999999</v>
      </c>
      <c r="G417" s="20" t="str">
        <f>Source!DG391</f>
        <v/>
      </c>
      <c r="H417" s="9">
        <f>Source!AV391</f>
        <v>1</v>
      </c>
      <c r="I417" s="9">
        <f>IF(Source!BA391&lt;&gt; 0, Source!BA391, 1)</f>
        <v>1</v>
      </c>
      <c r="J417" s="21">
        <f>Source!S391</f>
        <v>269.83999999999997</v>
      </c>
      <c r="K417" s="21"/>
    </row>
    <row r="418" spans="1:22" ht="14.25" x14ac:dyDescent="0.2">
      <c r="A418" s="18"/>
      <c r="B418" s="18"/>
      <c r="C418" s="18" t="s">
        <v>1101</v>
      </c>
      <c r="D418" s="19"/>
      <c r="E418" s="9"/>
      <c r="F418" s="21">
        <f>Source!AL391</f>
        <v>0.63</v>
      </c>
      <c r="G418" s="20" t="str">
        <f>Source!DD391</f>
        <v/>
      </c>
      <c r="H418" s="9">
        <f>Source!AW391</f>
        <v>1</v>
      </c>
      <c r="I418" s="9">
        <f>IF(Source!BC391&lt;&gt; 0, Source!BC391, 1)</f>
        <v>1</v>
      </c>
      <c r="J418" s="21">
        <f>Source!P391</f>
        <v>1.26</v>
      </c>
      <c r="K418" s="21"/>
    </row>
    <row r="419" spans="1:22" ht="14.25" x14ac:dyDescent="0.2">
      <c r="A419" s="18"/>
      <c r="B419" s="18"/>
      <c r="C419" s="18" t="s">
        <v>1102</v>
      </c>
      <c r="D419" s="19" t="s">
        <v>1103</v>
      </c>
      <c r="E419" s="9">
        <f>Source!AT391</f>
        <v>70</v>
      </c>
      <c r="F419" s="21"/>
      <c r="G419" s="20"/>
      <c r="H419" s="9"/>
      <c r="I419" s="9"/>
      <c r="J419" s="21">
        <f>SUM(R416:R418)</f>
        <v>188.89</v>
      </c>
      <c r="K419" s="21"/>
    </row>
    <row r="420" spans="1:22" ht="14.25" x14ac:dyDescent="0.2">
      <c r="A420" s="18"/>
      <c r="B420" s="18"/>
      <c r="C420" s="18" t="s">
        <v>1104</v>
      </c>
      <c r="D420" s="19" t="s">
        <v>1103</v>
      </c>
      <c r="E420" s="9">
        <f>Source!AU391</f>
        <v>10</v>
      </c>
      <c r="F420" s="21"/>
      <c r="G420" s="20"/>
      <c r="H420" s="9"/>
      <c r="I420" s="9"/>
      <c r="J420" s="21">
        <f>SUM(T416:T419)</f>
        <v>26.98</v>
      </c>
      <c r="K420" s="21"/>
    </row>
    <row r="421" spans="1:22" ht="14.25" x14ac:dyDescent="0.2">
      <c r="A421" s="18"/>
      <c r="B421" s="18"/>
      <c r="C421" s="18" t="s">
        <v>1105</v>
      </c>
      <c r="D421" s="19" t="s">
        <v>1106</v>
      </c>
      <c r="E421" s="9">
        <f>Source!AQ391</f>
        <v>0.24</v>
      </c>
      <c r="F421" s="21"/>
      <c r="G421" s="20" t="str">
        <f>Source!DI391</f>
        <v/>
      </c>
      <c r="H421" s="9">
        <f>Source!AV391</f>
        <v>1</v>
      </c>
      <c r="I421" s="9"/>
      <c r="J421" s="21"/>
      <c r="K421" s="21">
        <f>Source!U391</f>
        <v>0.48</v>
      </c>
    </row>
    <row r="422" spans="1:22" ht="15" x14ac:dyDescent="0.25">
      <c r="A422" s="23"/>
      <c r="B422" s="23"/>
      <c r="C422" s="23"/>
      <c r="D422" s="23"/>
      <c r="E422" s="23"/>
      <c r="F422" s="23"/>
      <c r="G422" s="23"/>
      <c r="H422" s="23"/>
      <c r="I422" s="44">
        <f>J417+J418+J419+J420</f>
        <v>486.96999999999997</v>
      </c>
      <c r="J422" s="44"/>
      <c r="K422" s="24">
        <f>IF(Source!I391&lt;&gt;0, ROUND(I422/Source!I391, 2), 0)</f>
        <v>243.49</v>
      </c>
      <c r="P422" s="22">
        <f>I422</f>
        <v>486.96999999999997</v>
      </c>
    </row>
    <row r="423" spans="1:22" ht="42.75" x14ac:dyDescent="0.2">
      <c r="A423" s="18">
        <v>43</v>
      </c>
      <c r="B423" s="18" t="str">
        <f>Source!F392</f>
        <v>1.15-2203-7-3/1</v>
      </c>
      <c r="C423" s="18" t="str">
        <f>Source!G392</f>
        <v>Техническое обслуживание крана шарового латунного никелированного диаметром до 100 мм</v>
      </c>
      <c r="D423" s="19" t="str">
        <f>Source!H392</f>
        <v>10 шт.</v>
      </c>
      <c r="E423" s="9">
        <f>Source!I392</f>
        <v>0.4</v>
      </c>
      <c r="F423" s="21"/>
      <c r="G423" s="20"/>
      <c r="H423" s="9"/>
      <c r="I423" s="9"/>
      <c r="J423" s="21"/>
      <c r="K423" s="21"/>
      <c r="Q423">
        <f>ROUND((Source!BZ392/100)*ROUND((Source!AF392*Source!AV392)*Source!I392, 2), 2)</f>
        <v>159.07</v>
      </c>
      <c r="R423">
        <f>Source!X392</f>
        <v>159.07</v>
      </c>
      <c r="S423">
        <f>ROUND((Source!CA392/100)*ROUND((Source!AF392*Source!AV392)*Source!I392, 2), 2)</f>
        <v>22.72</v>
      </c>
      <c r="T423">
        <f>Source!Y392</f>
        <v>22.72</v>
      </c>
      <c r="U423">
        <f>ROUND((175/100)*ROUND((Source!AE392*Source!AV392)*Source!I392, 2), 2)</f>
        <v>0</v>
      </c>
      <c r="V423">
        <f>ROUND((108/100)*ROUND(Source!CS392*Source!I392, 2), 2)</f>
        <v>0</v>
      </c>
    </row>
    <row r="424" spans="1:22" x14ac:dyDescent="0.2">
      <c r="C424" s="28" t="str">
        <f>"Объем: "&amp;Source!I392&amp;"=4/"&amp;"10"</f>
        <v>Объем: 0,4=4/10</v>
      </c>
    </row>
    <row r="425" spans="1:22" ht="14.25" x14ac:dyDescent="0.2">
      <c r="A425" s="18"/>
      <c r="B425" s="18"/>
      <c r="C425" s="18" t="s">
        <v>1100</v>
      </c>
      <c r="D425" s="19"/>
      <c r="E425" s="9"/>
      <c r="F425" s="21">
        <f>Source!AO392</f>
        <v>568.09</v>
      </c>
      <c r="G425" s="20" t="str">
        <f>Source!DG392</f>
        <v/>
      </c>
      <c r="H425" s="9">
        <f>Source!AV392</f>
        <v>1</v>
      </c>
      <c r="I425" s="9">
        <f>IF(Source!BA392&lt;&gt; 0, Source!BA392, 1)</f>
        <v>1</v>
      </c>
      <c r="J425" s="21">
        <f>Source!S392</f>
        <v>227.24</v>
      </c>
      <c r="K425" s="21"/>
    </row>
    <row r="426" spans="1:22" ht="14.25" x14ac:dyDescent="0.2">
      <c r="A426" s="18"/>
      <c r="B426" s="18"/>
      <c r="C426" s="18" t="s">
        <v>1102</v>
      </c>
      <c r="D426" s="19" t="s">
        <v>1103</v>
      </c>
      <c r="E426" s="9">
        <f>Source!AT392</f>
        <v>70</v>
      </c>
      <c r="F426" s="21"/>
      <c r="G426" s="20"/>
      <c r="H426" s="9"/>
      <c r="I426" s="9"/>
      <c r="J426" s="21">
        <f>SUM(R423:R425)</f>
        <v>159.07</v>
      </c>
      <c r="K426" s="21"/>
    </row>
    <row r="427" spans="1:22" ht="14.25" x14ac:dyDescent="0.2">
      <c r="A427" s="18"/>
      <c r="B427" s="18"/>
      <c r="C427" s="18" t="s">
        <v>1104</v>
      </c>
      <c r="D427" s="19" t="s">
        <v>1103</v>
      </c>
      <c r="E427" s="9">
        <f>Source!AU392</f>
        <v>10</v>
      </c>
      <c r="F427" s="21"/>
      <c r="G427" s="20"/>
      <c r="H427" s="9"/>
      <c r="I427" s="9"/>
      <c r="J427" s="21">
        <f>SUM(T423:T426)</f>
        <v>22.72</v>
      </c>
      <c r="K427" s="21"/>
    </row>
    <row r="428" spans="1:22" ht="14.25" x14ac:dyDescent="0.2">
      <c r="A428" s="18"/>
      <c r="B428" s="18"/>
      <c r="C428" s="18" t="s">
        <v>1105</v>
      </c>
      <c r="D428" s="19" t="s">
        <v>1106</v>
      </c>
      <c r="E428" s="9">
        <f>Source!AQ392</f>
        <v>0.92</v>
      </c>
      <c r="F428" s="21"/>
      <c r="G428" s="20" t="str">
        <f>Source!DI392</f>
        <v/>
      </c>
      <c r="H428" s="9">
        <f>Source!AV392</f>
        <v>1</v>
      </c>
      <c r="I428" s="9"/>
      <c r="J428" s="21"/>
      <c r="K428" s="21">
        <f>Source!U392</f>
        <v>0.36800000000000005</v>
      </c>
    </row>
    <row r="429" spans="1:22" ht="15" x14ac:dyDescent="0.25">
      <c r="A429" s="23"/>
      <c r="B429" s="23"/>
      <c r="C429" s="23"/>
      <c r="D429" s="23"/>
      <c r="E429" s="23"/>
      <c r="F429" s="23"/>
      <c r="G429" s="23"/>
      <c r="H429" s="23"/>
      <c r="I429" s="44">
        <f>J425+J426+J427</f>
        <v>409.03</v>
      </c>
      <c r="J429" s="44"/>
      <c r="K429" s="24">
        <f>IF(Source!I392&lt;&gt;0, ROUND(I429/Source!I392, 2), 0)</f>
        <v>1022.58</v>
      </c>
      <c r="P429" s="22">
        <f>I429</f>
        <v>409.03</v>
      </c>
    </row>
    <row r="430" spans="1:22" ht="57" x14ac:dyDescent="0.2">
      <c r="A430" s="18">
        <v>44</v>
      </c>
      <c r="B430" s="18" t="str">
        <f>Source!F393</f>
        <v>1.23-2103-41-1/1</v>
      </c>
      <c r="C430" s="18" t="str">
        <f>Source!G393</f>
        <v>Техническое обслуживание регулирующего клапана / Клапан предохранительный Ду25 Ру16 OR  ООО «Термаль 31»</v>
      </c>
      <c r="D430" s="19" t="str">
        <f>Source!H393</f>
        <v>шт.</v>
      </c>
      <c r="E430" s="9">
        <f>Source!I393</f>
        <v>2</v>
      </c>
      <c r="F430" s="21"/>
      <c r="G430" s="20"/>
      <c r="H430" s="9"/>
      <c r="I430" s="9"/>
      <c r="J430" s="21"/>
      <c r="K430" s="21"/>
      <c r="Q430">
        <f>ROUND((Source!BZ393/100)*ROUND((Source!AF393*Source!AV393)*Source!I393, 2), 2)</f>
        <v>291.2</v>
      </c>
      <c r="R430">
        <f>Source!X393</f>
        <v>291.2</v>
      </c>
      <c r="S430">
        <f>ROUND((Source!CA393/100)*ROUND((Source!AF393*Source!AV393)*Source!I393, 2), 2)</f>
        <v>41.6</v>
      </c>
      <c r="T430">
        <f>Source!Y393</f>
        <v>41.6</v>
      </c>
      <c r="U430">
        <f>ROUND((175/100)*ROUND((Source!AE393*Source!AV393)*Source!I393, 2), 2)</f>
        <v>173.5</v>
      </c>
      <c r="V430">
        <f>ROUND((108/100)*ROUND(Source!CS393*Source!I393, 2), 2)</f>
        <v>107.07</v>
      </c>
    </row>
    <row r="431" spans="1:22" ht="14.25" x14ac:dyDescent="0.2">
      <c r="A431" s="18"/>
      <c r="B431" s="18"/>
      <c r="C431" s="18" t="s">
        <v>1100</v>
      </c>
      <c r="D431" s="19"/>
      <c r="E431" s="9"/>
      <c r="F431" s="21">
        <f>Source!AO393</f>
        <v>208</v>
      </c>
      <c r="G431" s="20" t="str">
        <f>Source!DG393</f>
        <v/>
      </c>
      <c r="H431" s="9">
        <f>Source!AV393</f>
        <v>1</v>
      </c>
      <c r="I431" s="9">
        <f>IF(Source!BA393&lt;&gt; 0, Source!BA393, 1)</f>
        <v>1</v>
      </c>
      <c r="J431" s="21">
        <f>Source!S393</f>
        <v>416</v>
      </c>
      <c r="K431" s="21"/>
    </row>
    <row r="432" spans="1:22" ht="14.25" x14ac:dyDescent="0.2">
      <c r="A432" s="18"/>
      <c r="B432" s="18"/>
      <c r="C432" s="18" t="s">
        <v>1107</v>
      </c>
      <c r="D432" s="19"/>
      <c r="E432" s="9"/>
      <c r="F432" s="21">
        <f>Source!AM393</f>
        <v>78.180000000000007</v>
      </c>
      <c r="G432" s="20" t="str">
        <f>Source!DE393</f>
        <v/>
      </c>
      <c r="H432" s="9">
        <f>Source!AV393</f>
        <v>1</v>
      </c>
      <c r="I432" s="9">
        <f>IF(Source!BB393&lt;&gt; 0, Source!BB393, 1)</f>
        <v>1</v>
      </c>
      <c r="J432" s="21">
        <f>Source!Q393</f>
        <v>156.36000000000001</v>
      </c>
      <c r="K432" s="21"/>
    </row>
    <row r="433" spans="1:22" ht="14.25" x14ac:dyDescent="0.2">
      <c r="A433" s="18"/>
      <c r="B433" s="18"/>
      <c r="C433" s="18" t="s">
        <v>1108</v>
      </c>
      <c r="D433" s="19"/>
      <c r="E433" s="9"/>
      <c r="F433" s="21">
        <f>Source!AN393</f>
        <v>49.57</v>
      </c>
      <c r="G433" s="20" t="str">
        <f>Source!DF393</f>
        <v/>
      </c>
      <c r="H433" s="9">
        <f>Source!AV393</f>
        <v>1</v>
      </c>
      <c r="I433" s="9">
        <f>IF(Source!BS393&lt;&gt; 0, Source!BS393, 1)</f>
        <v>1</v>
      </c>
      <c r="J433" s="25">
        <f>Source!R393</f>
        <v>99.14</v>
      </c>
      <c r="K433" s="21"/>
    </row>
    <row r="434" spans="1:22" ht="14.25" x14ac:dyDescent="0.2">
      <c r="A434" s="18"/>
      <c r="B434" s="18"/>
      <c r="C434" s="18" t="s">
        <v>1102</v>
      </c>
      <c r="D434" s="19" t="s">
        <v>1103</v>
      </c>
      <c r="E434" s="9">
        <f>Source!AT393</f>
        <v>70</v>
      </c>
      <c r="F434" s="21"/>
      <c r="G434" s="20"/>
      <c r="H434" s="9"/>
      <c r="I434" s="9"/>
      <c r="J434" s="21">
        <f>SUM(R430:R433)</f>
        <v>291.2</v>
      </c>
      <c r="K434" s="21"/>
    </row>
    <row r="435" spans="1:22" ht="14.25" x14ac:dyDescent="0.2">
      <c r="A435" s="18"/>
      <c r="B435" s="18"/>
      <c r="C435" s="18" t="s">
        <v>1104</v>
      </c>
      <c r="D435" s="19" t="s">
        <v>1103</v>
      </c>
      <c r="E435" s="9">
        <f>Source!AU393</f>
        <v>10</v>
      </c>
      <c r="F435" s="21"/>
      <c r="G435" s="20"/>
      <c r="H435" s="9"/>
      <c r="I435" s="9"/>
      <c r="J435" s="21">
        <f>SUM(T430:T434)</f>
        <v>41.6</v>
      </c>
      <c r="K435" s="21"/>
    </row>
    <row r="436" spans="1:22" ht="14.25" x14ac:dyDescent="0.2">
      <c r="A436" s="18"/>
      <c r="B436" s="18"/>
      <c r="C436" s="18" t="s">
        <v>1109</v>
      </c>
      <c r="D436" s="19" t="s">
        <v>1103</v>
      </c>
      <c r="E436" s="9">
        <f>108</f>
        <v>108</v>
      </c>
      <c r="F436" s="21"/>
      <c r="G436" s="20"/>
      <c r="H436" s="9"/>
      <c r="I436" s="9"/>
      <c r="J436" s="21">
        <f>SUM(V430:V435)</f>
        <v>107.07</v>
      </c>
      <c r="K436" s="21"/>
    </row>
    <row r="437" spans="1:22" ht="14.25" x14ac:dyDescent="0.2">
      <c r="A437" s="18"/>
      <c r="B437" s="18"/>
      <c r="C437" s="18" t="s">
        <v>1105</v>
      </c>
      <c r="D437" s="19" t="s">
        <v>1106</v>
      </c>
      <c r="E437" s="9">
        <f>Source!AQ393</f>
        <v>0.37</v>
      </c>
      <c r="F437" s="21"/>
      <c r="G437" s="20" t="str">
        <f>Source!DI393</f>
        <v/>
      </c>
      <c r="H437" s="9">
        <f>Source!AV393</f>
        <v>1</v>
      </c>
      <c r="I437" s="9"/>
      <c r="J437" s="21"/>
      <c r="K437" s="21">
        <f>Source!U393</f>
        <v>0.74</v>
      </c>
    </row>
    <row r="438" spans="1:22" ht="15" x14ac:dyDescent="0.25">
      <c r="A438" s="23"/>
      <c r="B438" s="23"/>
      <c r="C438" s="23"/>
      <c r="D438" s="23"/>
      <c r="E438" s="23"/>
      <c r="F438" s="23"/>
      <c r="G438" s="23"/>
      <c r="H438" s="23"/>
      <c r="I438" s="44">
        <f>J431+J432+J434+J435+J436</f>
        <v>1012.23</v>
      </c>
      <c r="J438" s="44"/>
      <c r="K438" s="24">
        <f>IF(Source!I393&lt;&gt;0, ROUND(I438/Source!I393, 2), 0)</f>
        <v>506.12</v>
      </c>
      <c r="P438" s="22">
        <f>I438</f>
        <v>1012.23</v>
      </c>
    </row>
    <row r="439" spans="1:22" ht="42.75" x14ac:dyDescent="0.2">
      <c r="A439" s="18">
        <v>45</v>
      </c>
      <c r="B439" s="18" t="str">
        <f>Source!F394</f>
        <v>1.15-2303-5-2/1</v>
      </c>
      <c r="C439" s="18" t="str">
        <f>Source!G394</f>
        <v>Техническое обслуживание фильтров водяных фланцевых сетчатых диаметром до 80 мм</v>
      </c>
      <c r="D439" s="19" t="str">
        <f>Source!H394</f>
        <v>10 шт.</v>
      </c>
      <c r="E439" s="9">
        <f>Source!I394</f>
        <v>0.2</v>
      </c>
      <c r="F439" s="21"/>
      <c r="G439" s="20"/>
      <c r="H439" s="9"/>
      <c r="I439" s="9"/>
      <c r="J439" s="21"/>
      <c r="K439" s="21"/>
      <c r="Q439">
        <f>ROUND((Source!BZ394/100)*ROUND((Source!AF394*Source!AV394)*Source!I394, 2), 2)</f>
        <v>347.87</v>
      </c>
      <c r="R439">
        <f>Source!X394</f>
        <v>347.87</v>
      </c>
      <c r="S439">
        <f>ROUND((Source!CA394/100)*ROUND((Source!AF394*Source!AV394)*Source!I394, 2), 2)</f>
        <v>49.7</v>
      </c>
      <c r="T439">
        <f>Source!Y394</f>
        <v>49.7</v>
      </c>
      <c r="U439">
        <f>ROUND((175/100)*ROUND((Source!AE394*Source!AV394)*Source!I394, 2), 2)</f>
        <v>0</v>
      </c>
      <c r="V439">
        <f>ROUND((108/100)*ROUND(Source!CS394*Source!I394, 2), 2)</f>
        <v>0</v>
      </c>
    </row>
    <row r="440" spans="1:22" x14ac:dyDescent="0.2">
      <c r="C440" s="28" t="str">
        <f>"Объем: "&amp;Source!I394&amp;"=2/"&amp;"10"</f>
        <v>Объем: 0,2=2/10</v>
      </c>
    </row>
    <row r="441" spans="1:22" ht="14.25" x14ac:dyDescent="0.2">
      <c r="A441" s="18"/>
      <c r="B441" s="18"/>
      <c r="C441" s="18" t="s">
        <v>1100</v>
      </c>
      <c r="D441" s="19"/>
      <c r="E441" s="9"/>
      <c r="F441" s="21">
        <f>Source!AO394</f>
        <v>2484.79</v>
      </c>
      <c r="G441" s="20" t="str">
        <f>Source!DG394</f>
        <v/>
      </c>
      <c r="H441" s="9">
        <f>Source!AV394</f>
        <v>1</v>
      </c>
      <c r="I441" s="9">
        <f>IF(Source!BA394&lt;&gt; 0, Source!BA394, 1)</f>
        <v>1</v>
      </c>
      <c r="J441" s="21">
        <f>Source!S394</f>
        <v>496.96</v>
      </c>
      <c r="K441" s="21"/>
    </row>
    <row r="442" spans="1:22" ht="14.25" x14ac:dyDescent="0.2">
      <c r="A442" s="18"/>
      <c r="B442" s="18"/>
      <c r="C442" s="18" t="s">
        <v>1101</v>
      </c>
      <c r="D442" s="19"/>
      <c r="E442" s="9"/>
      <c r="F442" s="21">
        <f>Source!AL394</f>
        <v>0.5</v>
      </c>
      <c r="G442" s="20" t="str">
        <f>Source!DD394</f>
        <v/>
      </c>
      <c r="H442" s="9">
        <f>Source!AW394</f>
        <v>1</v>
      </c>
      <c r="I442" s="9">
        <f>IF(Source!BC394&lt;&gt; 0, Source!BC394, 1)</f>
        <v>1</v>
      </c>
      <c r="J442" s="21">
        <f>Source!P394</f>
        <v>0.1</v>
      </c>
      <c r="K442" s="21"/>
    </row>
    <row r="443" spans="1:22" ht="57" x14ac:dyDescent="0.2">
      <c r="A443" s="18" t="s">
        <v>315</v>
      </c>
      <c r="B443" s="18" t="str">
        <f>Source!F395</f>
        <v>21.26-1-111</v>
      </c>
      <c r="C443" s="18" t="str">
        <f>Source!G395</f>
        <v>Прокладки из терморасширенного графита для обслуживания фильтра сетчатого чугунного фланцевого диаметром 80 мм</v>
      </c>
      <c r="D443" s="19" t="str">
        <f>Source!H395</f>
        <v>шт.</v>
      </c>
      <c r="E443" s="9">
        <f>Source!I395</f>
        <v>2</v>
      </c>
      <c r="F443" s="21">
        <f>Source!AK395</f>
        <v>246.34</v>
      </c>
      <c r="G443" s="30" t="s">
        <v>3</v>
      </c>
      <c r="H443" s="9">
        <f>Source!AW395</f>
        <v>1</v>
      </c>
      <c r="I443" s="9">
        <f>IF(Source!BC395&lt;&gt; 0, Source!BC395, 1)</f>
        <v>1</v>
      </c>
      <c r="J443" s="21">
        <f>Source!O395</f>
        <v>492.68</v>
      </c>
      <c r="K443" s="21"/>
      <c r="Q443">
        <f>ROUND((Source!BZ395/100)*ROUND((Source!AF395*Source!AV395)*Source!I395, 2), 2)</f>
        <v>0</v>
      </c>
      <c r="R443">
        <f>Source!X395</f>
        <v>0</v>
      </c>
      <c r="S443">
        <f>ROUND((Source!CA395/100)*ROUND((Source!AF395*Source!AV395)*Source!I395, 2), 2)</f>
        <v>0</v>
      </c>
      <c r="T443">
        <f>Source!Y395</f>
        <v>0</v>
      </c>
      <c r="U443">
        <f>ROUND((175/100)*ROUND((Source!AE395*Source!AV395)*Source!I395, 2), 2)</f>
        <v>0</v>
      </c>
      <c r="V443">
        <f>ROUND((108/100)*ROUND(Source!CS395*Source!I395, 2), 2)</f>
        <v>0</v>
      </c>
    </row>
    <row r="444" spans="1:22" ht="14.25" x14ac:dyDescent="0.2">
      <c r="A444" s="18"/>
      <c r="B444" s="18"/>
      <c r="C444" s="18" t="s">
        <v>1102</v>
      </c>
      <c r="D444" s="19" t="s">
        <v>1103</v>
      </c>
      <c r="E444" s="9">
        <f>Source!AT394</f>
        <v>70</v>
      </c>
      <c r="F444" s="21"/>
      <c r="G444" s="20"/>
      <c r="H444" s="9"/>
      <c r="I444" s="9"/>
      <c r="J444" s="21">
        <f>SUM(R439:R443)</f>
        <v>347.87</v>
      </c>
      <c r="K444" s="21"/>
    </row>
    <row r="445" spans="1:22" ht="14.25" x14ac:dyDescent="0.2">
      <c r="A445" s="18"/>
      <c r="B445" s="18"/>
      <c r="C445" s="18" t="s">
        <v>1104</v>
      </c>
      <c r="D445" s="19" t="s">
        <v>1103</v>
      </c>
      <c r="E445" s="9">
        <f>Source!AU394</f>
        <v>10</v>
      </c>
      <c r="F445" s="21"/>
      <c r="G445" s="20"/>
      <c r="H445" s="9"/>
      <c r="I445" s="9"/>
      <c r="J445" s="21">
        <f>SUM(T439:T444)</f>
        <v>49.7</v>
      </c>
      <c r="K445" s="21"/>
    </row>
    <row r="446" spans="1:22" ht="14.25" x14ac:dyDescent="0.2">
      <c r="A446" s="18"/>
      <c r="B446" s="18"/>
      <c r="C446" s="18" t="s">
        <v>1105</v>
      </c>
      <c r="D446" s="19" t="s">
        <v>1106</v>
      </c>
      <c r="E446" s="9">
        <f>Source!AQ394</f>
        <v>4.42</v>
      </c>
      <c r="F446" s="21"/>
      <c r="G446" s="20" t="str">
        <f>Source!DI394</f>
        <v/>
      </c>
      <c r="H446" s="9">
        <f>Source!AV394</f>
        <v>1</v>
      </c>
      <c r="I446" s="9"/>
      <c r="J446" s="21"/>
      <c r="K446" s="21">
        <f>Source!U394</f>
        <v>0.88400000000000001</v>
      </c>
    </row>
    <row r="447" spans="1:22" ht="15" x14ac:dyDescent="0.25">
      <c r="A447" s="23"/>
      <c r="B447" s="23"/>
      <c r="C447" s="23"/>
      <c r="D447" s="23"/>
      <c r="E447" s="23"/>
      <c r="F447" s="23"/>
      <c r="G447" s="23"/>
      <c r="H447" s="23"/>
      <c r="I447" s="44">
        <f>J441+J442+J444+J445+SUM(J443:J443)</f>
        <v>1387.3100000000002</v>
      </c>
      <c r="J447" s="44"/>
      <c r="K447" s="24">
        <f>IF(Source!I394&lt;&gt;0, ROUND(I447/Source!I394, 2), 0)</f>
        <v>6936.55</v>
      </c>
      <c r="P447" s="22">
        <f>I447</f>
        <v>1387.3100000000002</v>
      </c>
    </row>
    <row r="448" spans="1:22" ht="71.25" x14ac:dyDescent="0.2">
      <c r="A448" s="18">
        <v>46</v>
      </c>
      <c r="B448" s="18" t="str">
        <f>Source!F396</f>
        <v>1.15-2203-9-2/1</v>
      </c>
      <c r="C448" s="18" t="str">
        <f>Source!G396</f>
        <v>Техническое обслуживание клапанов обратных фланцевых диаметром 100-150 мм /Клапан обратный межфланцевый Ду65 Ру16 Гранлок  ООО «Термаль 31»</v>
      </c>
      <c r="D448" s="19" t="str">
        <f>Source!H396</f>
        <v>шт.</v>
      </c>
      <c r="E448" s="9">
        <f>Source!I396</f>
        <v>1</v>
      </c>
      <c r="F448" s="21"/>
      <c r="G448" s="20"/>
      <c r="H448" s="9"/>
      <c r="I448" s="9"/>
      <c r="J448" s="21"/>
      <c r="K448" s="21"/>
      <c r="Q448">
        <f>ROUND((Source!BZ396/100)*ROUND((Source!AF396*Source!AV396)*Source!I396, 2), 2)</f>
        <v>86.57</v>
      </c>
      <c r="R448">
        <f>Source!X396</f>
        <v>86.57</v>
      </c>
      <c r="S448">
        <f>ROUND((Source!CA396/100)*ROUND((Source!AF396*Source!AV396)*Source!I396, 2), 2)</f>
        <v>12.37</v>
      </c>
      <c r="T448">
        <f>Source!Y396</f>
        <v>12.37</v>
      </c>
      <c r="U448">
        <f>ROUND((175/100)*ROUND((Source!AE396*Source!AV396)*Source!I396, 2), 2)</f>
        <v>0</v>
      </c>
      <c r="V448">
        <f>ROUND((108/100)*ROUND(Source!CS396*Source!I396, 2), 2)</f>
        <v>0</v>
      </c>
    </row>
    <row r="449" spans="1:22" ht="14.25" x14ac:dyDescent="0.2">
      <c r="A449" s="18"/>
      <c r="B449" s="18"/>
      <c r="C449" s="18" t="s">
        <v>1100</v>
      </c>
      <c r="D449" s="19"/>
      <c r="E449" s="9"/>
      <c r="F449" s="21">
        <f>Source!AO396</f>
        <v>123.67</v>
      </c>
      <c r="G449" s="20" t="str">
        <f>Source!DG396</f>
        <v/>
      </c>
      <c r="H449" s="9">
        <f>Source!AV396</f>
        <v>1</v>
      </c>
      <c r="I449" s="9">
        <f>IF(Source!BA396&lt;&gt; 0, Source!BA396, 1)</f>
        <v>1</v>
      </c>
      <c r="J449" s="21">
        <f>Source!S396</f>
        <v>123.67</v>
      </c>
      <c r="K449" s="21"/>
    </row>
    <row r="450" spans="1:22" ht="14.25" x14ac:dyDescent="0.2">
      <c r="A450" s="18"/>
      <c r="B450" s="18"/>
      <c r="C450" s="18" t="s">
        <v>1101</v>
      </c>
      <c r="D450" s="19"/>
      <c r="E450" s="9"/>
      <c r="F450" s="21">
        <f>Source!AL396</f>
        <v>0.63</v>
      </c>
      <c r="G450" s="20" t="str">
        <f>Source!DD396</f>
        <v/>
      </c>
      <c r="H450" s="9">
        <f>Source!AW396</f>
        <v>1</v>
      </c>
      <c r="I450" s="9">
        <f>IF(Source!BC396&lt;&gt; 0, Source!BC396, 1)</f>
        <v>1</v>
      </c>
      <c r="J450" s="21">
        <f>Source!P396</f>
        <v>0.63</v>
      </c>
      <c r="K450" s="21"/>
    </row>
    <row r="451" spans="1:22" ht="14.25" x14ac:dyDescent="0.2">
      <c r="A451" s="18"/>
      <c r="B451" s="18"/>
      <c r="C451" s="18" t="s">
        <v>1102</v>
      </c>
      <c r="D451" s="19" t="s">
        <v>1103</v>
      </c>
      <c r="E451" s="9">
        <f>Source!AT396</f>
        <v>70</v>
      </c>
      <c r="F451" s="21"/>
      <c r="G451" s="20"/>
      <c r="H451" s="9"/>
      <c r="I451" s="9"/>
      <c r="J451" s="21">
        <f>SUM(R448:R450)</f>
        <v>86.57</v>
      </c>
      <c r="K451" s="21"/>
    </row>
    <row r="452" spans="1:22" ht="14.25" x14ac:dyDescent="0.2">
      <c r="A452" s="18"/>
      <c r="B452" s="18"/>
      <c r="C452" s="18" t="s">
        <v>1104</v>
      </c>
      <c r="D452" s="19" t="s">
        <v>1103</v>
      </c>
      <c r="E452" s="9">
        <f>Source!AU396</f>
        <v>10</v>
      </c>
      <c r="F452" s="21"/>
      <c r="G452" s="20"/>
      <c r="H452" s="9"/>
      <c r="I452" s="9"/>
      <c r="J452" s="21">
        <f>SUM(T448:T451)</f>
        <v>12.37</v>
      </c>
      <c r="K452" s="21"/>
    </row>
    <row r="453" spans="1:22" ht="14.25" x14ac:dyDescent="0.2">
      <c r="A453" s="18"/>
      <c r="B453" s="18"/>
      <c r="C453" s="18" t="s">
        <v>1105</v>
      </c>
      <c r="D453" s="19" t="s">
        <v>1106</v>
      </c>
      <c r="E453" s="9">
        <f>Source!AQ396</f>
        <v>0.22</v>
      </c>
      <c r="F453" s="21"/>
      <c r="G453" s="20" t="str">
        <f>Source!DI396</f>
        <v/>
      </c>
      <c r="H453" s="9">
        <f>Source!AV396</f>
        <v>1</v>
      </c>
      <c r="I453" s="9"/>
      <c r="J453" s="21"/>
      <c r="K453" s="21">
        <f>Source!U396</f>
        <v>0.22</v>
      </c>
    </row>
    <row r="454" spans="1:22" ht="15" x14ac:dyDescent="0.25">
      <c r="A454" s="23"/>
      <c r="B454" s="23"/>
      <c r="C454" s="23"/>
      <c r="D454" s="23"/>
      <c r="E454" s="23"/>
      <c r="F454" s="23"/>
      <c r="G454" s="23"/>
      <c r="H454" s="23"/>
      <c r="I454" s="44">
        <f>J449+J450+J451+J452</f>
        <v>223.24</v>
      </c>
      <c r="J454" s="44"/>
      <c r="K454" s="24">
        <f>IF(Source!I396&lt;&gt;0, ROUND(I454/Source!I396, 2), 0)</f>
        <v>223.24</v>
      </c>
      <c r="P454" s="22">
        <f>I454</f>
        <v>223.24</v>
      </c>
    </row>
    <row r="455" spans="1:22" ht="85.5" x14ac:dyDescent="0.2">
      <c r="A455" s="18">
        <v>47</v>
      </c>
      <c r="B455" s="18" t="str">
        <f>Source!F397</f>
        <v>1.23-2303-5-1/1</v>
      </c>
      <c r="C455" s="18" t="str">
        <f>Source!G397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</v>
      </c>
      <c r="D455" s="19" t="str">
        <f>Source!H397</f>
        <v>шт.</v>
      </c>
      <c r="E455" s="9">
        <f>Source!I397</f>
        <v>1</v>
      </c>
      <c r="F455" s="21"/>
      <c r="G455" s="20"/>
      <c r="H455" s="9"/>
      <c r="I455" s="9"/>
      <c r="J455" s="21"/>
      <c r="K455" s="21"/>
      <c r="Q455">
        <f>ROUND((Source!BZ397/100)*ROUND((Source!AF397*Source!AV397)*Source!I397, 2), 2)</f>
        <v>1142.04</v>
      </c>
      <c r="R455">
        <f>Source!X397</f>
        <v>1142.04</v>
      </c>
      <c r="S455">
        <f>ROUND((Source!CA397/100)*ROUND((Source!AF397*Source!AV397)*Source!I397, 2), 2)</f>
        <v>163.15</v>
      </c>
      <c r="T455">
        <f>Source!Y397</f>
        <v>163.15</v>
      </c>
      <c r="U455">
        <f>ROUND((175/100)*ROUND((Source!AE397*Source!AV397)*Source!I397, 2), 2)</f>
        <v>0</v>
      </c>
      <c r="V455">
        <f>ROUND((108/100)*ROUND(Source!CS397*Source!I397, 2), 2)</f>
        <v>0</v>
      </c>
    </row>
    <row r="456" spans="1:22" ht="14.25" x14ac:dyDescent="0.2">
      <c r="A456" s="18"/>
      <c r="B456" s="18"/>
      <c r="C456" s="18" t="s">
        <v>1100</v>
      </c>
      <c r="D456" s="19"/>
      <c r="E456" s="9"/>
      <c r="F456" s="21">
        <f>Source!AO397</f>
        <v>815.74</v>
      </c>
      <c r="G456" s="20" t="str">
        <f>Source!DG397</f>
        <v>)*2</v>
      </c>
      <c r="H456" s="9">
        <f>Source!AV397</f>
        <v>1</v>
      </c>
      <c r="I456" s="9">
        <f>IF(Source!BA397&lt;&gt; 0, Source!BA397, 1)</f>
        <v>1</v>
      </c>
      <c r="J456" s="21">
        <f>Source!S397</f>
        <v>1631.48</v>
      </c>
      <c r="K456" s="21"/>
    </row>
    <row r="457" spans="1:22" ht="14.25" x14ac:dyDescent="0.2">
      <c r="A457" s="18"/>
      <c r="B457" s="18"/>
      <c r="C457" s="18" t="s">
        <v>1102</v>
      </c>
      <c r="D457" s="19" t="s">
        <v>1103</v>
      </c>
      <c r="E457" s="9">
        <f>Source!AT397</f>
        <v>70</v>
      </c>
      <c r="F457" s="21"/>
      <c r="G457" s="20"/>
      <c r="H457" s="9"/>
      <c r="I457" s="9"/>
      <c r="J457" s="21">
        <f>SUM(R455:R456)</f>
        <v>1142.04</v>
      </c>
      <c r="K457" s="21"/>
    </row>
    <row r="458" spans="1:22" ht="14.25" x14ac:dyDescent="0.2">
      <c r="A458" s="18"/>
      <c r="B458" s="18"/>
      <c r="C458" s="18" t="s">
        <v>1104</v>
      </c>
      <c r="D458" s="19" t="s">
        <v>1103</v>
      </c>
      <c r="E458" s="9">
        <f>Source!AU397</f>
        <v>10</v>
      </c>
      <c r="F458" s="21"/>
      <c r="G458" s="20"/>
      <c r="H458" s="9"/>
      <c r="I458" s="9"/>
      <c r="J458" s="21">
        <f>SUM(T455:T457)</f>
        <v>163.15</v>
      </c>
      <c r="K458" s="21"/>
    </row>
    <row r="459" spans="1:22" ht="14.25" x14ac:dyDescent="0.2">
      <c r="A459" s="18"/>
      <c r="B459" s="18"/>
      <c r="C459" s="18" t="s">
        <v>1105</v>
      </c>
      <c r="D459" s="19" t="s">
        <v>1106</v>
      </c>
      <c r="E459" s="9">
        <f>Source!AQ397</f>
        <v>1.06</v>
      </c>
      <c r="F459" s="21"/>
      <c r="G459" s="20" t="str">
        <f>Source!DI397</f>
        <v>)*2</v>
      </c>
      <c r="H459" s="9">
        <f>Source!AV397</f>
        <v>1</v>
      </c>
      <c r="I459" s="9"/>
      <c r="J459" s="21"/>
      <c r="K459" s="21">
        <f>Source!U397</f>
        <v>2.12</v>
      </c>
    </row>
    <row r="460" spans="1:22" ht="15" x14ac:dyDescent="0.25">
      <c r="A460" s="23"/>
      <c r="B460" s="23"/>
      <c r="C460" s="23"/>
      <c r="D460" s="23"/>
      <c r="E460" s="23"/>
      <c r="F460" s="23"/>
      <c r="G460" s="23"/>
      <c r="H460" s="23"/>
      <c r="I460" s="44">
        <f>J456+J457+J458</f>
        <v>2936.67</v>
      </c>
      <c r="J460" s="44"/>
      <c r="K460" s="24">
        <f>IF(Source!I397&lt;&gt;0, ROUND(I460/Source!I397, 2), 0)</f>
        <v>2936.67</v>
      </c>
      <c r="P460" s="22">
        <f>I460</f>
        <v>2936.67</v>
      </c>
    </row>
    <row r="461" spans="1:22" ht="42.75" x14ac:dyDescent="0.2">
      <c r="A461" s="18">
        <v>48</v>
      </c>
      <c r="B461" s="18" t="str">
        <f>Source!F398</f>
        <v>1.23-2103-18-1/1</v>
      </c>
      <c r="C461" s="18" t="str">
        <f>Source!G398</f>
        <v>Техническое обслуживание термометра биметаллического, дилатометрического</v>
      </c>
      <c r="D461" s="19" t="str">
        <f>Source!H398</f>
        <v>шт.</v>
      </c>
      <c r="E461" s="9">
        <f>Source!I398</f>
        <v>4</v>
      </c>
      <c r="F461" s="21"/>
      <c r="G461" s="20"/>
      <c r="H461" s="9"/>
      <c r="I461" s="9"/>
      <c r="J461" s="21"/>
      <c r="K461" s="21"/>
      <c r="Q461">
        <f>ROUND((Source!BZ398/100)*ROUND((Source!AF398*Source!AV398)*Source!I398, 2), 2)</f>
        <v>1231.94</v>
      </c>
      <c r="R461">
        <f>Source!X398</f>
        <v>1231.94</v>
      </c>
      <c r="S461">
        <f>ROUND((Source!CA398/100)*ROUND((Source!AF398*Source!AV398)*Source!I398, 2), 2)</f>
        <v>175.99</v>
      </c>
      <c r="T461">
        <f>Source!Y398</f>
        <v>175.99</v>
      </c>
      <c r="U461">
        <f>ROUND((175/100)*ROUND((Source!AE398*Source!AV398)*Source!I398, 2), 2)</f>
        <v>0</v>
      </c>
      <c r="V461">
        <f>ROUND((108/100)*ROUND(Source!CS398*Source!I398, 2), 2)</f>
        <v>0</v>
      </c>
    </row>
    <row r="462" spans="1:22" ht="14.25" x14ac:dyDescent="0.2">
      <c r="A462" s="18"/>
      <c r="B462" s="18"/>
      <c r="C462" s="18" t="s">
        <v>1100</v>
      </c>
      <c r="D462" s="19"/>
      <c r="E462" s="9"/>
      <c r="F462" s="21">
        <f>Source!AO398</f>
        <v>219.99</v>
      </c>
      <c r="G462" s="20" t="str">
        <f>Source!DG398</f>
        <v>)*2</v>
      </c>
      <c r="H462" s="9">
        <f>Source!AV398</f>
        <v>1</v>
      </c>
      <c r="I462" s="9">
        <f>IF(Source!BA398&lt;&gt; 0, Source!BA398, 1)</f>
        <v>1</v>
      </c>
      <c r="J462" s="21">
        <f>Source!S398</f>
        <v>1759.92</v>
      </c>
      <c r="K462" s="21"/>
    </row>
    <row r="463" spans="1:22" ht="14.25" x14ac:dyDescent="0.2">
      <c r="A463" s="18"/>
      <c r="B463" s="18"/>
      <c r="C463" s="18" t="s">
        <v>1101</v>
      </c>
      <c r="D463" s="19"/>
      <c r="E463" s="9"/>
      <c r="F463" s="21">
        <f>Source!AL398</f>
        <v>19.14</v>
      </c>
      <c r="G463" s="20" t="str">
        <f>Source!DD398</f>
        <v>)*2</v>
      </c>
      <c r="H463" s="9">
        <f>Source!AW398</f>
        <v>1</v>
      </c>
      <c r="I463" s="9">
        <f>IF(Source!BC398&lt;&gt; 0, Source!BC398, 1)</f>
        <v>1</v>
      </c>
      <c r="J463" s="21">
        <f>Source!P398</f>
        <v>153.12</v>
      </c>
      <c r="K463" s="21"/>
    </row>
    <row r="464" spans="1:22" ht="14.25" x14ac:dyDescent="0.2">
      <c r="A464" s="18"/>
      <c r="B464" s="18"/>
      <c r="C464" s="18" t="s">
        <v>1102</v>
      </c>
      <c r="D464" s="19" t="s">
        <v>1103</v>
      </c>
      <c r="E464" s="9">
        <f>Source!AT398</f>
        <v>70</v>
      </c>
      <c r="F464" s="21"/>
      <c r="G464" s="20"/>
      <c r="H464" s="9"/>
      <c r="I464" s="9"/>
      <c r="J464" s="21">
        <f>SUM(R461:R463)</f>
        <v>1231.94</v>
      </c>
      <c r="K464" s="21"/>
    </row>
    <row r="465" spans="1:22" ht="14.25" x14ac:dyDescent="0.2">
      <c r="A465" s="18"/>
      <c r="B465" s="18"/>
      <c r="C465" s="18" t="s">
        <v>1104</v>
      </c>
      <c r="D465" s="19" t="s">
        <v>1103</v>
      </c>
      <c r="E465" s="9">
        <f>Source!AU398</f>
        <v>10</v>
      </c>
      <c r="F465" s="21"/>
      <c r="G465" s="20"/>
      <c r="H465" s="9"/>
      <c r="I465" s="9"/>
      <c r="J465" s="21">
        <f>SUM(T461:T464)</f>
        <v>175.99</v>
      </c>
      <c r="K465" s="21"/>
    </row>
    <row r="466" spans="1:22" ht="14.25" x14ac:dyDescent="0.2">
      <c r="A466" s="18"/>
      <c r="B466" s="18"/>
      <c r="C466" s="18" t="s">
        <v>1105</v>
      </c>
      <c r="D466" s="19" t="s">
        <v>1106</v>
      </c>
      <c r="E466" s="9">
        <f>Source!AQ398</f>
        <v>0.31</v>
      </c>
      <c r="F466" s="21"/>
      <c r="G466" s="20" t="str">
        <f>Source!DI398</f>
        <v>)*2</v>
      </c>
      <c r="H466" s="9">
        <f>Source!AV398</f>
        <v>1</v>
      </c>
      <c r="I466" s="9"/>
      <c r="J466" s="21"/>
      <c r="K466" s="21">
        <f>Source!U398</f>
        <v>2.48</v>
      </c>
    </row>
    <row r="467" spans="1:22" ht="15" x14ac:dyDescent="0.25">
      <c r="A467" s="23"/>
      <c r="B467" s="23"/>
      <c r="C467" s="23"/>
      <c r="D467" s="23"/>
      <c r="E467" s="23"/>
      <c r="F467" s="23"/>
      <c r="G467" s="23"/>
      <c r="H467" s="23"/>
      <c r="I467" s="44">
        <f>J462+J463+J464+J465</f>
        <v>3320.9700000000003</v>
      </c>
      <c r="J467" s="44"/>
      <c r="K467" s="24">
        <f>IF(Source!I398&lt;&gt;0, ROUND(I467/Source!I398, 2), 0)</f>
        <v>830.24</v>
      </c>
      <c r="P467" s="22">
        <f>I467</f>
        <v>3320.9700000000003</v>
      </c>
    </row>
    <row r="468" spans="1:22" ht="42.75" x14ac:dyDescent="0.2">
      <c r="A468" s="18">
        <v>49</v>
      </c>
      <c r="B468" s="18" t="str">
        <f>Source!F402</f>
        <v>1.15-2203-7-1/1</v>
      </c>
      <c r="C468" s="18" t="str">
        <f>Source!G402</f>
        <v>Техническое обслуживание крана шарового латунного никелированного диаметром до 25 мм</v>
      </c>
      <c r="D468" s="19" t="str">
        <f>Source!H402</f>
        <v>10 шт.</v>
      </c>
      <c r="E468" s="9">
        <f>Source!I402</f>
        <v>0.2</v>
      </c>
      <c r="F468" s="21"/>
      <c r="G468" s="20"/>
      <c r="H468" s="9"/>
      <c r="I468" s="9"/>
      <c r="J468" s="21"/>
      <c r="K468" s="21"/>
      <c r="Q468">
        <f>ROUND((Source!BZ402/100)*ROUND((Source!AF402*Source!AV402)*Source!I402, 2), 2)</f>
        <v>38.9</v>
      </c>
      <c r="R468">
        <f>Source!X402</f>
        <v>38.9</v>
      </c>
      <c r="S468">
        <f>ROUND((Source!CA402/100)*ROUND((Source!AF402*Source!AV402)*Source!I402, 2), 2)</f>
        <v>5.56</v>
      </c>
      <c r="T468">
        <f>Source!Y402</f>
        <v>5.56</v>
      </c>
      <c r="U468">
        <f>ROUND((175/100)*ROUND((Source!AE402*Source!AV402)*Source!I402, 2), 2)</f>
        <v>0</v>
      </c>
      <c r="V468">
        <f>ROUND((108/100)*ROUND(Source!CS402*Source!I402, 2), 2)</f>
        <v>0</v>
      </c>
    </row>
    <row r="469" spans="1:22" x14ac:dyDescent="0.2">
      <c r="C469" s="28" t="str">
        <f>"Объем: "&amp;Source!I402&amp;"=2/"&amp;"10"</f>
        <v>Объем: 0,2=2/10</v>
      </c>
    </row>
    <row r="470" spans="1:22" ht="14.25" x14ac:dyDescent="0.2">
      <c r="A470" s="18"/>
      <c r="B470" s="18"/>
      <c r="C470" s="18" t="s">
        <v>1100</v>
      </c>
      <c r="D470" s="19"/>
      <c r="E470" s="9"/>
      <c r="F470" s="21">
        <f>Source!AO402</f>
        <v>277.87</v>
      </c>
      <c r="G470" s="20" t="str">
        <f>Source!DG402</f>
        <v/>
      </c>
      <c r="H470" s="9">
        <f>Source!AV402</f>
        <v>1</v>
      </c>
      <c r="I470" s="9">
        <f>IF(Source!BA402&lt;&gt; 0, Source!BA402, 1)</f>
        <v>1</v>
      </c>
      <c r="J470" s="21">
        <f>Source!S402</f>
        <v>55.57</v>
      </c>
      <c r="K470" s="21"/>
    </row>
    <row r="471" spans="1:22" ht="14.25" x14ac:dyDescent="0.2">
      <c r="A471" s="18"/>
      <c r="B471" s="18"/>
      <c r="C471" s="18" t="s">
        <v>1102</v>
      </c>
      <c r="D471" s="19" t="s">
        <v>1103</v>
      </c>
      <c r="E471" s="9">
        <f>Source!AT402</f>
        <v>70</v>
      </c>
      <c r="F471" s="21"/>
      <c r="G471" s="20"/>
      <c r="H471" s="9"/>
      <c r="I471" s="9"/>
      <c r="J471" s="21">
        <f>SUM(R468:R470)</f>
        <v>38.9</v>
      </c>
      <c r="K471" s="21"/>
    </row>
    <row r="472" spans="1:22" ht="14.25" x14ac:dyDescent="0.2">
      <c r="A472" s="18"/>
      <c r="B472" s="18"/>
      <c r="C472" s="18" t="s">
        <v>1104</v>
      </c>
      <c r="D472" s="19" t="s">
        <v>1103</v>
      </c>
      <c r="E472" s="9">
        <f>Source!AU402</f>
        <v>10</v>
      </c>
      <c r="F472" s="21"/>
      <c r="G472" s="20"/>
      <c r="H472" s="9"/>
      <c r="I472" s="9"/>
      <c r="J472" s="21">
        <f>SUM(T468:T471)</f>
        <v>5.56</v>
      </c>
      <c r="K472" s="21"/>
    </row>
    <row r="473" spans="1:22" ht="14.25" x14ac:dyDescent="0.2">
      <c r="A473" s="18"/>
      <c r="B473" s="18"/>
      <c r="C473" s="18" t="s">
        <v>1105</v>
      </c>
      <c r="D473" s="19" t="s">
        <v>1106</v>
      </c>
      <c r="E473" s="9">
        <f>Source!AQ402</f>
        <v>0.45</v>
      </c>
      <c r="F473" s="21"/>
      <c r="G473" s="20" t="str">
        <f>Source!DI402</f>
        <v/>
      </c>
      <c r="H473" s="9">
        <f>Source!AV402</f>
        <v>1</v>
      </c>
      <c r="I473" s="9"/>
      <c r="J473" s="21"/>
      <c r="K473" s="21">
        <f>Source!U402</f>
        <v>9.0000000000000011E-2</v>
      </c>
    </row>
    <row r="474" spans="1:22" ht="15" x14ac:dyDescent="0.25">
      <c r="A474" s="23"/>
      <c r="B474" s="23"/>
      <c r="C474" s="23"/>
      <c r="D474" s="23"/>
      <c r="E474" s="23"/>
      <c r="F474" s="23"/>
      <c r="G474" s="23"/>
      <c r="H474" s="23"/>
      <c r="I474" s="44">
        <f>J470+J471+J472</f>
        <v>100.03</v>
      </c>
      <c r="J474" s="44"/>
      <c r="K474" s="24">
        <f>IF(Source!I402&lt;&gt;0, ROUND(I474/Source!I402, 2), 0)</f>
        <v>500.15</v>
      </c>
      <c r="P474" s="22">
        <f>I474</f>
        <v>100.03</v>
      </c>
    </row>
    <row r="475" spans="1:22" ht="42.75" x14ac:dyDescent="0.2">
      <c r="A475" s="18">
        <v>50</v>
      </c>
      <c r="B475" s="18" t="str">
        <f>Source!F403</f>
        <v>1.15-2203-7-2/1</v>
      </c>
      <c r="C475" s="18" t="str">
        <f>Source!G403</f>
        <v>Техническое обслуживание крана шарового латунного никелированного диаметром до 50 мм</v>
      </c>
      <c r="D475" s="19" t="str">
        <f>Source!H403</f>
        <v>10 шт.</v>
      </c>
      <c r="E475" s="9">
        <f>Source!I403</f>
        <v>0.2</v>
      </c>
      <c r="F475" s="21"/>
      <c r="G475" s="20"/>
      <c r="H475" s="9"/>
      <c r="I475" s="9"/>
      <c r="J475" s="21"/>
      <c r="K475" s="21"/>
      <c r="Q475">
        <f>ROUND((Source!BZ403/100)*ROUND((Source!AF403*Source!AV403)*Source!I403, 2), 2)</f>
        <v>52.73</v>
      </c>
      <c r="R475">
        <f>Source!X403</f>
        <v>52.73</v>
      </c>
      <c r="S475">
        <f>ROUND((Source!CA403/100)*ROUND((Source!AF403*Source!AV403)*Source!I403, 2), 2)</f>
        <v>7.53</v>
      </c>
      <c r="T475">
        <f>Source!Y403</f>
        <v>7.53</v>
      </c>
      <c r="U475">
        <f>ROUND((175/100)*ROUND((Source!AE403*Source!AV403)*Source!I403, 2), 2)</f>
        <v>0</v>
      </c>
      <c r="V475">
        <f>ROUND((108/100)*ROUND(Source!CS403*Source!I403, 2), 2)</f>
        <v>0</v>
      </c>
    </row>
    <row r="476" spans="1:22" x14ac:dyDescent="0.2">
      <c r="C476" s="28" t="str">
        <f>"Объем: "&amp;Source!I403&amp;"=2/"&amp;"10"</f>
        <v>Объем: 0,2=2/10</v>
      </c>
    </row>
    <row r="477" spans="1:22" ht="14.25" x14ac:dyDescent="0.2">
      <c r="A477" s="18"/>
      <c r="B477" s="18"/>
      <c r="C477" s="18" t="s">
        <v>1100</v>
      </c>
      <c r="D477" s="19"/>
      <c r="E477" s="9"/>
      <c r="F477" s="21">
        <f>Source!AO403</f>
        <v>376.67</v>
      </c>
      <c r="G477" s="20" t="str">
        <f>Source!DG403</f>
        <v/>
      </c>
      <c r="H477" s="9">
        <f>Source!AV403</f>
        <v>1</v>
      </c>
      <c r="I477" s="9">
        <f>IF(Source!BA403&lt;&gt; 0, Source!BA403, 1)</f>
        <v>1</v>
      </c>
      <c r="J477" s="21">
        <f>Source!S403</f>
        <v>75.33</v>
      </c>
      <c r="K477" s="21"/>
    </row>
    <row r="478" spans="1:22" ht="14.25" x14ac:dyDescent="0.2">
      <c r="A478" s="18"/>
      <c r="B478" s="18"/>
      <c r="C478" s="18" t="s">
        <v>1102</v>
      </c>
      <c r="D478" s="19" t="s">
        <v>1103</v>
      </c>
      <c r="E478" s="9">
        <f>Source!AT403</f>
        <v>70</v>
      </c>
      <c r="F478" s="21"/>
      <c r="G478" s="20"/>
      <c r="H478" s="9"/>
      <c r="I478" s="9"/>
      <c r="J478" s="21">
        <f>SUM(R475:R477)</f>
        <v>52.73</v>
      </c>
      <c r="K478" s="21"/>
    </row>
    <row r="479" spans="1:22" ht="14.25" x14ac:dyDescent="0.2">
      <c r="A479" s="18"/>
      <c r="B479" s="18"/>
      <c r="C479" s="18" t="s">
        <v>1104</v>
      </c>
      <c r="D479" s="19" t="s">
        <v>1103</v>
      </c>
      <c r="E479" s="9">
        <f>Source!AU403</f>
        <v>10</v>
      </c>
      <c r="F479" s="21"/>
      <c r="G479" s="20"/>
      <c r="H479" s="9"/>
      <c r="I479" s="9"/>
      <c r="J479" s="21">
        <f>SUM(T475:T478)</f>
        <v>7.53</v>
      </c>
      <c r="K479" s="21"/>
    </row>
    <row r="480" spans="1:22" ht="14.25" x14ac:dyDescent="0.2">
      <c r="A480" s="18"/>
      <c r="B480" s="18"/>
      <c r="C480" s="18" t="s">
        <v>1105</v>
      </c>
      <c r="D480" s="19" t="s">
        <v>1106</v>
      </c>
      <c r="E480" s="9">
        <f>Source!AQ403</f>
        <v>0.61</v>
      </c>
      <c r="F480" s="21"/>
      <c r="G480" s="20" t="str">
        <f>Source!DI403</f>
        <v/>
      </c>
      <c r="H480" s="9">
        <f>Source!AV403</f>
        <v>1</v>
      </c>
      <c r="I480" s="9"/>
      <c r="J480" s="21"/>
      <c r="K480" s="21">
        <f>Source!U403</f>
        <v>0.122</v>
      </c>
    </row>
    <row r="481" spans="1:22" ht="15" x14ac:dyDescent="0.25">
      <c r="A481" s="23"/>
      <c r="B481" s="23"/>
      <c r="C481" s="23"/>
      <c r="D481" s="23"/>
      <c r="E481" s="23"/>
      <c r="F481" s="23"/>
      <c r="G481" s="23"/>
      <c r="H481" s="23"/>
      <c r="I481" s="44">
        <f>J477+J478+J479</f>
        <v>135.59</v>
      </c>
      <c r="J481" s="44"/>
      <c r="K481" s="24">
        <f>IF(Source!I403&lt;&gt;0, ROUND(I481/Source!I403, 2), 0)</f>
        <v>677.95</v>
      </c>
      <c r="P481" s="22">
        <f>I481</f>
        <v>135.59</v>
      </c>
    </row>
    <row r="483" spans="1:22" ht="15" customHeight="1" x14ac:dyDescent="0.25">
      <c r="B483" s="47" t="str">
        <f>Source!G404</f>
        <v>Распределительный коллектор системы отопления</v>
      </c>
      <c r="C483" s="47"/>
      <c r="D483" s="47"/>
      <c r="E483" s="47"/>
      <c r="F483" s="47"/>
      <c r="G483" s="47"/>
      <c r="H483" s="47"/>
      <c r="I483" s="47"/>
      <c r="J483" s="47"/>
    </row>
    <row r="484" spans="1:22" ht="42.75" x14ac:dyDescent="0.2">
      <c r="A484" s="18">
        <v>51</v>
      </c>
      <c r="B484" s="18" t="str">
        <f>Source!F405</f>
        <v>1.15-2203-7-3/1</v>
      </c>
      <c r="C484" s="18" t="str">
        <f>Source!G405</f>
        <v>Техническое обслуживание крана шарового латунного никелированного диаметром до 100 мм</v>
      </c>
      <c r="D484" s="19" t="str">
        <f>Source!H405</f>
        <v>10 шт.</v>
      </c>
      <c r="E484" s="9">
        <f>Source!I405</f>
        <v>0.4</v>
      </c>
      <c r="F484" s="21"/>
      <c r="G484" s="20"/>
      <c r="H484" s="9"/>
      <c r="I484" s="9"/>
      <c r="J484" s="21"/>
      <c r="K484" s="21"/>
      <c r="Q484">
        <f>ROUND((Source!BZ405/100)*ROUND((Source!AF405*Source!AV405)*Source!I405, 2), 2)</f>
        <v>159.07</v>
      </c>
      <c r="R484">
        <f>Source!X405</f>
        <v>159.07</v>
      </c>
      <c r="S484">
        <f>ROUND((Source!CA405/100)*ROUND((Source!AF405*Source!AV405)*Source!I405, 2), 2)</f>
        <v>22.72</v>
      </c>
      <c r="T484">
        <f>Source!Y405</f>
        <v>22.72</v>
      </c>
      <c r="U484">
        <f>ROUND((175/100)*ROUND((Source!AE405*Source!AV405)*Source!I405, 2), 2)</f>
        <v>0</v>
      </c>
      <c r="V484">
        <f>ROUND((108/100)*ROUND(Source!CS405*Source!I405, 2), 2)</f>
        <v>0</v>
      </c>
    </row>
    <row r="485" spans="1:22" x14ac:dyDescent="0.2">
      <c r="C485" s="28" t="str">
        <f>"Объем: "&amp;Source!I405&amp;"=4/"&amp;"10"</f>
        <v>Объем: 0,4=4/10</v>
      </c>
    </row>
    <row r="486" spans="1:22" ht="14.25" x14ac:dyDescent="0.2">
      <c r="A486" s="18"/>
      <c r="B486" s="18"/>
      <c r="C486" s="18" t="s">
        <v>1100</v>
      </c>
      <c r="D486" s="19"/>
      <c r="E486" s="9"/>
      <c r="F486" s="21">
        <f>Source!AO405</f>
        <v>568.09</v>
      </c>
      <c r="G486" s="20" t="str">
        <f>Source!DG405</f>
        <v/>
      </c>
      <c r="H486" s="9">
        <f>Source!AV405</f>
        <v>1</v>
      </c>
      <c r="I486" s="9">
        <f>IF(Source!BA405&lt;&gt; 0, Source!BA405, 1)</f>
        <v>1</v>
      </c>
      <c r="J486" s="21">
        <f>Source!S405</f>
        <v>227.24</v>
      </c>
      <c r="K486" s="21"/>
    </row>
    <row r="487" spans="1:22" ht="14.25" x14ac:dyDescent="0.2">
      <c r="A487" s="18"/>
      <c r="B487" s="18"/>
      <c r="C487" s="18" t="s">
        <v>1102</v>
      </c>
      <c r="D487" s="19" t="s">
        <v>1103</v>
      </c>
      <c r="E487" s="9">
        <f>Source!AT405</f>
        <v>70</v>
      </c>
      <c r="F487" s="21"/>
      <c r="G487" s="20"/>
      <c r="H487" s="9"/>
      <c r="I487" s="9"/>
      <c r="J487" s="21">
        <f>SUM(R484:R486)</f>
        <v>159.07</v>
      </c>
      <c r="K487" s="21"/>
    </row>
    <row r="488" spans="1:22" ht="14.25" x14ac:dyDescent="0.2">
      <c r="A488" s="18"/>
      <c r="B488" s="18"/>
      <c r="C488" s="18" t="s">
        <v>1104</v>
      </c>
      <c r="D488" s="19" t="s">
        <v>1103</v>
      </c>
      <c r="E488" s="9">
        <f>Source!AU405</f>
        <v>10</v>
      </c>
      <c r="F488" s="21"/>
      <c r="G488" s="20"/>
      <c r="H488" s="9"/>
      <c r="I488" s="9"/>
      <c r="J488" s="21">
        <f>SUM(T484:T487)</f>
        <v>22.72</v>
      </c>
      <c r="K488" s="21"/>
    </row>
    <row r="489" spans="1:22" ht="14.25" x14ac:dyDescent="0.2">
      <c r="A489" s="18"/>
      <c r="B489" s="18"/>
      <c r="C489" s="18" t="s">
        <v>1105</v>
      </c>
      <c r="D489" s="19" t="s">
        <v>1106</v>
      </c>
      <c r="E489" s="9">
        <f>Source!AQ405</f>
        <v>0.92</v>
      </c>
      <c r="F489" s="21"/>
      <c r="G489" s="20" t="str">
        <f>Source!DI405</f>
        <v/>
      </c>
      <c r="H489" s="9">
        <f>Source!AV405</f>
        <v>1</v>
      </c>
      <c r="I489" s="9"/>
      <c r="J489" s="21"/>
      <c r="K489" s="21">
        <f>Source!U405</f>
        <v>0.36800000000000005</v>
      </c>
    </row>
    <row r="490" spans="1:22" ht="15" x14ac:dyDescent="0.25">
      <c r="A490" s="23"/>
      <c r="B490" s="23"/>
      <c r="C490" s="23"/>
      <c r="D490" s="23"/>
      <c r="E490" s="23"/>
      <c r="F490" s="23"/>
      <c r="G490" s="23"/>
      <c r="H490" s="23"/>
      <c r="I490" s="44">
        <f>J486+J487+J488</f>
        <v>409.03</v>
      </c>
      <c r="J490" s="44"/>
      <c r="K490" s="24">
        <f>IF(Source!I405&lt;&gt;0, ROUND(I490/Source!I405, 2), 0)</f>
        <v>1022.58</v>
      </c>
      <c r="P490" s="22">
        <f>I490</f>
        <v>409.03</v>
      </c>
    </row>
    <row r="491" spans="1:22" ht="71.25" x14ac:dyDescent="0.2">
      <c r="A491" s="18">
        <v>52</v>
      </c>
      <c r="B491" s="18" t="str">
        <f>Source!F406</f>
        <v>1.23-2103-41-1/1</v>
      </c>
      <c r="C491" s="18" t="str">
        <f>Source!G406</f>
        <v>Техническое обслуживание регулирующего клапана / Автоматический балансировочный клапан , Ручной балансировочный клапан MNF</v>
      </c>
      <c r="D491" s="19" t="str">
        <f>Source!H406</f>
        <v>шт.</v>
      </c>
      <c r="E491" s="9">
        <f>Source!I406</f>
        <v>4</v>
      </c>
      <c r="F491" s="21"/>
      <c r="G491" s="20"/>
      <c r="H491" s="9"/>
      <c r="I491" s="9"/>
      <c r="J491" s="21"/>
      <c r="K491" s="21"/>
      <c r="Q491">
        <f>ROUND((Source!BZ406/100)*ROUND((Source!AF406*Source!AV406)*Source!I406, 2), 2)</f>
        <v>582.4</v>
      </c>
      <c r="R491">
        <f>Source!X406</f>
        <v>582.4</v>
      </c>
      <c r="S491">
        <f>ROUND((Source!CA406/100)*ROUND((Source!AF406*Source!AV406)*Source!I406, 2), 2)</f>
        <v>83.2</v>
      </c>
      <c r="T491">
        <f>Source!Y406</f>
        <v>83.2</v>
      </c>
      <c r="U491">
        <f>ROUND((175/100)*ROUND((Source!AE406*Source!AV406)*Source!I406, 2), 2)</f>
        <v>346.99</v>
      </c>
      <c r="V491">
        <f>ROUND((108/100)*ROUND(Source!CS406*Source!I406, 2), 2)</f>
        <v>214.14</v>
      </c>
    </row>
    <row r="492" spans="1:22" x14ac:dyDescent="0.2">
      <c r="C492" s="28" t="str">
        <f>"Объем: "&amp;Source!I406&amp;"=2+"&amp;"2"</f>
        <v>Объем: 4=2+2</v>
      </c>
    </row>
    <row r="493" spans="1:22" ht="14.25" x14ac:dyDescent="0.2">
      <c r="A493" s="18"/>
      <c r="B493" s="18"/>
      <c r="C493" s="18" t="s">
        <v>1100</v>
      </c>
      <c r="D493" s="19"/>
      <c r="E493" s="9"/>
      <c r="F493" s="21">
        <f>Source!AO406</f>
        <v>208</v>
      </c>
      <c r="G493" s="20" t="str">
        <f>Source!DG406</f>
        <v/>
      </c>
      <c r="H493" s="9">
        <f>Source!AV406</f>
        <v>1</v>
      </c>
      <c r="I493" s="9">
        <f>IF(Source!BA406&lt;&gt; 0, Source!BA406, 1)</f>
        <v>1</v>
      </c>
      <c r="J493" s="21">
        <f>Source!S406</f>
        <v>832</v>
      </c>
      <c r="K493" s="21"/>
    </row>
    <row r="494" spans="1:22" ht="14.25" x14ac:dyDescent="0.2">
      <c r="A494" s="18"/>
      <c r="B494" s="18"/>
      <c r="C494" s="18" t="s">
        <v>1107</v>
      </c>
      <c r="D494" s="19"/>
      <c r="E494" s="9"/>
      <c r="F494" s="21">
        <f>Source!AM406</f>
        <v>78.180000000000007</v>
      </c>
      <c r="G494" s="20" t="str">
        <f>Source!DE406</f>
        <v/>
      </c>
      <c r="H494" s="9">
        <f>Source!AV406</f>
        <v>1</v>
      </c>
      <c r="I494" s="9">
        <f>IF(Source!BB406&lt;&gt; 0, Source!BB406, 1)</f>
        <v>1</v>
      </c>
      <c r="J494" s="21">
        <f>Source!Q406</f>
        <v>312.72000000000003</v>
      </c>
      <c r="K494" s="21"/>
    </row>
    <row r="495" spans="1:22" ht="14.25" x14ac:dyDescent="0.2">
      <c r="A495" s="18"/>
      <c r="B495" s="18"/>
      <c r="C495" s="18" t="s">
        <v>1108</v>
      </c>
      <c r="D495" s="19"/>
      <c r="E495" s="9"/>
      <c r="F495" s="21">
        <f>Source!AN406</f>
        <v>49.57</v>
      </c>
      <c r="G495" s="20" t="str">
        <f>Source!DF406</f>
        <v/>
      </c>
      <c r="H495" s="9">
        <f>Source!AV406</f>
        <v>1</v>
      </c>
      <c r="I495" s="9">
        <f>IF(Source!BS406&lt;&gt; 0, Source!BS406, 1)</f>
        <v>1</v>
      </c>
      <c r="J495" s="25">
        <f>Source!R406</f>
        <v>198.28</v>
      </c>
      <c r="K495" s="21"/>
    </row>
    <row r="496" spans="1:22" ht="14.25" x14ac:dyDescent="0.2">
      <c r="A496" s="18"/>
      <c r="B496" s="18"/>
      <c r="C496" s="18" t="s">
        <v>1102</v>
      </c>
      <c r="D496" s="19" t="s">
        <v>1103</v>
      </c>
      <c r="E496" s="9">
        <f>Source!AT406</f>
        <v>70</v>
      </c>
      <c r="F496" s="21"/>
      <c r="G496" s="20"/>
      <c r="H496" s="9"/>
      <c r="I496" s="9"/>
      <c r="J496" s="21">
        <f>SUM(R491:R495)</f>
        <v>582.4</v>
      </c>
      <c r="K496" s="21"/>
    </row>
    <row r="497" spans="1:22" ht="14.25" x14ac:dyDescent="0.2">
      <c r="A497" s="18"/>
      <c r="B497" s="18"/>
      <c r="C497" s="18" t="s">
        <v>1104</v>
      </c>
      <c r="D497" s="19" t="s">
        <v>1103</v>
      </c>
      <c r="E497" s="9">
        <f>Source!AU406</f>
        <v>10</v>
      </c>
      <c r="F497" s="21"/>
      <c r="G497" s="20"/>
      <c r="H497" s="9"/>
      <c r="I497" s="9"/>
      <c r="J497" s="21">
        <f>SUM(T491:T496)</f>
        <v>83.2</v>
      </c>
      <c r="K497" s="21"/>
    </row>
    <row r="498" spans="1:22" ht="14.25" x14ac:dyDescent="0.2">
      <c r="A498" s="18"/>
      <c r="B498" s="18"/>
      <c r="C498" s="18" t="s">
        <v>1109</v>
      </c>
      <c r="D498" s="19" t="s">
        <v>1103</v>
      </c>
      <c r="E498" s="9">
        <f>108</f>
        <v>108</v>
      </c>
      <c r="F498" s="21"/>
      <c r="G498" s="20"/>
      <c r="H498" s="9"/>
      <c r="I498" s="9"/>
      <c r="J498" s="21">
        <f>SUM(V491:V497)</f>
        <v>214.14</v>
      </c>
      <c r="K498" s="21"/>
    </row>
    <row r="499" spans="1:22" ht="14.25" x14ac:dyDescent="0.2">
      <c r="A499" s="18"/>
      <c r="B499" s="18"/>
      <c r="C499" s="18" t="s">
        <v>1105</v>
      </c>
      <c r="D499" s="19" t="s">
        <v>1106</v>
      </c>
      <c r="E499" s="9">
        <f>Source!AQ406</f>
        <v>0.37</v>
      </c>
      <c r="F499" s="21"/>
      <c r="G499" s="20" t="str">
        <f>Source!DI406</f>
        <v/>
      </c>
      <c r="H499" s="9">
        <f>Source!AV406</f>
        <v>1</v>
      </c>
      <c r="I499" s="9"/>
      <c r="J499" s="21"/>
      <c r="K499" s="21">
        <f>Source!U406</f>
        <v>1.48</v>
      </c>
    </row>
    <row r="500" spans="1:22" ht="15" x14ac:dyDescent="0.25">
      <c r="A500" s="23"/>
      <c r="B500" s="23"/>
      <c r="C500" s="23"/>
      <c r="D500" s="23"/>
      <c r="E500" s="23"/>
      <c r="F500" s="23"/>
      <c r="G500" s="23"/>
      <c r="H500" s="23"/>
      <c r="I500" s="44">
        <f>J493+J494+J496+J497+J498</f>
        <v>2024.46</v>
      </c>
      <c r="J500" s="44"/>
      <c r="K500" s="24">
        <f>IF(Source!I406&lt;&gt;0, ROUND(I500/Source!I406, 2), 0)</f>
        <v>506.12</v>
      </c>
      <c r="P500" s="22">
        <f>I500</f>
        <v>2024.46</v>
      </c>
    </row>
    <row r="501" spans="1:22" ht="42.75" x14ac:dyDescent="0.2">
      <c r="A501" s="18">
        <v>53</v>
      </c>
      <c r="B501" s="18" t="str">
        <f>Source!F407</f>
        <v>1.15-2203-7-1/1</v>
      </c>
      <c r="C501" s="18" t="str">
        <f>Source!G407</f>
        <v>Техническое обслуживание крана шарового латунного никелированного диаметром до 25 мм</v>
      </c>
      <c r="D501" s="19" t="str">
        <f>Source!H407</f>
        <v>10 шт.</v>
      </c>
      <c r="E501" s="9">
        <f>Source!I407</f>
        <v>0.6</v>
      </c>
      <c r="F501" s="21"/>
      <c r="G501" s="20"/>
      <c r="H501" s="9"/>
      <c r="I501" s="9"/>
      <c r="J501" s="21"/>
      <c r="K501" s="21"/>
      <c r="Q501">
        <f>ROUND((Source!BZ407/100)*ROUND((Source!AF407*Source!AV407)*Source!I407, 2), 2)</f>
        <v>116.7</v>
      </c>
      <c r="R501">
        <f>Source!X407</f>
        <v>116.7</v>
      </c>
      <c r="S501">
        <f>ROUND((Source!CA407/100)*ROUND((Source!AF407*Source!AV407)*Source!I407, 2), 2)</f>
        <v>16.670000000000002</v>
      </c>
      <c r="T501">
        <f>Source!Y407</f>
        <v>16.670000000000002</v>
      </c>
      <c r="U501">
        <f>ROUND((175/100)*ROUND((Source!AE407*Source!AV407)*Source!I407, 2), 2)</f>
        <v>0</v>
      </c>
      <c r="V501">
        <f>ROUND((108/100)*ROUND(Source!CS407*Source!I407, 2), 2)</f>
        <v>0</v>
      </c>
    </row>
    <row r="502" spans="1:22" x14ac:dyDescent="0.2">
      <c r="C502" s="28" t="str">
        <f>"Объем: "&amp;Source!I407&amp;"=(4+"&amp;"2)/"&amp;"10"</f>
        <v>Объем: 0,6=(4+2)/10</v>
      </c>
    </row>
    <row r="503" spans="1:22" ht="14.25" x14ac:dyDescent="0.2">
      <c r="A503" s="18"/>
      <c r="B503" s="18"/>
      <c r="C503" s="18" t="s">
        <v>1100</v>
      </c>
      <c r="D503" s="19"/>
      <c r="E503" s="9"/>
      <c r="F503" s="21">
        <f>Source!AO407</f>
        <v>277.87</v>
      </c>
      <c r="G503" s="20" t="str">
        <f>Source!DG407</f>
        <v/>
      </c>
      <c r="H503" s="9">
        <f>Source!AV407</f>
        <v>1</v>
      </c>
      <c r="I503" s="9">
        <f>IF(Source!BA407&lt;&gt; 0, Source!BA407, 1)</f>
        <v>1</v>
      </c>
      <c r="J503" s="21">
        <f>Source!S407</f>
        <v>166.72</v>
      </c>
      <c r="K503" s="21"/>
    </row>
    <row r="504" spans="1:22" ht="14.25" x14ac:dyDescent="0.2">
      <c r="A504" s="18"/>
      <c r="B504" s="18"/>
      <c r="C504" s="18" t="s">
        <v>1102</v>
      </c>
      <c r="D504" s="19" t="s">
        <v>1103</v>
      </c>
      <c r="E504" s="9">
        <f>Source!AT407</f>
        <v>70</v>
      </c>
      <c r="F504" s="21"/>
      <c r="G504" s="20"/>
      <c r="H504" s="9"/>
      <c r="I504" s="9"/>
      <c r="J504" s="21">
        <f>SUM(R501:R503)</f>
        <v>116.7</v>
      </c>
      <c r="K504" s="21"/>
    </row>
    <row r="505" spans="1:22" ht="14.25" x14ac:dyDescent="0.2">
      <c r="A505" s="18"/>
      <c r="B505" s="18"/>
      <c r="C505" s="18" t="s">
        <v>1104</v>
      </c>
      <c r="D505" s="19" t="s">
        <v>1103</v>
      </c>
      <c r="E505" s="9">
        <f>Source!AU407</f>
        <v>10</v>
      </c>
      <c r="F505" s="21"/>
      <c r="G505" s="20"/>
      <c r="H505" s="9"/>
      <c r="I505" s="9"/>
      <c r="J505" s="21">
        <f>SUM(T501:T504)</f>
        <v>16.670000000000002</v>
      </c>
      <c r="K505" s="21"/>
    </row>
    <row r="506" spans="1:22" ht="14.25" x14ac:dyDescent="0.2">
      <c r="A506" s="18"/>
      <c r="B506" s="18"/>
      <c r="C506" s="18" t="s">
        <v>1105</v>
      </c>
      <c r="D506" s="19" t="s">
        <v>1106</v>
      </c>
      <c r="E506" s="9">
        <f>Source!AQ407</f>
        <v>0.45</v>
      </c>
      <c r="F506" s="21"/>
      <c r="G506" s="20" t="str">
        <f>Source!DI407</f>
        <v/>
      </c>
      <c r="H506" s="9">
        <f>Source!AV407</f>
        <v>1</v>
      </c>
      <c r="I506" s="9"/>
      <c r="J506" s="21"/>
      <c r="K506" s="21">
        <f>Source!U407</f>
        <v>0.27</v>
      </c>
    </row>
    <row r="507" spans="1:22" ht="15" x14ac:dyDescent="0.25">
      <c r="A507" s="23"/>
      <c r="B507" s="23"/>
      <c r="C507" s="23"/>
      <c r="D507" s="23"/>
      <c r="E507" s="23"/>
      <c r="F507" s="23"/>
      <c r="G507" s="23"/>
      <c r="H507" s="23"/>
      <c r="I507" s="44">
        <f>J503+J504+J505</f>
        <v>300.09000000000003</v>
      </c>
      <c r="J507" s="44"/>
      <c r="K507" s="24">
        <f>IF(Source!I407&lt;&gt;0, ROUND(I507/Source!I407, 2), 0)</f>
        <v>500.15</v>
      </c>
      <c r="P507" s="22">
        <f>I507</f>
        <v>300.09000000000003</v>
      </c>
    </row>
    <row r="508" spans="1:22" ht="42.75" x14ac:dyDescent="0.2">
      <c r="A508" s="18">
        <v>54</v>
      </c>
      <c r="B508" s="18" t="str">
        <f>Source!F411</f>
        <v>1.23-2103-18-1/1</v>
      </c>
      <c r="C508" s="18" t="str">
        <f>Source!G411</f>
        <v>Техническое обслуживание термометра биметаллического, дилатометрического</v>
      </c>
      <c r="D508" s="19" t="str">
        <f>Source!H411</f>
        <v>шт.</v>
      </c>
      <c r="E508" s="9">
        <f>Source!I411</f>
        <v>4</v>
      </c>
      <c r="F508" s="21"/>
      <c r="G508" s="20"/>
      <c r="H508" s="9"/>
      <c r="I508" s="9"/>
      <c r="J508" s="21"/>
      <c r="K508" s="21"/>
      <c r="Q508">
        <f>ROUND((Source!BZ411/100)*ROUND((Source!AF411*Source!AV411)*Source!I411, 2), 2)</f>
        <v>1231.94</v>
      </c>
      <c r="R508">
        <f>Source!X411</f>
        <v>1231.94</v>
      </c>
      <c r="S508">
        <f>ROUND((Source!CA411/100)*ROUND((Source!AF411*Source!AV411)*Source!I411, 2), 2)</f>
        <v>175.99</v>
      </c>
      <c r="T508">
        <f>Source!Y411</f>
        <v>175.99</v>
      </c>
      <c r="U508">
        <f>ROUND((175/100)*ROUND((Source!AE411*Source!AV411)*Source!I411, 2), 2)</f>
        <v>0</v>
      </c>
      <c r="V508">
        <f>ROUND((108/100)*ROUND(Source!CS411*Source!I411, 2), 2)</f>
        <v>0</v>
      </c>
    </row>
    <row r="509" spans="1:22" ht="14.25" x14ac:dyDescent="0.2">
      <c r="A509" s="18"/>
      <c r="B509" s="18"/>
      <c r="C509" s="18" t="s">
        <v>1100</v>
      </c>
      <c r="D509" s="19"/>
      <c r="E509" s="9"/>
      <c r="F509" s="21">
        <f>Source!AO411</f>
        <v>219.99</v>
      </c>
      <c r="G509" s="20" t="str">
        <f>Source!DG411</f>
        <v>)*2</v>
      </c>
      <c r="H509" s="9">
        <f>Source!AV411</f>
        <v>1</v>
      </c>
      <c r="I509" s="9">
        <f>IF(Source!BA411&lt;&gt; 0, Source!BA411, 1)</f>
        <v>1</v>
      </c>
      <c r="J509" s="21">
        <f>Source!S411</f>
        <v>1759.92</v>
      </c>
      <c r="K509" s="21"/>
    </row>
    <row r="510" spans="1:22" ht="14.25" x14ac:dyDescent="0.2">
      <c r="A510" s="18"/>
      <c r="B510" s="18"/>
      <c r="C510" s="18" t="s">
        <v>1101</v>
      </c>
      <c r="D510" s="19"/>
      <c r="E510" s="9"/>
      <c r="F510" s="21">
        <f>Source!AL411</f>
        <v>19.14</v>
      </c>
      <c r="G510" s="20" t="str">
        <f>Source!DD411</f>
        <v>)*2</v>
      </c>
      <c r="H510" s="9">
        <f>Source!AW411</f>
        <v>1</v>
      </c>
      <c r="I510" s="9">
        <f>IF(Source!BC411&lt;&gt; 0, Source!BC411, 1)</f>
        <v>1</v>
      </c>
      <c r="J510" s="21">
        <f>Source!P411</f>
        <v>153.12</v>
      </c>
      <c r="K510" s="21"/>
    </row>
    <row r="511" spans="1:22" ht="14.25" x14ac:dyDescent="0.2">
      <c r="A511" s="18"/>
      <c r="B511" s="18"/>
      <c r="C511" s="18" t="s">
        <v>1102</v>
      </c>
      <c r="D511" s="19" t="s">
        <v>1103</v>
      </c>
      <c r="E511" s="9">
        <f>Source!AT411</f>
        <v>70</v>
      </c>
      <c r="F511" s="21"/>
      <c r="G511" s="20"/>
      <c r="H511" s="9"/>
      <c r="I511" s="9"/>
      <c r="J511" s="21">
        <f>SUM(R508:R510)</f>
        <v>1231.94</v>
      </c>
      <c r="K511" s="21"/>
    </row>
    <row r="512" spans="1:22" ht="14.25" x14ac:dyDescent="0.2">
      <c r="A512" s="18"/>
      <c r="B512" s="18"/>
      <c r="C512" s="18" t="s">
        <v>1104</v>
      </c>
      <c r="D512" s="19" t="s">
        <v>1103</v>
      </c>
      <c r="E512" s="9">
        <f>Source!AU411</f>
        <v>10</v>
      </c>
      <c r="F512" s="21"/>
      <c r="G512" s="20"/>
      <c r="H512" s="9"/>
      <c r="I512" s="9"/>
      <c r="J512" s="21">
        <f>SUM(T508:T511)</f>
        <v>175.99</v>
      </c>
      <c r="K512" s="21"/>
    </row>
    <row r="513" spans="1:22" ht="14.25" x14ac:dyDescent="0.2">
      <c r="A513" s="18"/>
      <c r="B513" s="18"/>
      <c r="C513" s="18" t="s">
        <v>1105</v>
      </c>
      <c r="D513" s="19" t="s">
        <v>1106</v>
      </c>
      <c r="E513" s="9">
        <f>Source!AQ411</f>
        <v>0.31</v>
      </c>
      <c r="F513" s="21"/>
      <c r="G513" s="20" t="str">
        <f>Source!DI411</f>
        <v>)*2</v>
      </c>
      <c r="H513" s="9">
        <f>Source!AV411</f>
        <v>1</v>
      </c>
      <c r="I513" s="9"/>
      <c r="J513" s="21"/>
      <c r="K513" s="21">
        <f>Source!U411</f>
        <v>2.48</v>
      </c>
    </row>
    <row r="514" spans="1:22" ht="15" x14ac:dyDescent="0.25">
      <c r="A514" s="23"/>
      <c r="B514" s="23"/>
      <c r="C514" s="23"/>
      <c r="D514" s="23"/>
      <c r="E514" s="23"/>
      <c r="F514" s="23"/>
      <c r="G514" s="23"/>
      <c r="H514" s="23"/>
      <c r="I514" s="44">
        <f>J509+J510+J511+J512</f>
        <v>3320.9700000000003</v>
      </c>
      <c r="J514" s="44"/>
      <c r="K514" s="24">
        <f>IF(Source!I411&lt;&gt;0, ROUND(I514/Source!I411, 2), 0)</f>
        <v>830.24</v>
      </c>
      <c r="P514" s="22">
        <f>I514</f>
        <v>3320.9700000000003</v>
      </c>
    </row>
    <row r="516" spans="1:22" ht="15" customHeight="1" x14ac:dyDescent="0.25">
      <c r="B516" s="47" t="str">
        <f>Source!G412</f>
        <v>Узел учета тепловой энергии</v>
      </c>
      <c r="C516" s="47"/>
      <c r="D516" s="47"/>
      <c r="E516" s="47"/>
      <c r="F516" s="47"/>
      <c r="G516" s="47"/>
      <c r="H516" s="47"/>
      <c r="I516" s="47"/>
      <c r="J516" s="47"/>
    </row>
    <row r="517" spans="1:22" ht="99.75" x14ac:dyDescent="0.2">
      <c r="A517" s="18">
        <v>55</v>
      </c>
      <c r="B517" s="18" t="str">
        <f>Source!F413</f>
        <v>1.23-2303-5-1/1</v>
      </c>
      <c r="C517" s="18" t="str">
        <f>Source!G413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приборный Термик-ШПК</v>
      </c>
      <c r="D517" s="19" t="str">
        <f>Source!H413</f>
        <v>шт.</v>
      </c>
      <c r="E517" s="9">
        <f>Source!I413</f>
        <v>1</v>
      </c>
      <c r="F517" s="21"/>
      <c r="G517" s="20"/>
      <c r="H517" s="9"/>
      <c r="I517" s="9"/>
      <c r="J517" s="21"/>
      <c r="K517" s="21"/>
      <c r="Q517">
        <f>ROUND((Source!BZ413/100)*ROUND((Source!AF413*Source!AV413)*Source!I413, 2), 2)</f>
        <v>1142.04</v>
      </c>
      <c r="R517">
        <f>Source!X413</f>
        <v>1142.04</v>
      </c>
      <c r="S517">
        <f>ROUND((Source!CA413/100)*ROUND((Source!AF413*Source!AV413)*Source!I413, 2), 2)</f>
        <v>163.15</v>
      </c>
      <c r="T517">
        <f>Source!Y413</f>
        <v>163.15</v>
      </c>
      <c r="U517">
        <f>ROUND((175/100)*ROUND((Source!AE413*Source!AV413)*Source!I413, 2), 2)</f>
        <v>0</v>
      </c>
      <c r="V517">
        <f>ROUND((108/100)*ROUND(Source!CS413*Source!I413, 2), 2)</f>
        <v>0</v>
      </c>
    </row>
    <row r="518" spans="1:22" ht="14.25" x14ac:dyDescent="0.2">
      <c r="A518" s="18"/>
      <c r="B518" s="18"/>
      <c r="C518" s="18" t="s">
        <v>1100</v>
      </c>
      <c r="D518" s="19"/>
      <c r="E518" s="9"/>
      <c r="F518" s="21">
        <f>Source!AO413</f>
        <v>815.74</v>
      </c>
      <c r="G518" s="20" t="str">
        <f>Source!DG413</f>
        <v>)*2</v>
      </c>
      <c r="H518" s="9">
        <f>Source!AV413</f>
        <v>1</v>
      </c>
      <c r="I518" s="9">
        <f>IF(Source!BA413&lt;&gt; 0, Source!BA413, 1)</f>
        <v>1</v>
      </c>
      <c r="J518" s="21">
        <f>Source!S413</f>
        <v>1631.48</v>
      </c>
      <c r="K518" s="21"/>
    </row>
    <row r="519" spans="1:22" ht="14.25" x14ac:dyDescent="0.2">
      <c r="A519" s="18"/>
      <c r="B519" s="18"/>
      <c r="C519" s="18" t="s">
        <v>1102</v>
      </c>
      <c r="D519" s="19" t="s">
        <v>1103</v>
      </c>
      <c r="E519" s="9">
        <f>Source!AT413</f>
        <v>70</v>
      </c>
      <c r="F519" s="21"/>
      <c r="G519" s="20"/>
      <c r="H519" s="9"/>
      <c r="I519" s="9"/>
      <c r="J519" s="21">
        <f>SUM(R517:R518)</f>
        <v>1142.04</v>
      </c>
      <c r="K519" s="21"/>
    </row>
    <row r="520" spans="1:22" ht="14.25" x14ac:dyDescent="0.2">
      <c r="A520" s="18"/>
      <c r="B520" s="18"/>
      <c r="C520" s="18" t="s">
        <v>1104</v>
      </c>
      <c r="D520" s="19" t="s">
        <v>1103</v>
      </c>
      <c r="E520" s="9">
        <f>Source!AU413</f>
        <v>10</v>
      </c>
      <c r="F520" s="21"/>
      <c r="G520" s="20"/>
      <c r="H520" s="9"/>
      <c r="I520" s="9"/>
      <c r="J520" s="21">
        <f>SUM(T517:T519)</f>
        <v>163.15</v>
      </c>
      <c r="K520" s="21"/>
    </row>
    <row r="521" spans="1:22" ht="14.25" x14ac:dyDescent="0.2">
      <c r="A521" s="18"/>
      <c r="B521" s="18"/>
      <c r="C521" s="18" t="s">
        <v>1105</v>
      </c>
      <c r="D521" s="19" t="s">
        <v>1106</v>
      </c>
      <c r="E521" s="9">
        <f>Source!AQ413</f>
        <v>1.06</v>
      </c>
      <c r="F521" s="21"/>
      <c r="G521" s="20" t="str">
        <f>Source!DI413</f>
        <v>)*2</v>
      </c>
      <c r="H521" s="9">
        <f>Source!AV413</f>
        <v>1</v>
      </c>
      <c r="I521" s="9"/>
      <c r="J521" s="21"/>
      <c r="K521" s="21">
        <f>Source!U413</f>
        <v>2.12</v>
      </c>
    </row>
    <row r="522" spans="1:22" ht="15" x14ac:dyDescent="0.25">
      <c r="A522" s="23"/>
      <c r="B522" s="23"/>
      <c r="C522" s="23"/>
      <c r="D522" s="23"/>
      <c r="E522" s="23"/>
      <c r="F522" s="23"/>
      <c r="G522" s="23"/>
      <c r="H522" s="23"/>
      <c r="I522" s="44">
        <f>J518+J519+J520</f>
        <v>2936.67</v>
      </c>
      <c r="J522" s="44"/>
      <c r="K522" s="24">
        <f>IF(Source!I413&lt;&gt;0, ROUND(I522/Source!I413, 2), 0)</f>
        <v>2936.67</v>
      </c>
      <c r="P522" s="22">
        <f>I522</f>
        <v>2936.67</v>
      </c>
    </row>
    <row r="523" spans="1:22" ht="99.75" x14ac:dyDescent="0.2">
      <c r="A523" s="18">
        <v>56</v>
      </c>
      <c r="B523" s="18" t="str">
        <f>Source!F414</f>
        <v>1.23-2103-8-1/1</v>
      </c>
      <c r="C523" s="18" t="str">
        <f>Source!G414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ЭРСВ-440Д В Ду 100 мм</v>
      </c>
      <c r="D523" s="19" t="str">
        <f>Source!H414</f>
        <v>шт.</v>
      </c>
      <c r="E523" s="9">
        <f>Source!I414</f>
        <v>2</v>
      </c>
      <c r="F523" s="21"/>
      <c r="G523" s="20"/>
      <c r="H523" s="9"/>
      <c r="I523" s="9"/>
      <c r="J523" s="21"/>
      <c r="K523" s="21"/>
      <c r="Q523">
        <f>ROUND((Source!BZ414/100)*ROUND((Source!AF414*Source!AV414)*Source!I414, 2), 2)</f>
        <v>2299.5300000000002</v>
      </c>
      <c r="R523">
        <f>Source!X414</f>
        <v>2299.5300000000002</v>
      </c>
      <c r="S523">
        <f>ROUND((Source!CA414/100)*ROUND((Source!AF414*Source!AV414)*Source!I414, 2), 2)</f>
        <v>328.5</v>
      </c>
      <c r="T523">
        <f>Source!Y414</f>
        <v>328.5</v>
      </c>
      <c r="U523">
        <f>ROUND((175/100)*ROUND((Source!AE414*Source!AV414)*Source!I414, 2), 2)</f>
        <v>0</v>
      </c>
      <c r="V523">
        <f>ROUND((108/100)*ROUND(Source!CS414*Source!I414, 2), 2)</f>
        <v>0</v>
      </c>
    </row>
    <row r="524" spans="1:22" ht="14.25" x14ac:dyDescent="0.2">
      <c r="A524" s="18"/>
      <c r="B524" s="18"/>
      <c r="C524" s="18" t="s">
        <v>1100</v>
      </c>
      <c r="D524" s="19"/>
      <c r="E524" s="9"/>
      <c r="F524" s="21">
        <f>Source!AO414</f>
        <v>821.26</v>
      </c>
      <c r="G524" s="20" t="str">
        <f>Source!DG414</f>
        <v>)*2</v>
      </c>
      <c r="H524" s="9">
        <f>Source!AV414</f>
        <v>1</v>
      </c>
      <c r="I524" s="9">
        <f>IF(Source!BA414&lt;&gt; 0, Source!BA414, 1)</f>
        <v>1</v>
      </c>
      <c r="J524" s="21">
        <f>Source!S414</f>
        <v>3285.04</v>
      </c>
      <c r="K524" s="21"/>
    </row>
    <row r="525" spans="1:22" ht="14.25" x14ac:dyDescent="0.2">
      <c r="A525" s="18"/>
      <c r="B525" s="18"/>
      <c r="C525" s="18" t="s">
        <v>1102</v>
      </c>
      <c r="D525" s="19" t="s">
        <v>1103</v>
      </c>
      <c r="E525" s="9">
        <f>Source!AT414</f>
        <v>70</v>
      </c>
      <c r="F525" s="21"/>
      <c r="G525" s="20"/>
      <c r="H525" s="9"/>
      <c r="I525" s="9"/>
      <c r="J525" s="21">
        <f>SUM(R523:R524)</f>
        <v>2299.5300000000002</v>
      </c>
      <c r="K525" s="21"/>
    </row>
    <row r="526" spans="1:22" ht="14.25" x14ac:dyDescent="0.2">
      <c r="A526" s="18"/>
      <c r="B526" s="18"/>
      <c r="C526" s="18" t="s">
        <v>1104</v>
      </c>
      <c r="D526" s="19" t="s">
        <v>1103</v>
      </c>
      <c r="E526" s="9">
        <f>Source!AU414</f>
        <v>10</v>
      </c>
      <c r="F526" s="21"/>
      <c r="G526" s="20"/>
      <c r="H526" s="9"/>
      <c r="I526" s="9"/>
      <c r="J526" s="21">
        <f>SUM(T523:T525)</f>
        <v>328.5</v>
      </c>
      <c r="K526" s="21"/>
    </row>
    <row r="527" spans="1:22" ht="14.25" x14ac:dyDescent="0.2">
      <c r="A527" s="18"/>
      <c r="B527" s="18"/>
      <c r="C527" s="18" t="s">
        <v>1105</v>
      </c>
      <c r="D527" s="19" t="s">
        <v>1106</v>
      </c>
      <c r="E527" s="9">
        <f>Source!AQ414</f>
        <v>1.33</v>
      </c>
      <c r="F527" s="21"/>
      <c r="G527" s="20" t="str">
        <f>Source!DI414</f>
        <v>)*2</v>
      </c>
      <c r="H527" s="9">
        <f>Source!AV414</f>
        <v>1</v>
      </c>
      <c r="I527" s="9"/>
      <c r="J527" s="21"/>
      <c r="K527" s="21">
        <f>Source!U414</f>
        <v>5.32</v>
      </c>
    </row>
    <row r="528" spans="1:22" ht="15" x14ac:dyDescent="0.25">
      <c r="A528" s="23"/>
      <c r="B528" s="23"/>
      <c r="C528" s="23"/>
      <c r="D528" s="23"/>
      <c r="E528" s="23"/>
      <c r="F528" s="23"/>
      <c r="G528" s="23"/>
      <c r="H528" s="23"/>
      <c r="I528" s="44">
        <f>J524+J525+J526</f>
        <v>5913.07</v>
      </c>
      <c r="J528" s="44"/>
      <c r="K528" s="24">
        <f>IF(Source!I414&lt;&gt;0, ROUND(I528/Source!I414, 2), 0)</f>
        <v>2956.54</v>
      </c>
      <c r="P528" s="22">
        <f>I528</f>
        <v>5913.07</v>
      </c>
    </row>
    <row r="529" spans="1:22" ht="42.75" x14ac:dyDescent="0.2">
      <c r="A529" s="18">
        <v>57</v>
      </c>
      <c r="B529" s="18" t="str">
        <f>Source!F415</f>
        <v>1.15-2203-7-3/1</v>
      </c>
      <c r="C529" s="18" t="str">
        <f>Source!G415</f>
        <v>Техническое обслуживание крана шарового латунного никелированного диаметром до 100 мм</v>
      </c>
      <c r="D529" s="19" t="str">
        <f>Source!H415</f>
        <v>10 шт.</v>
      </c>
      <c r="E529" s="9">
        <f>Source!I415</f>
        <v>0.6</v>
      </c>
      <c r="F529" s="21"/>
      <c r="G529" s="20"/>
      <c r="H529" s="9"/>
      <c r="I529" s="9"/>
      <c r="J529" s="21"/>
      <c r="K529" s="21"/>
      <c r="Q529">
        <f>ROUND((Source!BZ415/100)*ROUND((Source!AF415*Source!AV415)*Source!I415, 2), 2)</f>
        <v>238.6</v>
      </c>
      <c r="R529">
        <f>Source!X415</f>
        <v>238.6</v>
      </c>
      <c r="S529">
        <f>ROUND((Source!CA415/100)*ROUND((Source!AF415*Source!AV415)*Source!I415, 2), 2)</f>
        <v>34.090000000000003</v>
      </c>
      <c r="T529">
        <f>Source!Y415</f>
        <v>34.090000000000003</v>
      </c>
      <c r="U529">
        <f>ROUND((175/100)*ROUND((Source!AE415*Source!AV415)*Source!I415, 2), 2)</f>
        <v>0</v>
      </c>
      <c r="V529">
        <f>ROUND((108/100)*ROUND(Source!CS415*Source!I415, 2), 2)</f>
        <v>0</v>
      </c>
    </row>
    <row r="530" spans="1:22" x14ac:dyDescent="0.2">
      <c r="C530" s="28" t="str">
        <f>"Объем: "&amp;Source!I415&amp;"=(4+"&amp;"2)/"&amp;"10"</f>
        <v>Объем: 0,6=(4+2)/10</v>
      </c>
    </row>
    <row r="531" spans="1:22" ht="14.25" x14ac:dyDescent="0.2">
      <c r="A531" s="18"/>
      <c r="B531" s="18"/>
      <c r="C531" s="18" t="s">
        <v>1100</v>
      </c>
      <c r="D531" s="19"/>
      <c r="E531" s="9"/>
      <c r="F531" s="21">
        <f>Source!AO415</f>
        <v>568.09</v>
      </c>
      <c r="G531" s="20" t="str">
        <f>Source!DG415</f>
        <v/>
      </c>
      <c r="H531" s="9">
        <f>Source!AV415</f>
        <v>1</v>
      </c>
      <c r="I531" s="9">
        <f>IF(Source!BA415&lt;&gt; 0, Source!BA415, 1)</f>
        <v>1</v>
      </c>
      <c r="J531" s="21">
        <f>Source!S415</f>
        <v>340.85</v>
      </c>
      <c r="K531" s="21"/>
    </row>
    <row r="532" spans="1:22" ht="14.25" x14ac:dyDescent="0.2">
      <c r="A532" s="18"/>
      <c r="B532" s="18"/>
      <c r="C532" s="18" t="s">
        <v>1102</v>
      </c>
      <c r="D532" s="19" t="s">
        <v>1103</v>
      </c>
      <c r="E532" s="9">
        <f>Source!AT415</f>
        <v>70</v>
      </c>
      <c r="F532" s="21"/>
      <c r="G532" s="20"/>
      <c r="H532" s="9"/>
      <c r="I532" s="9"/>
      <c r="J532" s="21">
        <f>SUM(R529:R531)</f>
        <v>238.6</v>
      </c>
      <c r="K532" s="21"/>
    </row>
    <row r="533" spans="1:22" ht="14.25" x14ac:dyDescent="0.2">
      <c r="A533" s="18"/>
      <c r="B533" s="18"/>
      <c r="C533" s="18" t="s">
        <v>1104</v>
      </c>
      <c r="D533" s="19" t="s">
        <v>1103</v>
      </c>
      <c r="E533" s="9">
        <f>Source!AU415</f>
        <v>10</v>
      </c>
      <c r="F533" s="21"/>
      <c r="G533" s="20"/>
      <c r="H533" s="9"/>
      <c r="I533" s="9"/>
      <c r="J533" s="21">
        <f>SUM(T529:T532)</f>
        <v>34.090000000000003</v>
      </c>
      <c r="K533" s="21"/>
    </row>
    <row r="534" spans="1:22" ht="14.25" x14ac:dyDescent="0.2">
      <c r="A534" s="18"/>
      <c r="B534" s="18"/>
      <c r="C534" s="18" t="s">
        <v>1105</v>
      </c>
      <c r="D534" s="19" t="s">
        <v>1106</v>
      </c>
      <c r="E534" s="9">
        <f>Source!AQ415</f>
        <v>0.92</v>
      </c>
      <c r="F534" s="21"/>
      <c r="G534" s="20" t="str">
        <f>Source!DI415</f>
        <v/>
      </c>
      <c r="H534" s="9">
        <f>Source!AV415</f>
        <v>1</v>
      </c>
      <c r="I534" s="9"/>
      <c r="J534" s="21"/>
      <c r="K534" s="21">
        <f>Source!U415</f>
        <v>0.55200000000000005</v>
      </c>
    </row>
    <row r="535" spans="1:22" ht="15" x14ac:dyDescent="0.25">
      <c r="A535" s="23"/>
      <c r="B535" s="23"/>
      <c r="C535" s="23"/>
      <c r="D535" s="23"/>
      <c r="E535" s="23"/>
      <c r="F535" s="23"/>
      <c r="G535" s="23"/>
      <c r="H535" s="23"/>
      <c r="I535" s="44">
        <f>J531+J532+J533</f>
        <v>613.54000000000008</v>
      </c>
      <c r="J535" s="44"/>
      <c r="K535" s="24">
        <f>IF(Source!I415&lt;&gt;0, ROUND(I535/Source!I415, 2), 0)</f>
        <v>1022.57</v>
      </c>
      <c r="P535" s="22">
        <f>I535</f>
        <v>613.54000000000008</v>
      </c>
    </row>
    <row r="536" spans="1:22" ht="57" x14ac:dyDescent="0.2">
      <c r="A536" s="18">
        <v>58</v>
      </c>
      <c r="B536" s="18" t="str">
        <f>Source!F416</f>
        <v>1.23-2303-6-1/1</v>
      </c>
      <c r="C536" s="18" t="str">
        <f>Source!G416</f>
        <v>Техническое обслуживание термопреобразователя сопротивления с унифицированным выходным сигналом</v>
      </c>
      <c r="D536" s="19" t="str">
        <f>Source!H416</f>
        <v>шт.</v>
      </c>
      <c r="E536" s="9">
        <f>Source!I416</f>
        <v>2</v>
      </c>
      <c r="F536" s="21"/>
      <c r="G536" s="20"/>
      <c r="H536" s="9"/>
      <c r="I536" s="9"/>
      <c r="J536" s="21"/>
      <c r="K536" s="21"/>
      <c r="Q536">
        <f>ROUND((Source!BZ416/100)*ROUND((Source!AF416*Source!AV416)*Source!I416, 2), 2)</f>
        <v>933.91</v>
      </c>
      <c r="R536">
        <f>Source!X416</f>
        <v>933.91</v>
      </c>
      <c r="S536">
        <f>ROUND((Source!CA416/100)*ROUND((Source!AF416*Source!AV416)*Source!I416, 2), 2)</f>
        <v>133.41999999999999</v>
      </c>
      <c r="T536">
        <f>Source!Y416</f>
        <v>133.41999999999999</v>
      </c>
      <c r="U536">
        <f>ROUND((175/100)*ROUND((Source!AE416*Source!AV416)*Source!I416, 2), 2)</f>
        <v>0</v>
      </c>
      <c r="V536">
        <f>ROUND((108/100)*ROUND(Source!CS416*Source!I416, 2), 2)</f>
        <v>0</v>
      </c>
    </row>
    <row r="537" spans="1:22" ht="14.25" x14ac:dyDescent="0.2">
      <c r="A537" s="18"/>
      <c r="B537" s="18"/>
      <c r="C537" s="18" t="s">
        <v>1100</v>
      </c>
      <c r="D537" s="19"/>
      <c r="E537" s="9"/>
      <c r="F537" s="21">
        <f>Source!AO416</f>
        <v>333.54</v>
      </c>
      <c r="G537" s="20" t="str">
        <f>Source!DG416</f>
        <v>)*2</v>
      </c>
      <c r="H537" s="9">
        <f>Source!AV416</f>
        <v>1</v>
      </c>
      <c r="I537" s="9">
        <f>IF(Source!BA416&lt;&gt; 0, Source!BA416, 1)</f>
        <v>1</v>
      </c>
      <c r="J537" s="21">
        <f>Source!S416</f>
        <v>1334.16</v>
      </c>
      <c r="K537" s="21"/>
    </row>
    <row r="538" spans="1:22" ht="14.25" x14ac:dyDescent="0.2">
      <c r="A538" s="18"/>
      <c r="B538" s="18"/>
      <c r="C538" s="18" t="s">
        <v>1101</v>
      </c>
      <c r="D538" s="19"/>
      <c r="E538" s="9"/>
      <c r="F538" s="21">
        <f>Source!AL416</f>
        <v>20.239999999999998</v>
      </c>
      <c r="G538" s="20" t="str">
        <f>Source!DD416</f>
        <v>)*2</v>
      </c>
      <c r="H538" s="9">
        <f>Source!AW416</f>
        <v>1</v>
      </c>
      <c r="I538" s="9">
        <f>IF(Source!BC416&lt;&gt; 0, Source!BC416, 1)</f>
        <v>1</v>
      </c>
      <c r="J538" s="21">
        <f>Source!P416</f>
        <v>80.959999999999994</v>
      </c>
      <c r="K538" s="21"/>
    </row>
    <row r="539" spans="1:22" ht="14.25" x14ac:dyDescent="0.2">
      <c r="A539" s="18"/>
      <c r="B539" s="18"/>
      <c r="C539" s="18" t="s">
        <v>1102</v>
      </c>
      <c r="D539" s="19" t="s">
        <v>1103</v>
      </c>
      <c r="E539" s="9">
        <f>Source!AT416</f>
        <v>70</v>
      </c>
      <c r="F539" s="21"/>
      <c r="G539" s="20"/>
      <c r="H539" s="9"/>
      <c r="I539" s="9"/>
      <c r="J539" s="21">
        <f>SUM(R536:R538)</f>
        <v>933.91</v>
      </c>
      <c r="K539" s="21"/>
    </row>
    <row r="540" spans="1:22" ht="14.25" x14ac:dyDescent="0.2">
      <c r="A540" s="18"/>
      <c r="B540" s="18"/>
      <c r="C540" s="18" t="s">
        <v>1104</v>
      </c>
      <c r="D540" s="19" t="s">
        <v>1103</v>
      </c>
      <c r="E540" s="9">
        <f>Source!AU416</f>
        <v>10</v>
      </c>
      <c r="F540" s="21"/>
      <c r="G540" s="20"/>
      <c r="H540" s="9"/>
      <c r="I540" s="9"/>
      <c r="J540" s="21">
        <f>SUM(T536:T539)</f>
        <v>133.41999999999999</v>
      </c>
      <c r="K540" s="21"/>
    </row>
    <row r="541" spans="1:22" ht="14.25" x14ac:dyDescent="0.2">
      <c r="A541" s="18"/>
      <c r="B541" s="18"/>
      <c r="C541" s="18" t="s">
        <v>1105</v>
      </c>
      <c r="D541" s="19" t="s">
        <v>1106</v>
      </c>
      <c r="E541" s="9">
        <f>Source!AQ416</f>
        <v>0.47</v>
      </c>
      <c r="F541" s="21"/>
      <c r="G541" s="20" t="str">
        <f>Source!DI416</f>
        <v>)*2</v>
      </c>
      <c r="H541" s="9">
        <f>Source!AV416</f>
        <v>1</v>
      </c>
      <c r="I541" s="9"/>
      <c r="J541" s="21"/>
      <c r="K541" s="21">
        <f>Source!U416</f>
        <v>1.88</v>
      </c>
    </row>
    <row r="542" spans="1:22" ht="15" x14ac:dyDescent="0.25">
      <c r="A542" s="23"/>
      <c r="B542" s="23"/>
      <c r="C542" s="23"/>
      <c r="D542" s="23"/>
      <c r="E542" s="23"/>
      <c r="F542" s="23"/>
      <c r="G542" s="23"/>
      <c r="H542" s="23"/>
      <c r="I542" s="44">
        <f>J537+J538+J539+J540</f>
        <v>2482.4500000000003</v>
      </c>
      <c r="J542" s="44"/>
      <c r="K542" s="24">
        <f>IF(Source!I416&lt;&gt;0, ROUND(I542/Source!I416, 2), 0)</f>
        <v>1241.23</v>
      </c>
      <c r="P542" s="22">
        <f>I542</f>
        <v>2482.4500000000003</v>
      </c>
    </row>
    <row r="543" spans="1:22" ht="42.75" x14ac:dyDescent="0.2">
      <c r="A543" s="18">
        <v>59</v>
      </c>
      <c r="B543" s="18" t="str">
        <f>Source!F417</f>
        <v>1.23-2103-27-1/1</v>
      </c>
      <c r="C543" s="18" t="str">
        <f>Source!G417</f>
        <v>Техническое обслуживание преобразователя давления МТ100 и аналогов</v>
      </c>
      <c r="D543" s="19" t="str">
        <f>Source!H417</f>
        <v>10 шт.</v>
      </c>
      <c r="E543" s="9">
        <f>Source!I417</f>
        <v>0.2</v>
      </c>
      <c r="F543" s="21"/>
      <c r="G543" s="20"/>
      <c r="H543" s="9"/>
      <c r="I543" s="9"/>
      <c r="J543" s="21"/>
      <c r="K543" s="21"/>
      <c r="Q543">
        <f>ROUND((Source!BZ417/100)*ROUND((Source!AF417*Source!AV417)*Source!I417, 2), 2)</f>
        <v>2483.81</v>
      </c>
      <c r="R543">
        <f>Source!X417</f>
        <v>2483.81</v>
      </c>
      <c r="S543">
        <f>ROUND((Source!CA417/100)*ROUND((Source!AF417*Source!AV417)*Source!I417, 2), 2)</f>
        <v>354.83</v>
      </c>
      <c r="T543">
        <f>Source!Y417</f>
        <v>354.83</v>
      </c>
      <c r="U543">
        <f>ROUND((175/100)*ROUND((Source!AE417*Source!AV417)*Source!I417, 2), 2)</f>
        <v>0</v>
      </c>
      <c r="V543">
        <f>ROUND((108/100)*ROUND(Source!CS417*Source!I417, 2), 2)</f>
        <v>0</v>
      </c>
    </row>
    <row r="544" spans="1:22" x14ac:dyDescent="0.2">
      <c r="C544" s="28" t="str">
        <f>"Объем: "&amp;Source!I417&amp;"=2/"&amp;"10"</f>
        <v>Объем: 0,2=2/10</v>
      </c>
    </row>
    <row r="545" spans="1:22" ht="14.25" x14ac:dyDescent="0.2">
      <c r="A545" s="18"/>
      <c r="B545" s="18"/>
      <c r="C545" s="18" t="s">
        <v>1100</v>
      </c>
      <c r="D545" s="19"/>
      <c r="E545" s="9"/>
      <c r="F545" s="21">
        <f>Source!AO417</f>
        <v>8870.75</v>
      </c>
      <c r="G545" s="20" t="str">
        <f>Source!DG417</f>
        <v>)*2</v>
      </c>
      <c r="H545" s="9">
        <f>Source!AV417</f>
        <v>1</v>
      </c>
      <c r="I545" s="9">
        <f>IF(Source!BA417&lt;&gt; 0, Source!BA417, 1)</f>
        <v>1</v>
      </c>
      <c r="J545" s="21">
        <f>Source!S417</f>
        <v>3548.3</v>
      </c>
      <c r="K545" s="21"/>
    </row>
    <row r="546" spans="1:22" ht="14.25" x14ac:dyDescent="0.2">
      <c r="A546" s="18"/>
      <c r="B546" s="18"/>
      <c r="C546" s="18" t="s">
        <v>1101</v>
      </c>
      <c r="D546" s="19"/>
      <c r="E546" s="9"/>
      <c r="F546" s="21">
        <f>Source!AL417</f>
        <v>17.39</v>
      </c>
      <c r="G546" s="20" t="str">
        <f>Source!DD417</f>
        <v>)*2</v>
      </c>
      <c r="H546" s="9">
        <f>Source!AW417</f>
        <v>1</v>
      </c>
      <c r="I546" s="9">
        <f>IF(Source!BC417&lt;&gt; 0, Source!BC417, 1)</f>
        <v>1</v>
      </c>
      <c r="J546" s="21">
        <f>Source!P417</f>
        <v>6.96</v>
      </c>
      <c r="K546" s="21"/>
    </row>
    <row r="547" spans="1:22" ht="14.25" x14ac:dyDescent="0.2">
      <c r="A547" s="18"/>
      <c r="B547" s="18"/>
      <c r="C547" s="18" t="s">
        <v>1102</v>
      </c>
      <c r="D547" s="19" t="s">
        <v>1103</v>
      </c>
      <c r="E547" s="9">
        <f>Source!AT417</f>
        <v>70</v>
      </c>
      <c r="F547" s="21"/>
      <c r="G547" s="20"/>
      <c r="H547" s="9"/>
      <c r="I547" s="9"/>
      <c r="J547" s="21">
        <f>SUM(R543:R546)</f>
        <v>2483.81</v>
      </c>
      <c r="K547" s="21"/>
    </row>
    <row r="548" spans="1:22" ht="14.25" x14ac:dyDescent="0.2">
      <c r="A548" s="18"/>
      <c r="B548" s="18"/>
      <c r="C548" s="18" t="s">
        <v>1104</v>
      </c>
      <c r="D548" s="19" t="s">
        <v>1103</v>
      </c>
      <c r="E548" s="9">
        <f>Source!AU417</f>
        <v>10</v>
      </c>
      <c r="F548" s="21"/>
      <c r="G548" s="20"/>
      <c r="H548" s="9"/>
      <c r="I548" s="9"/>
      <c r="J548" s="21">
        <f>SUM(T543:T547)</f>
        <v>354.83</v>
      </c>
      <c r="K548" s="21"/>
    </row>
    <row r="549" spans="1:22" ht="14.25" x14ac:dyDescent="0.2">
      <c r="A549" s="18"/>
      <c r="B549" s="18"/>
      <c r="C549" s="18" t="s">
        <v>1105</v>
      </c>
      <c r="D549" s="19" t="s">
        <v>1106</v>
      </c>
      <c r="E549" s="9">
        <f>Source!AQ417</f>
        <v>12.5</v>
      </c>
      <c r="F549" s="21"/>
      <c r="G549" s="20" t="str">
        <f>Source!DI417</f>
        <v>)*2</v>
      </c>
      <c r="H549" s="9">
        <f>Source!AV417</f>
        <v>1</v>
      </c>
      <c r="I549" s="9"/>
      <c r="J549" s="21"/>
      <c r="K549" s="21">
        <f>Source!U417</f>
        <v>5</v>
      </c>
    </row>
    <row r="550" spans="1:22" ht="15" x14ac:dyDescent="0.25">
      <c r="A550" s="23"/>
      <c r="B550" s="23"/>
      <c r="C550" s="23"/>
      <c r="D550" s="23"/>
      <c r="E550" s="23"/>
      <c r="F550" s="23"/>
      <c r="G550" s="23"/>
      <c r="H550" s="23"/>
      <c r="I550" s="44">
        <f>J545+J546+J547+J548</f>
        <v>6393.9</v>
      </c>
      <c r="J550" s="44"/>
      <c r="K550" s="24">
        <f>IF(Source!I417&lt;&gt;0, ROUND(I550/Source!I417, 2), 0)</f>
        <v>31969.5</v>
      </c>
      <c r="P550" s="22">
        <f>I550</f>
        <v>6393.9</v>
      </c>
    </row>
    <row r="551" spans="1:22" ht="42.75" x14ac:dyDescent="0.2">
      <c r="A551" s="18">
        <v>60</v>
      </c>
      <c r="B551" s="18" t="str">
        <f>Source!F418</f>
        <v>1.15-2203-7-1/1</v>
      </c>
      <c r="C551" s="18" t="str">
        <f>Source!G418</f>
        <v>Техническое обслуживание крана шарового латунного никелированного диаметром до 25 мм</v>
      </c>
      <c r="D551" s="19" t="str">
        <f>Source!H418</f>
        <v>10 шт.</v>
      </c>
      <c r="E551" s="9">
        <f>Source!I418</f>
        <v>1.2</v>
      </c>
      <c r="F551" s="21"/>
      <c r="G551" s="20"/>
      <c r="H551" s="9"/>
      <c r="I551" s="9"/>
      <c r="J551" s="21"/>
      <c r="K551" s="21"/>
      <c r="Q551">
        <f>ROUND((Source!BZ418/100)*ROUND((Source!AF418*Source!AV418)*Source!I418, 2), 2)</f>
        <v>233.41</v>
      </c>
      <c r="R551">
        <f>Source!X418</f>
        <v>233.41</v>
      </c>
      <c r="S551">
        <f>ROUND((Source!CA418/100)*ROUND((Source!AF418*Source!AV418)*Source!I418, 2), 2)</f>
        <v>33.340000000000003</v>
      </c>
      <c r="T551">
        <f>Source!Y418</f>
        <v>33.340000000000003</v>
      </c>
      <c r="U551">
        <f>ROUND((175/100)*ROUND((Source!AE418*Source!AV418)*Source!I418, 2), 2)</f>
        <v>0</v>
      </c>
      <c r="V551">
        <f>ROUND((108/100)*ROUND(Source!CS418*Source!I418, 2), 2)</f>
        <v>0</v>
      </c>
    </row>
    <row r="552" spans="1:22" x14ac:dyDescent="0.2">
      <c r="C552" s="28" t="str">
        <f>"Объем: "&amp;Source!I418&amp;"=(4+"&amp;"6+"&amp;"2)/"&amp;"10"</f>
        <v>Объем: 1,2=(4+6+2)/10</v>
      </c>
    </row>
    <row r="553" spans="1:22" ht="14.25" x14ac:dyDescent="0.2">
      <c r="A553" s="18"/>
      <c r="B553" s="18"/>
      <c r="C553" s="18" t="s">
        <v>1100</v>
      </c>
      <c r="D553" s="19"/>
      <c r="E553" s="9"/>
      <c r="F553" s="21">
        <f>Source!AO418</f>
        <v>277.87</v>
      </c>
      <c r="G553" s="20" t="str">
        <f>Source!DG418</f>
        <v/>
      </c>
      <c r="H553" s="9">
        <f>Source!AV418</f>
        <v>1</v>
      </c>
      <c r="I553" s="9">
        <f>IF(Source!BA418&lt;&gt; 0, Source!BA418, 1)</f>
        <v>1</v>
      </c>
      <c r="J553" s="21">
        <f>Source!S418</f>
        <v>333.44</v>
      </c>
      <c r="K553" s="21"/>
    </row>
    <row r="554" spans="1:22" ht="14.25" x14ac:dyDescent="0.2">
      <c r="A554" s="18"/>
      <c r="B554" s="18"/>
      <c r="C554" s="18" t="s">
        <v>1102</v>
      </c>
      <c r="D554" s="19" t="s">
        <v>1103</v>
      </c>
      <c r="E554" s="9">
        <f>Source!AT418</f>
        <v>70</v>
      </c>
      <c r="F554" s="21"/>
      <c r="G554" s="20"/>
      <c r="H554" s="9"/>
      <c r="I554" s="9"/>
      <c r="J554" s="21">
        <f>SUM(R551:R553)</f>
        <v>233.41</v>
      </c>
      <c r="K554" s="21"/>
    </row>
    <row r="555" spans="1:22" ht="14.25" x14ac:dyDescent="0.2">
      <c r="A555" s="18"/>
      <c r="B555" s="18"/>
      <c r="C555" s="18" t="s">
        <v>1104</v>
      </c>
      <c r="D555" s="19" t="s">
        <v>1103</v>
      </c>
      <c r="E555" s="9">
        <f>Source!AU418</f>
        <v>10</v>
      </c>
      <c r="F555" s="21"/>
      <c r="G555" s="20"/>
      <c r="H555" s="9"/>
      <c r="I555" s="9"/>
      <c r="J555" s="21">
        <f>SUM(T551:T554)</f>
        <v>33.340000000000003</v>
      </c>
      <c r="K555" s="21"/>
    </row>
    <row r="556" spans="1:22" ht="14.25" x14ac:dyDescent="0.2">
      <c r="A556" s="18"/>
      <c r="B556" s="18"/>
      <c r="C556" s="18" t="s">
        <v>1105</v>
      </c>
      <c r="D556" s="19" t="s">
        <v>1106</v>
      </c>
      <c r="E556" s="9">
        <f>Source!AQ418</f>
        <v>0.45</v>
      </c>
      <c r="F556" s="21"/>
      <c r="G556" s="20" t="str">
        <f>Source!DI418</f>
        <v/>
      </c>
      <c r="H556" s="9">
        <f>Source!AV418</f>
        <v>1</v>
      </c>
      <c r="I556" s="9"/>
      <c r="J556" s="21"/>
      <c r="K556" s="21">
        <f>Source!U418</f>
        <v>0.54</v>
      </c>
    </row>
    <row r="557" spans="1:22" ht="15" x14ac:dyDescent="0.25">
      <c r="A557" s="23"/>
      <c r="B557" s="23"/>
      <c r="C557" s="23"/>
      <c r="D557" s="23"/>
      <c r="E557" s="23"/>
      <c r="F557" s="23"/>
      <c r="G557" s="23"/>
      <c r="H557" s="23"/>
      <c r="I557" s="44">
        <f>J553+J554+J555</f>
        <v>600.19000000000005</v>
      </c>
      <c r="J557" s="44"/>
      <c r="K557" s="24">
        <f>IF(Source!I418&lt;&gt;0, ROUND(I557/Source!I418, 2), 0)</f>
        <v>500.16</v>
      </c>
      <c r="P557" s="22">
        <f>I557</f>
        <v>600.19000000000005</v>
      </c>
    </row>
    <row r="558" spans="1:22" ht="42.75" x14ac:dyDescent="0.2">
      <c r="A558" s="18">
        <v>61</v>
      </c>
      <c r="B558" s="18" t="str">
        <f>Source!F419</f>
        <v>1.15-2303-5-4/1</v>
      </c>
      <c r="C558" s="18" t="str">
        <f>Source!G419</f>
        <v>Техническое обслуживание фильтров водяных фланцевых сетчатых диаметром до 200 мм</v>
      </c>
      <c r="D558" s="19" t="str">
        <f>Source!H419</f>
        <v>10 шт.</v>
      </c>
      <c r="E558" s="9">
        <f>Source!I419</f>
        <v>0.2</v>
      </c>
      <c r="F558" s="21"/>
      <c r="G558" s="20"/>
      <c r="H558" s="9"/>
      <c r="I558" s="9"/>
      <c r="J558" s="21"/>
      <c r="K558" s="21"/>
      <c r="Q558">
        <f>ROUND((Source!BZ419/100)*ROUND((Source!AF419*Source!AV419)*Source!I419, 2), 2)</f>
        <v>601.29999999999995</v>
      </c>
      <c r="R558">
        <f>Source!X419</f>
        <v>601.29999999999995</v>
      </c>
      <c r="S558">
        <f>ROUND((Source!CA419/100)*ROUND((Source!AF419*Source!AV419)*Source!I419, 2), 2)</f>
        <v>85.9</v>
      </c>
      <c r="T558">
        <f>Source!Y419</f>
        <v>85.9</v>
      </c>
      <c r="U558">
        <f>ROUND((175/100)*ROUND((Source!AE419*Source!AV419)*Source!I419, 2), 2)</f>
        <v>0</v>
      </c>
      <c r="V558">
        <f>ROUND((108/100)*ROUND(Source!CS419*Source!I419, 2), 2)</f>
        <v>0</v>
      </c>
    </row>
    <row r="559" spans="1:22" x14ac:dyDescent="0.2">
      <c r="C559" s="28" t="str">
        <f>"Объем: "&amp;Source!I419&amp;"=2/"&amp;"10"</f>
        <v>Объем: 0,2=2/10</v>
      </c>
    </row>
    <row r="560" spans="1:22" ht="14.25" x14ac:dyDescent="0.2">
      <c r="A560" s="18"/>
      <c r="B560" s="18"/>
      <c r="C560" s="18" t="s">
        <v>1100</v>
      </c>
      <c r="D560" s="19"/>
      <c r="E560" s="9"/>
      <c r="F560" s="21">
        <f>Source!AO419</f>
        <v>4294.9799999999996</v>
      </c>
      <c r="G560" s="20" t="str">
        <f>Source!DG419</f>
        <v/>
      </c>
      <c r="H560" s="9">
        <f>Source!AV419</f>
        <v>1</v>
      </c>
      <c r="I560" s="9">
        <f>IF(Source!BA419&lt;&gt; 0, Source!BA419, 1)</f>
        <v>1</v>
      </c>
      <c r="J560" s="21">
        <f>Source!S419</f>
        <v>859</v>
      </c>
      <c r="K560" s="21"/>
    </row>
    <row r="561" spans="1:22" ht="14.25" x14ac:dyDescent="0.2">
      <c r="A561" s="18"/>
      <c r="B561" s="18"/>
      <c r="C561" s="18" t="s">
        <v>1101</v>
      </c>
      <c r="D561" s="19"/>
      <c r="E561" s="9"/>
      <c r="F561" s="21">
        <f>Source!AL419</f>
        <v>2.52</v>
      </c>
      <c r="G561" s="20" t="str">
        <f>Source!DD419</f>
        <v/>
      </c>
      <c r="H561" s="9">
        <f>Source!AW419</f>
        <v>1</v>
      </c>
      <c r="I561" s="9">
        <f>IF(Source!BC419&lt;&gt; 0, Source!BC419, 1)</f>
        <v>1</v>
      </c>
      <c r="J561" s="21">
        <f>Source!P419</f>
        <v>0.5</v>
      </c>
      <c r="K561" s="21"/>
    </row>
    <row r="562" spans="1:22" ht="57" x14ac:dyDescent="0.2">
      <c r="A562" s="18" t="s">
        <v>361</v>
      </c>
      <c r="B562" s="18" t="str">
        <f>Source!F420</f>
        <v>21.26-1-115</v>
      </c>
      <c r="C562" s="18" t="str">
        <f>Source!G420</f>
        <v>Прокладки из терморасширенного графита для обслуживания фильтра сетчатого чугунного фланцевого диаметром 200 мм</v>
      </c>
      <c r="D562" s="19" t="str">
        <f>Source!H420</f>
        <v>шт.</v>
      </c>
      <c r="E562" s="9">
        <f>Source!I420</f>
        <v>2</v>
      </c>
      <c r="F562" s="21">
        <f>Source!AK420</f>
        <v>739.81</v>
      </c>
      <c r="G562" s="30" t="s">
        <v>3</v>
      </c>
      <c r="H562" s="9">
        <f>Source!AW420</f>
        <v>1</v>
      </c>
      <c r="I562" s="9">
        <f>IF(Source!BC420&lt;&gt; 0, Source!BC420, 1)</f>
        <v>1</v>
      </c>
      <c r="J562" s="21">
        <f>Source!O420</f>
        <v>1479.62</v>
      </c>
      <c r="K562" s="21"/>
      <c r="Q562">
        <f>ROUND((Source!BZ420/100)*ROUND((Source!AF420*Source!AV420)*Source!I420, 2), 2)</f>
        <v>0</v>
      </c>
      <c r="R562">
        <f>Source!X420</f>
        <v>0</v>
      </c>
      <c r="S562">
        <f>ROUND((Source!CA420/100)*ROUND((Source!AF420*Source!AV420)*Source!I420, 2), 2)</f>
        <v>0</v>
      </c>
      <c r="T562">
        <f>Source!Y420</f>
        <v>0</v>
      </c>
      <c r="U562">
        <f>ROUND((175/100)*ROUND((Source!AE420*Source!AV420)*Source!I420, 2), 2)</f>
        <v>0</v>
      </c>
      <c r="V562">
        <f>ROUND((108/100)*ROUND(Source!CS420*Source!I420, 2), 2)</f>
        <v>0</v>
      </c>
    </row>
    <row r="563" spans="1:22" ht="14.25" x14ac:dyDescent="0.2">
      <c r="A563" s="18"/>
      <c r="B563" s="18"/>
      <c r="C563" s="18" t="s">
        <v>1102</v>
      </c>
      <c r="D563" s="19" t="s">
        <v>1103</v>
      </c>
      <c r="E563" s="9">
        <f>Source!AT419</f>
        <v>70</v>
      </c>
      <c r="F563" s="21"/>
      <c r="G563" s="20"/>
      <c r="H563" s="9"/>
      <c r="I563" s="9"/>
      <c r="J563" s="21">
        <f>SUM(R558:R562)</f>
        <v>601.29999999999995</v>
      </c>
      <c r="K563" s="21"/>
    </row>
    <row r="564" spans="1:22" ht="14.25" x14ac:dyDescent="0.2">
      <c r="A564" s="18"/>
      <c r="B564" s="18"/>
      <c r="C564" s="18" t="s">
        <v>1104</v>
      </c>
      <c r="D564" s="19" t="s">
        <v>1103</v>
      </c>
      <c r="E564" s="9">
        <f>Source!AU419</f>
        <v>10</v>
      </c>
      <c r="F564" s="21"/>
      <c r="G564" s="20"/>
      <c r="H564" s="9"/>
      <c r="I564" s="9"/>
      <c r="J564" s="21">
        <f>SUM(T558:T563)</f>
        <v>85.9</v>
      </c>
      <c r="K564" s="21"/>
    </row>
    <row r="565" spans="1:22" ht="14.25" x14ac:dyDescent="0.2">
      <c r="A565" s="18"/>
      <c r="B565" s="18"/>
      <c r="C565" s="18" t="s">
        <v>1105</v>
      </c>
      <c r="D565" s="19" t="s">
        <v>1106</v>
      </c>
      <c r="E565" s="9">
        <f>Source!AQ419</f>
        <v>7.64</v>
      </c>
      <c r="F565" s="21"/>
      <c r="G565" s="20" t="str">
        <f>Source!DI419</f>
        <v/>
      </c>
      <c r="H565" s="9">
        <f>Source!AV419</f>
        <v>1</v>
      </c>
      <c r="I565" s="9"/>
      <c r="J565" s="21"/>
      <c r="K565" s="21">
        <f>Source!U419</f>
        <v>1.528</v>
      </c>
    </row>
    <row r="566" spans="1:22" ht="15" x14ac:dyDescent="0.25">
      <c r="A566" s="23"/>
      <c r="B566" s="23"/>
      <c r="C566" s="23"/>
      <c r="D566" s="23"/>
      <c r="E566" s="23"/>
      <c r="F566" s="23"/>
      <c r="G566" s="23"/>
      <c r="H566" s="23"/>
      <c r="I566" s="44">
        <f>J560+J561+J563+J564+SUM(J562:J562)</f>
        <v>3026.3199999999997</v>
      </c>
      <c r="J566" s="44"/>
      <c r="K566" s="24">
        <f>IF(Source!I419&lt;&gt;0, ROUND(I566/Source!I419, 2), 0)</f>
        <v>15131.6</v>
      </c>
      <c r="P566" s="22">
        <f>I566</f>
        <v>3026.3199999999997</v>
      </c>
    </row>
    <row r="567" spans="1:22" ht="42.75" x14ac:dyDescent="0.2">
      <c r="A567" s="18">
        <v>62</v>
      </c>
      <c r="B567" s="18" t="str">
        <f>Source!F424</f>
        <v>1.23-2103-18-1/1</v>
      </c>
      <c r="C567" s="18" t="str">
        <f>Source!G424</f>
        <v>Техническое обслуживание термометра биметаллического, дилатометрического</v>
      </c>
      <c r="D567" s="19" t="str">
        <f>Source!H424</f>
        <v>шт.</v>
      </c>
      <c r="E567" s="9">
        <f>Source!I424</f>
        <v>6</v>
      </c>
      <c r="F567" s="21"/>
      <c r="G567" s="20"/>
      <c r="H567" s="9"/>
      <c r="I567" s="9"/>
      <c r="J567" s="21"/>
      <c r="K567" s="21"/>
      <c r="Q567">
        <f>ROUND((Source!BZ424/100)*ROUND((Source!AF424*Source!AV424)*Source!I424, 2), 2)</f>
        <v>1847.92</v>
      </c>
      <c r="R567">
        <f>Source!X424</f>
        <v>1847.92</v>
      </c>
      <c r="S567">
        <f>ROUND((Source!CA424/100)*ROUND((Source!AF424*Source!AV424)*Source!I424, 2), 2)</f>
        <v>263.99</v>
      </c>
      <c r="T567">
        <f>Source!Y424</f>
        <v>263.99</v>
      </c>
      <c r="U567">
        <f>ROUND((175/100)*ROUND((Source!AE424*Source!AV424)*Source!I424, 2), 2)</f>
        <v>0</v>
      </c>
      <c r="V567">
        <f>ROUND((108/100)*ROUND(Source!CS424*Source!I424, 2), 2)</f>
        <v>0</v>
      </c>
    </row>
    <row r="568" spans="1:22" x14ac:dyDescent="0.2">
      <c r="C568" s="28" t="str">
        <f>"Объем: "&amp;Source!I424&amp;"=2+"&amp;"4"</f>
        <v>Объем: 6=2+4</v>
      </c>
    </row>
    <row r="569" spans="1:22" ht="14.25" x14ac:dyDescent="0.2">
      <c r="A569" s="18"/>
      <c r="B569" s="18"/>
      <c r="C569" s="18" t="s">
        <v>1100</v>
      </c>
      <c r="D569" s="19"/>
      <c r="E569" s="9"/>
      <c r="F569" s="21">
        <f>Source!AO424</f>
        <v>219.99</v>
      </c>
      <c r="G569" s="20" t="str">
        <f>Source!DG424</f>
        <v>)*2</v>
      </c>
      <c r="H569" s="9">
        <f>Source!AV424</f>
        <v>1</v>
      </c>
      <c r="I569" s="9">
        <f>IF(Source!BA424&lt;&gt; 0, Source!BA424, 1)</f>
        <v>1</v>
      </c>
      <c r="J569" s="21">
        <f>Source!S424</f>
        <v>2639.88</v>
      </c>
      <c r="K569" s="21"/>
    </row>
    <row r="570" spans="1:22" ht="14.25" x14ac:dyDescent="0.2">
      <c r="A570" s="18"/>
      <c r="B570" s="18"/>
      <c r="C570" s="18" t="s">
        <v>1101</v>
      </c>
      <c r="D570" s="19"/>
      <c r="E570" s="9"/>
      <c r="F570" s="21">
        <f>Source!AL424</f>
        <v>19.14</v>
      </c>
      <c r="G570" s="20" t="str">
        <f>Source!DD424</f>
        <v>)*2</v>
      </c>
      <c r="H570" s="9">
        <f>Source!AW424</f>
        <v>1</v>
      </c>
      <c r="I570" s="9">
        <f>IF(Source!BC424&lt;&gt; 0, Source!BC424, 1)</f>
        <v>1</v>
      </c>
      <c r="J570" s="21">
        <f>Source!P424</f>
        <v>229.68</v>
      </c>
      <c r="K570" s="21"/>
    </row>
    <row r="571" spans="1:22" ht="14.25" x14ac:dyDescent="0.2">
      <c r="A571" s="18"/>
      <c r="B571" s="18"/>
      <c r="C571" s="18" t="s">
        <v>1102</v>
      </c>
      <c r="D571" s="19" t="s">
        <v>1103</v>
      </c>
      <c r="E571" s="9">
        <f>Source!AT424</f>
        <v>70</v>
      </c>
      <c r="F571" s="21"/>
      <c r="G571" s="20"/>
      <c r="H571" s="9"/>
      <c r="I571" s="9"/>
      <c r="J571" s="21">
        <f>SUM(R567:R570)</f>
        <v>1847.92</v>
      </c>
      <c r="K571" s="21"/>
    </row>
    <row r="572" spans="1:22" ht="14.25" x14ac:dyDescent="0.2">
      <c r="A572" s="18"/>
      <c r="B572" s="18"/>
      <c r="C572" s="18" t="s">
        <v>1104</v>
      </c>
      <c r="D572" s="19" t="s">
        <v>1103</v>
      </c>
      <c r="E572" s="9">
        <f>Source!AU424</f>
        <v>10</v>
      </c>
      <c r="F572" s="21"/>
      <c r="G572" s="20"/>
      <c r="H572" s="9"/>
      <c r="I572" s="9"/>
      <c r="J572" s="21">
        <f>SUM(T567:T571)</f>
        <v>263.99</v>
      </c>
      <c r="K572" s="21"/>
    </row>
    <row r="573" spans="1:22" ht="14.25" x14ac:dyDescent="0.2">
      <c r="A573" s="18"/>
      <c r="B573" s="18"/>
      <c r="C573" s="18" t="s">
        <v>1105</v>
      </c>
      <c r="D573" s="19" t="s">
        <v>1106</v>
      </c>
      <c r="E573" s="9">
        <f>Source!AQ424</f>
        <v>0.31</v>
      </c>
      <c r="F573" s="21"/>
      <c r="G573" s="20" t="str">
        <f>Source!DI424</f>
        <v>)*2</v>
      </c>
      <c r="H573" s="9">
        <f>Source!AV424</f>
        <v>1</v>
      </c>
      <c r="I573" s="9"/>
      <c r="J573" s="21"/>
      <c r="K573" s="21">
        <f>Source!U424</f>
        <v>3.7199999999999998</v>
      </c>
    </row>
    <row r="574" spans="1:22" ht="15" x14ac:dyDescent="0.25">
      <c r="A574" s="23"/>
      <c r="B574" s="23"/>
      <c r="C574" s="23"/>
      <c r="D574" s="23"/>
      <c r="E574" s="23"/>
      <c r="F574" s="23"/>
      <c r="G574" s="23"/>
      <c r="H574" s="23"/>
      <c r="I574" s="44">
        <f>J569+J570+J571+J572</f>
        <v>4981.4699999999993</v>
      </c>
      <c r="J574" s="44"/>
      <c r="K574" s="24">
        <f>IF(Source!I424&lt;&gt;0, ROUND(I574/Source!I424, 2), 0)</f>
        <v>830.25</v>
      </c>
      <c r="P574" s="22">
        <f>I574</f>
        <v>4981.4699999999993</v>
      </c>
    </row>
    <row r="575" spans="1:22" ht="42.75" x14ac:dyDescent="0.2">
      <c r="A575" s="18">
        <v>63</v>
      </c>
      <c r="B575" s="18" t="str">
        <f>Source!F425</f>
        <v>1.15-2203-7-2/1</v>
      </c>
      <c r="C575" s="18" t="str">
        <f>Source!G425</f>
        <v>Техническое обслуживание крана шарового латунного никелированного диаметром до 50 мм</v>
      </c>
      <c r="D575" s="19" t="str">
        <f>Source!H425</f>
        <v>10 шт.</v>
      </c>
      <c r="E575" s="9">
        <f>Source!I425</f>
        <v>0.8</v>
      </c>
      <c r="F575" s="21"/>
      <c r="G575" s="20"/>
      <c r="H575" s="9"/>
      <c r="I575" s="9"/>
      <c r="J575" s="21"/>
      <c r="K575" s="21"/>
      <c r="Q575">
        <f>ROUND((Source!BZ425/100)*ROUND((Source!AF425*Source!AV425)*Source!I425, 2), 2)</f>
        <v>210.94</v>
      </c>
      <c r="R575">
        <f>Source!X425</f>
        <v>210.94</v>
      </c>
      <c r="S575">
        <f>ROUND((Source!CA425/100)*ROUND((Source!AF425*Source!AV425)*Source!I425, 2), 2)</f>
        <v>30.13</v>
      </c>
      <c r="T575">
        <f>Source!Y425</f>
        <v>30.13</v>
      </c>
      <c r="U575">
        <f>ROUND((175/100)*ROUND((Source!AE425*Source!AV425)*Source!I425, 2), 2)</f>
        <v>0</v>
      </c>
      <c r="V575">
        <f>ROUND((108/100)*ROUND(Source!CS425*Source!I425, 2), 2)</f>
        <v>0</v>
      </c>
    </row>
    <row r="576" spans="1:22" x14ac:dyDescent="0.2">
      <c r="C576" s="28" t="str">
        <f>"Объем: "&amp;Source!I425&amp;"=(4+"&amp;"2+"&amp;"2)/"&amp;"10"</f>
        <v>Объем: 0,8=(4+2+2)/10</v>
      </c>
    </row>
    <row r="577" spans="1:22" ht="14.25" x14ac:dyDescent="0.2">
      <c r="A577" s="18"/>
      <c r="B577" s="18"/>
      <c r="C577" s="18" t="s">
        <v>1100</v>
      </c>
      <c r="D577" s="19"/>
      <c r="E577" s="9"/>
      <c r="F577" s="21">
        <f>Source!AO425</f>
        <v>376.67</v>
      </c>
      <c r="G577" s="20" t="str">
        <f>Source!DG425</f>
        <v/>
      </c>
      <c r="H577" s="9">
        <f>Source!AV425</f>
        <v>1</v>
      </c>
      <c r="I577" s="9">
        <f>IF(Source!BA425&lt;&gt; 0, Source!BA425, 1)</f>
        <v>1</v>
      </c>
      <c r="J577" s="21">
        <f>Source!S425</f>
        <v>301.33999999999997</v>
      </c>
      <c r="K577" s="21"/>
    </row>
    <row r="578" spans="1:22" ht="14.25" x14ac:dyDescent="0.2">
      <c r="A578" s="18"/>
      <c r="B578" s="18"/>
      <c r="C578" s="18" t="s">
        <v>1102</v>
      </c>
      <c r="D578" s="19" t="s">
        <v>1103</v>
      </c>
      <c r="E578" s="9">
        <f>Source!AT425</f>
        <v>70</v>
      </c>
      <c r="F578" s="21"/>
      <c r="G578" s="20"/>
      <c r="H578" s="9"/>
      <c r="I578" s="9"/>
      <c r="J578" s="21">
        <f>SUM(R575:R577)</f>
        <v>210.94</v>
      </c>
      <c r="K578" s="21"/>
    </row>
    <row r="579" spans="1:22" ht="14.25" x14ac:dyDescent="0.2">
      <c r="A579" s="18"/>
      <c r="B579" s="18"/>
      <c r="C579" s="18" t="s">
        <v>1104</v>
      </c>
      <c r="D579" s="19" t="s">
        <v>1103</v>
      </c>
      <c r="E579" s="9">
        <f>Source!AU425</f>
        <v>10</v>
      </c>
      <c r="F579" s="21"/>
      <c r="G579" s="20"/>
      <c r="H579" s="9"/>
      <c r="I579" s="9"/>
      <c r="J579" s="21">
        <f>SUM(T575:T578)</f>
        <v>30.13</v>
      </c>
      <c r="K579" s="21"/>
    </row>
    <row r="580" spans="1:22" ht="14.25" x14ac:dyDescent="0.2">
      <c r="A580" s="18"/>
      <c r="B580" s="18"/>
      <c r="C580" s="18" t="s">
        <v>1105</v>
      </c>
      <c r="D580" s="19" t="s">
        <v>1106</v>
      </c>
      <c r="E580" s="9">
        <f>Source!AQ425</f>
        <v>0.61</v>
      </c>
      <c r="F580" s="21"/>
      <c r="G580" s="20" t="str">
        <f>Source!DI425</f>
        <v/>
      </c>
      <c r="H580" s="9">
        <f>Source!AV425</f>
        <v>1</v>
      </c>
      <c r="I580" s="9"/>
      <c r="J580" s="21"/>
      <c r="K580" s="21">
        <f>Source!U425</f>
        <v>0.48799999999999999</v>
      </c>
    </row>
    <row r="581" spans="1:22" ht="15" x14ac:dyDescent="0.25">
      <c r="A581" s="23"/>
      <c r="B581" s="23"/>
      <c r="C581" s="23"/>
      <c r="D581" s="23"/>
      <c r="E581" s="23"/>
      <c r="F581" s="23"/>
      <c r="G581" s="23"/>
      <c r="H581" s="23"/>
      <c r="I581" s="44">
        <f>J577+J578+J579</f>
        <v>542.41</v>
      </c>
      <c r="J581" s="44"/>
      <c r="K581" s="24">
        <f>IF(Source!I425&lt;&gt;0, ROUND(I581/Source!I425, 2), 0)</f>
        <v>678.01</v>
      </c>
      <c r="P581" s="22">
        <f>I581</f>
        <v>542.41</v>
      </c>
    </row>
    <row r="582" spans="1:22" ht="42.75" x14ac:dyDescent="0.2">
      <c r="A582" s="18">
        <v>64</v>
      </c>
      <c r="B582" s="18" t="str">
        <f>Source!F426</f>
        <v>1.15-2203-7-3/1</v>
      </c>
      <c r="C582" s="18" t="str">
        <f>Source!G426</f>
        <v>Техническое обслуживание крана шарового латунного никелированного диаметром до 100 мм</v>
      </c>
      <c r="D582" s="19" t="str">
        <f>Source!H426</f>
        <v>10 шт.</v>
      </c>
      <c r="E582" s="9">
        <f>Source!I426</f>
        <v>0.7</v>
      </c>
      <c r="F582" s="21"/>
      <c r="G582" s="20"/>
      <c r="H582" s="9"/>
      <c r="I582" s="9"/>
      <c r="J582" s="21"/>
      <c r="K582" s="21"/>
      <c r="Q582">
        <f>ROUND((Source!BZ426/100)*ROUND((Source!AF426*Source!AV426)*Source!I426, 2), 2)</f>
        <v>278.36</v>
      </c>
      <c r="R582">
        <f>Source!X426</f>
        <v>278.36</v>
      </c>
      <c r="S582">
        <f>ROUND((Source!CA426/100)*ROUND((Source!AF426*Source!AV426)*Source!I426, 2), 2)</f>
        <v>39.770000000000003</v>
      </c>
      <c r="T582">
        <f>Source!Y426</f>
        <v>39.770000000000003</v>
      </c>
      <c r="U582">
        <f>ROUND((175/100)*ROUND((Source!AE426*Source!AV426)*Source!I426, 2), 2)</f>
        <v>0</v>
      </c>
      <c r="V582">
        <f>ROUND((108/100)*ROUND(Source!CS426*Source!I426, 2), 2)</f>
        <v>0</v>
      </c>
    </row>
    <row r="583" spans="1:22" x14ac:dyDescent="0.2">
      <c r="C583" s="28" t="str">
        <f>"Объем: "&amp;Source!I426&amp;"=(2+"&amp;"2+"&amp;"1+"&amp;"2)/"&amp;"10"</f>
        <v>Объем: 0,7=(2+2+1+2)/10</v>
      </c>
    </row>
    <row r="584" spans="1:22" ht="14.25" x14ac:dyDescent="0.2">
      <c r="A584" s="18"/>
      <c r="B584" s="18"/>
      <c r="C584" s="18" t="s">
        <v>1100</v>
      </c>
      <c r="D584" s="19"/>
      <c r="E584" s="9"/>
      <c r="F584" s="21">
        <f>Source!AO426</f>
        <v>568.09</v>
      </c>
      <c r="G584" s="20" t="str">
        <f>Source!DG426</f>
        <v/>
      </c>
      <c r="H584" s="9">
        <f>Source!AV426</f>
        <v>1</v>
      </c>
      <c r="I584" s="9">
        <f>IF(Source!BA426&lt;&gt; 0, Source!BA426, 1)</f>
        <v>1</v>
      </c>
      <c r="J584" s="21">
        <f>Source!S426</f>
        <v>397.66</v>
      </c>
      <c r="K584" s="21"/>
    </row>
    <row r="585" spans="1:22" ht="14.25" x14ac:dyDescent="0.2">
      <c r="A585" s="18"/>
      <c r="B585" s="18"/>
      <c r="C585" s="18" t="s">
        <v>1102</v>
      </c>
      <c r="D585" s="19" t="s">
        <v>1103</v>
      </c>
      <c r="E585" s="9">
        <f>Source!AT426</f>
        <v>70</v>
      </c>
      <c r="F585" s="21"/>
      <c r="G585" s="20"/>
      <c r="H585" s="9"/>
      <c r="I585" s="9"/>
      <c r="J585" s="21">
        <f>SUM(R582:R584)</f>
        <v>278.36</v>
      </c>
      <c r="K585" s="21"/>
    </row>
    <row r="586" spans="1:22" ht="14.25" x14ac:dyDescent="0.2">
      <c r="A586" s="18"/>
      <c r="B586" s="18"/>
      <c r="C586" s="18" t="s">
        <v>1104</v>
      </c>
      <c r="D586" s="19" t="s">
        <v>1103</v>
      </c>
      <c r="E586" s="9">
        <f>Source!AU426</f>
        <v>10</v>
      </c>
      <c r="F586" s="21"/>
      <c r="G586" s="20"/>
      <c r="H586" s="9"/>
      <c r="I586" s="9"/>
      <c r="J586" s="21">
        <f>SUM(T582:T585)</f>
        <v>39.770000000000003</v>
      </c>
      <c r="K586" s="21"/>
    </row>
    <row r="587" spans="1:22" ht="14.25" x14ac:dyDescent="0.2">
      <c r="A587" s="18"/>
      <c r="B587" s="18"/>
      <c r="C587" s="18" t="s">
        <v>1105</v>
      </c>
      <c r="D587" s="19" t="s">
        <v>1106</v>
      </c>
      <c r="E587" s="9">
        <f>Source!AQ426</f>
        <v>0.92</v>
      </c>
      <c r="F587" s="21"/>
      <c r="G587" s="20" t="str">
        <f>Source!DI426</f>
        <v/>
      </c>
      <c r="H587" s="9">
        <f>Source!AV426</f>
        <v>1</v>
      </c>
      <c r="I587" s="9"/>
      <c r="J587" s="21"/>
      <c r="K587" s="21">
        <f>Source!U426</f>
        <v>0.64400000000000002</v>
      </c>
    </row>
    <row r="588" spans="1:22" ht="15" x14ac:dyDescent="0.25">
      <c r="A588" s="23"/>
      <c r="B588" s="23"/>
      <c r="C588" s="23"/>
      <c r="D588" s="23"/>
      <c r="E588" s="23"/>
      <c r="F588" s="23"/>
      <c r="G588" s="23"/>
      <c r="H588" s="23"/>
      <c r="I588" s="44">
        <f>J584+J585+J586</f>
        <v>715.79</v>
      </c>
      <c r="J588" s="44"/>
      <c r="K588" s="24">
        <f>IF(Source!I426&lt;&gt;0, ROUND(I588/Source!I426, 2), 0)</f>
        <v>1022.56</v>
      </c>
      <c r="P588" s="22">
        <f>I588</f>
        <v>715.79</v>
      </c>
    </row>
    <row r="590" spans="1:22" ht="15" customHeight="1" x14ac:dyDescent="0.25">
      <c r="B590" s="47" t="str">
        <f>Source!G427</f>
        <v>Ввод теплосети, распределительный коллектор системы вентиляции</v>
      </c>
      <c r="C590" s="47"/>
      <c r="D590" s="47"/>
      <c r="E590" s="47"/>
      <c r="F590" s="47"/>
      <c r="G590" s="47"/>
      <c r="H590" s="47"/>
      <c r="I590" s="47"/>
      <c r="J590" s="47"/>
    </row>
    <row r="591" spans="1:22" ht="42.75" x14ac:dyDescent="0.2">
      <c r="A591" s="18">
        <v>65</v>
      </c>
      <c r="B591" s="18" t="str">
        <f>Source!F428</f>
        <v>1.15-2203-7-1/1</v>
      </c>
      <c r="C591" s="18" t="str">
        <f>Source!G428</f>
        <v>Техническое обслуживание крана шарового латунного никелированного диаметром до 25 мм</v>
      </c>
      <c r="D591" s="19" t="str">
        <f>Source!H428</f>
        <v>10 шт.</v>
      </c>
      <c r="E591" s="9">
        <f>Source!I428</f>
        <v>0.8</v>
      </c>
      <c r="F591" s="21"/>
      <c r="G591" s="20"/>
      <c r="H591" s="9"/>
      <c r="I591" s="9"/>
      <c r="J591" s="21"/>
      <c r="K591" s="21"/>
      <c r="Q591">
        <f>ROUND((Source!BZ428/100)*ROUND((Source!AF428*Source!AV428)*Source!I428, 2), 2)</f>
        <v>155.61000000000001</v>
      </c>
      <c r="R591">
        <f>Source!X428</f>
        <v>155.61000000000001</v>
      </c>
      <c r="S591">
        <f>ROUND((Source!CA428/100)*ROUND((Source!AF428*Source!AV428)*Source!I428, 2), 2)</f>
        <v>22.23</v>
      </c>
      <c r="T591">
        <f>Source!Y428</f>
        <v>22.23</v>
      </c>
      <c r="U591">
        <f>ROUND((175/100)*ROUND((Source!AE428*Source!AV428)*Source!I428, 2), 2)</f>
        <v>0</v>
      </c>
      <c r="V591">
        <f>ROUND((108/100)*ROUND(Source!CS428*Source!I428, 2), 2)</f>
        <v>0</v>
      </c>
    </row>
    <row r="592" spans="1:22" x14ac:dyDescent="0.2">
      <c r="C592" s="28" t="str">
        <f>"Объем: "&amp;Source!I428&amp;"=(4+"&amp;"2+"&amp;"2)/"&amp;"10"</f>
        <v>Объем: 0,8=(4+2+2)/10</v>
      </c>
    </row>
    <row r="593" spans="1:22" ht="14.25" x14ac:dyDescent="0.2">
      <c r="A593" s="18"/>
      <c r="B593" s="18"/>
      <c r="C593" s="18" t="s">
        <v>1100</v>
      </c>
      <c r="D593" s="19"/>
      <c r="E593" s="9"/>
      <c r="F593" s="21">
        <f>Source!AO428</f>
        <v>277.87</v>
      </c>
      <c r="G593" s="20" t="str">
        <f>Source!DG428</f>
        <v/>
      </c>
      <c r="H593" s="9">
        <f>Source!AV428</f>
        <v>1</v>
      </c>
      <c r="I593" s="9">
        <f>IF(Source!BA428&lt;&gt; 0, Source!BA428, 1)</f>
        <v>1</v>
      </c>
      <c r="J593" s="21">
        <f>Source!S428</f>
        <v>222.3</v>
      </c>
      <c r="K593" s="21"/>
    </row>
    <row r="594" spans="1:22" ht="14.25" x14ac:dyDescent="0.2">
      <c r="A594" s="18"/>
      <c r="B594" s="18"/>
      <c r="C594" s="18" t="s">
        <v>1102</v>
      </c>
      <c r="D594" s="19" t="s">
        <v>1103</v>
      </c>
      <c r="E594" s="9">
        <f>Source!AT428</f>
        <v>70</v>
      </c>
      <c r="F594" s="21"/>
      <c r="G594" s="20"/>
      <c r="H594" s="9"/>
      <c r="I594" s="9"/>
      <c r="J594" s="21">
        <f>SUM(R591:R593)</f>
        <v>155.61000000000001</v>
      </c>
      <c r="K594" s="21"/>
    </row>
    <row r="595" spans="1:22" ht="14.25" x14ac:dyDescent="0.2">
      <c r="A595" s="18"/>
      <c r="B595" s="18"/>
      <c r="C595" s="18" t="s">
        <v>1104</v>
      </c>
      <c r="D595" s="19" t="s">
        <v>1103</v>
      </c>
      <c r="E595" s="9">
        <f>Source!AU428</f>
        <v>10</v>
      </c>
      <c r="F595" s="21"/>
      <c r="G595" s="20"/>
      <c r="H595" s="9"/>
      <c r="I595" s="9"/>
      <c r="J595" s="21">
        <f>SUM(T591:T594)</f>
        <v>22.23</v>
      </c>
      <c r="K595" s="21"/>
    </row>
    <row r="596" spans="1:22" ht="14.25" x14ac:dyDescent="0.2">
      <c r="A596" s="18"/>
      <c r="B596" s="18"/>
      <c r="C596" s="18" t="s">
        <v>1105</v>
      </c>
      <c r="D596" s="19" t="s">
        <v>1106</v>
      </c>
      <c r="E596" s="9">
        <f>Source!AQ428</f>
        <v>0.45</v>
      </c>
      <c r="F596" s="21"/>
      <c r="G596" s="20" t="str">
        <f>Source!DI428</f>
        <v/>
      </c>
      <c r="H596" s="9">
        <f>Source!AV428</f>
        <v>1</v>
      </c>
      <c r="I596" s="9"/>
      <c r="J596" s="21"/>
      <c r="K596" s="21">
        <f>Source!U428</f>
        <v>0.36000000000000004</v>
      </c>
    </row>
    <row r="597" spans="1:22" ht="15" x14ac:dyDescent="0.25">
      <c r="A597" s="23"/>
      <c r="B597" s="23"/>
      <c r="C597" s="23"/>
      <c r="D597" s="23"/>
      <c r="E597" s="23"/>
      <c r="F597" s="23"/>
      <c r="G597" s="23"/>
      <c r="H597" s="23"/>
      <c r="I597" s="44">
        <f>J593+J594+J595</f>
        <v>400.14000000000004</v>
      </c>
      <c r="J597" s="44"/>
      <c r="K597" s="24">
        <f>IF(Source!I428&lt;&gt;0, ROUND(I597/Source!I428, 2), 0)</f>
        <v>500.18</v>
      </c>
      <c r="P597" s="22">
        <f>I597</f>
        <v>400.14000000000004</v>
      </c>
    </row>
    <row r="598" spans="1:22" ht="42.75" x14ac:dyDescent="0.2">
      <c r="A598" s="18">
        <v>66</v>
      </c>
      <c r="B598" s="18" t="str">
        <f>Source!F429</f>
        <v>1.15-2203-7-3/1</v>
      </c>
      <c r="C598" s="18" t="str">
        <f>Source!G429</f>
        <v>Техническое обслуживание крана шарового латунного никелированного диаметром до 100 мм</v>
      </c>
      <c r="D598" s="19" t="str">
        <f>Source!H429</f>
        <v>10 шт.</v>
      </c>
      <c r="E598" s="9">
        <f>Source!I429</f>
        <v>0.7</v>
      </c>
      <c r="F598" s="21"/>
      <c r="G598" s="20"/>
      <c r="H598" s="9"/>
      <c r="I598" s="9"/>
      <c r="J598" s="21"/>
      <c r="K598" s="21"/>
      <c r="Q598">
        <f>ROUND((Source!BZ429/100)*ROUND((Source!AF429*Source!AV429)*Source!I429, 2), 2)</f>
        <v>278.36</v>
      </c>
      <c r="R598">
        <f>Source!X429</f>
        <v>278.36</v>
      </c>
      <c r="S598">
        <f>ROUND((Source!CA429/100)*ROUND((Source!AF429*Source!AV429)*Source!I429, 2), 2)</f>
        <v>39.770000000000003</v>
      </c>
      <c r="T598">
        <f>Source!Y429</f>
        <v>39.770000000000003</v>
      </c>
      <c r="U598">
        <f>ROUND((175/100)*ROUND((Source!AE429*Source!AV429)*Source!I429, 2), 2)</f>
        <v>0</v>
      </c>
      <c r="V598">
        <f>ROUND((108/100)*ROUND(Source!CS429*Source!I429, 2), 2)</f>
        <v>0</v>
      </c>
    </row>
    <row r="599" spans="1:22" x14ac:dyDescent="0.2">
      <c r="C599" s="28" t="str">
        <f>"Объем: "&amp;Source!I429&amp;"=(2+"&amp;"2+"&amp;"1+"&amp;"2)/"&amp;"10"</f>
        <v>Объем: 0,7=(2+2+1+2)/10</v>
      </c>
    </row>
    <row r="600" spans="1:22" ht="14.25" x14ac:dyDescent="0.2">
      <c r="A600" s="18"/>
      <c r="B600" s="18"/>
      <c r="C600" s="18" t="s">
        <v>1100</v>
      </c>
      <c r="D600" s="19"/>
      <c r="E600" s="9"/>
      <c r="F600" s="21">
        <f>Source!AO429</f>
        <v>568.09</v>
      </c>
      <c r="G600" s="20" t="str">
        <f>Source!DG429</f>
        <v/>
      </c>
      <c r="H600" s="9">
        <f>Source!AV429</f>
        <v>1</v>
      </c>
      <c r="I600" s="9">
        <f>IF(Source!BA429&lt;&gt; 0, Source!BA429, 1)</f>
        <v>1</v>
      </c>
      <c r="J600" s="21">
        <f>Source!S429</f>
        <v>397.66</v>
      </c>
      <c r="K600" s="21"/>
    </row>
    <row r="601" spans="1:22" ht="14.25" x14ac:dyDescent="0.2">
      <c r="A601" s="18"/>
      <c r="B601" s="18"/>
      <c r="C601" s="18" t="s">
        <v>1102</v>
      </c>
      <c r="D601" s="19" t="s">
        <v>1103</v>
      </c>
      <c r="E601" s="9">
        <f>Source!AT429</f>
        <v>70</v>
      </c>
      <c r="F601" s="21"/>
      <c r="G601" s="20"/>
      <c r="H601" s="9"/>
      <c r="I601" s="9"/>
      <c r="J601" s="21">
        <f>SUM(R598:R600)</f>
        <v>278.36</v>
      </c>
      <c r="K601" s="21"/>
    </row>
    <row r="602" spans="1:22" ht="14.25" x14ac:dyDescent="0.2">
      <c r="A602" s="18"/>
      <c r="B602" s="18"/>
      <c r="C602" s="18" t="s">
        <v>1104</v>
      </c>
      <c r="D602" s="19" t="s">
        <v>1103</v>
      </c>
      <c r="E602" s="9">
        <f>Source!AU429</f>
        <v>10</v>
      </c>
      <c r="F602" s="21"/>
      <c r="G602" s="20"/>
      <c r="H602" s="9"/>
      <c r="I602" s="9"/>
      <c r="J602" s="21">
        <f>SUM(T598:T601)</f>
        <v>39.770000000000003</v>
      </c>
      <c r="K602" s="21"/>
    </row>
    <row r="603" spans="1:22" ht="14.25" x14ac:dyDescent="0.2">
      <c r="A603" s="18"/>
      <c r="B603" s="18"/>
      <c r="C603" s="18" t="s">
        <v>1105</v>
      </c>
      <c r="D603" s="19" t="s">
        <v>1106</v>
      </c>
      <c r="E603" s="9">
        <f>Source!AQ429</f>
        <v>0.92</v>
      </c>
      <c r="F603" s="21"/>
      <c r="G603" s="20" t="str">
        <f>Source!DI429</f>
        <v/>
      </c>
      <c r="H603" s="9">
        <f>Source!AV429</f>
        <v>1</v>
      </c>
      <c r="I603" s="9"/>
      <c r="J603" s="21"/>
      <c r="K603" s="21">
        <f>Source!U429</f>
        <v>0.64400000000000002</v>
      </c>
    </row>
    <row r="604" spans="1:22" ht="15" x14ac:dyDescent="0.25">
      <c r="A604" s="23"/>
      <c r="B604" s="23"/>
      <c r="C604" s="23"/>
      <c r="D604" s="23"/>
      <c r="E604" s="23"/>
      <c r="F604" s="23"/>
      <c r="G604" s="23"/>
      <c r="H604" s="23"/>
      <c r="I604" s="44">
        <f>J600+J601+J602</f>
        <v>715.79</v>
      </c>
      <c r="J604" s="44"/>
      <c r="K604" s="24">
        <f>IF(Source!I429&lt;&gt;0, ROUND(I604/Source!I429, 2), 0)</f>
        <v>1022.56</v>
      </c>
      <c r="P604" s="22">
        <f>I604</f>
        <v>715.79</v>
      </c>
    </row>
    <row r="605" spans="1:22" ht="42.75" x14ac:dyDescent="0.2">
      <c r="A605" s="18">
        <v>67</v>
      </c>
      <c r="B605" s="18" t="str">
        <f>Source!F433</f>
        <v>1.23-2103-18-1/1</v>
      </c>
      <c r="C605" s="18" t="str">
        <f>Source!G433</f>
        <v>Техническое обслуживание термометра биметаллического, дилатометрического</v>
      </c>
      <c r="D605" s="19" t="str">
        <f>Source!H433</f>
        <v>шт.</v>
      </c>
      <c r="E605" s="9">
        <f>Source!I433</f>
        <v>4</v>
      </c>
      <c r="F605" s="21"/>
      <c r="G605" s="20"/>
      <c r="H605" s="9"/>
      <c r="I605" s="9"/>
      <c r="J605" s="21"/>
      <c r="K605" s="21"/>
      <c r="Q605">
        <f>ROUND((Source!BZ433/100)*ROUND((Source!AF433*Source!AV433)*Source!I433, 2), 2)</f>
        <v>1231.94</v>
      </c>
      <c r="R605">
        <f>Source!X433</f>
        <v>1231.94</v>
      </c>
      <c r="S605">
        <f>ROUND((Source!CA433/100)*ROUND((Source!AF433*Source!AV433)*Source!I433, 2), 2)</f>
        <v>175.99</v>
      </c>
      <c r="T605">
        <f>Source!Y433</f>
        <v>175.99</v>
      </c>
      <c r="U605">
        <f>ROUND((175/100)*ROUND((Source!AE433*Source!AV433)*Source!I433, 2), 2)</f>
        <v>0</v>
      </c>
      <c r="V605">
        <f>ROUND((108/100)*ROUND(Source!CS433*Source!I433, 2), 2)</f>
        <v>0</v>
      </c>
    </row>
    <row r="606" spans="1:22" ht="14.25" x14ac:dyDescent="0.2">
      <c r="A606" s="18"/>
      <c r="B606" s="18"/>
      <c r="C606" s="18" t="s">
        <v>1100</v>
      </c>
      <c r="D606" s="19"/>
      <c r="E606" s="9"/>
      <c r="F606" s="21">
        <f>Source!AO433</f>
        <v>219.99</v>
      </c>
      <c r="G606" s="20" t="str">
        <f>Source!DG433</f>
        <v>)*2</v>
      </c>
      <c r="H606" s="9">
        <f>Source!AV433</f>
        <v>1</v>
      </c>
      <c r="I606" s="9">
        <f>IF(Source!BA433&lt;&gt; 0, Source!BA433, 1)</f>
        <v>1</v>
      </c>
      <c r="J606" s="21">
        <f>Source!S433</f>
        <v>1759.92</v>
      </c>
      <c r="K606" s="21"/>
    </row>
    <row r="607" spans="1:22" ht="14.25" x14ac:dyDescent="0.2">
      <c r="A607" s="18"/>
      <c r="B607" s="18"/>
      <c r="C607" s="18" t="s">
        <v>1101</v>
      </c>
      <c r="D607" s="19"/>
      <c r="E607" s="9"/>
      <c r="F607" s="21">
        <f>Source!AL433</f>
        <v>19.14</v>
      </c>
      <c r="G607" s="20" t="str">
        <f>Source!DD433</f>
        <v>)*2</v>
      </c>
      <c r="H607" s="9">
        <f>Source!AW433</f>
        <v>1</v>
      </c>
      <c r="I607" s="9">
        <f>IF(Source!BC433&lt;&gt; 0, Source!BC433, 1)</f>
        <v>1</v>
      </c>
      <c r="J607" s="21">
        <f>Source!P433</f>
        <v>153.12</v>
      </c>
      <c r="K607" s="21"/>
    </row>
    <row r="608" spans="1:22" ht="14.25" x14ac:dyDescent="0.2">
      <c r="A608" s="18"/>
      <c r="B608" s="18"/>
      <c r="C608" s="18" t="s">
        <v>1102</v>
      </c>
      <c r="D608" s="19" t="s">
        <v>1103</v>
      </c>
      <c r="E608" s="9">
        <f>Source!AT433</f>
        <v>70</v>
      </c>
      <c r="F608" s="21"/>
      <c r="G608" s="20"/>
      <c r="H608" s="9"/>
      <c r="I608" s="9"/>
      <c r="J608" s="21">
        <f>SUM(R605:R607)</f>
        <v>1231.94</v>
      </c>
      <c r="K608" s="21"/>
    </row>
    <row r="609" spans="1:32" ht="14.25" x14ac:dyDescent="0.2">
      <c r="A609" s="18"/>
      <c r="B609" s="18"/>
      <c r="C609" s="18" t="s">
        <v>1104</v>
      </c>
      <c r="D609" s="19" t="s">
        <v>1103</v>
      </c>
      <c r="E609" s="9">
        <f>Source!AU433</f>
        <v>10</v>
      </c>
      <c r="F609" s="21"/>
      <c r="G609" s="20"/>
      <c r="H609" s="9"/>
      <c r="I609" s="9"/>
      <c r="J609" s="21">
        <f>SUM(T605:T608)</f>
        <v>175.99</v>
      </c>
      <c r="K609" s="21"/>
    </row>
    <row r="610" spans="1:32" ht="14.25" x14ac:dyDescent="0.2">
      <c r="A610" s="18"/>
      <c r="B610" s="18"/>
      <c r="C610" s="18" t="s">
        <v>1105</v>
      </c>
      <c r="D610" s="19" t="s">
        <v>1106</v>
      </c>
      <c r="E610" s="9">
        <f>Source!AQ433</f>
        <v>0.31</v>
      </c>
      <c r="F610" s="21"/>
      <c r="G610" s="20" t="str">
        <f>Source!DI433</f>
        <v>)*2</v>
      </c>
      <c r="H610" s="9">
        <f>Source!AV433</f>
        <v>1</v>
      </c>
      <c r="I610" s="9"/>
      <c r="J610" s="21"/>
      <c r="K610" s="21">
        <f>Source!U433</f>
        <v>2.48</v>
      </c>
    </row>
    <row r="611" spans="1:32" ht="15" x14ac:dyDescent="0.25">
      <c r="A611" s="23"/>
      <c r="B611" s="23"/>
      <c r="C611" s="23"/>
      <c r="D611" s="23"/>
      <c r="E611" s="23"/>
      <c r="F611" s="23"/>
      <c r="G611" s="23"/>
      <c r="H611" s="23"/>
      <c r="I611" s="44">
        <f>J606+J607+J608+J609</f>
        <v>3320.9700000000003</v>
      </c>
      <c r="J611" s="44"/>
      <c r="K611" s="24">
        <f>IF(Source!I433&lt;&gt;0, ROUND(I611/Source!I433, 2), 0)</f>
        <v>830.24</v>
      </c>
      <c r="P611" s="22">
        <f>I611</f>
        <v>3320.9700000000003</v>
      </c>
    </row>
    <row r="613" spans="1:32" ht="30" customHeight="1" x14ac:dyDescent="0.25">
      <c r="A613" s="46" t="str">
        <f>CONCATENATE("Итого по подразделу: ",IF(Source!G445&lt;&gt;"Новый подраздел", Source!G445, ""))</f>
        <v>Итого по подразделу: 2.2 Автоматизированный узел управления системой отопления и вентиляции воздуха</v>
      </c>
      <c r="B613" s="46"/>
      <c r="C613" s="46"/>
      <c r="D613" s="46"/>
      <c r="E613" s="46"/>
      <c r="F613" s="46"/>
      <c r="G613" s="46"/>
      <c r="H613" s="46"/>
      <c r="I613" s="45">
        <f>SUM(P360:P612)</f>
        <v>77586.929999999978</v>
      </c>
      <c r="J613" s="45"/>
      <c r="K613" s="26"/>
      <c r="AF613" s="27" t="str">
        <f>CONCATENATE("Итого по подразделу: ",IF(Source!G445&lt;&gt;"Новый подраздел", Source!G445, ""))</f>
        <v>Итого по подразделу: 2.2 Автоматизированный узел управления системой отопления и вентиляции воздуха</v>
      </c>
    </row>
    <row r="616" spans="1:32" ht="15" customHeight="1" x14ac:dyDescent="0.25">
      <c r="A616" s="46" t="str">
        <f>CONCATENATE("Итого по разделу: ",IF(Source!G475&lt;&gt;"Новый раздел", Source!G475, ""))</f>
        <v>Итого по разделу: 2. Внутренние сети отопления</v>
      </c>
      <c r="B616" s="46"/>
      <c r="C616" s="46"/>
      <c r="D616" s="46"/>
      <c r="E616" s="46"/>
      <c r="F616" s="46"/>
      <c r="G616" s="46"/>
      <c r="H616" s="46"/>
      <c r="I616" s="45">
        <f>SUM(P205:P615)</f>
        <v>373560.85999999987</v>
      </c>
      <c r="J616" s="45"/>
      <c r="K616" s="26"/>
    </row>
    <row r="619" spans="1:32" ht="16.5" customHeight="1" x14ac:dyDescent="0.25">
      <c r="A619" s="48" t="str">
        <f>CONCATENATE("Раздел: ",IF(Source!G505&lt;&gt;"Новый раздел", Source!G505, ""))</f>
        <v>Раздел: 3. Вентиляция и кондиционирование</v>
      </c>
      <c r="B619" s="48"/>
      <c r="C619" s="48"/>
      <c r="D619" s="48"/>
      <c r="E619" s="48"/>
      <c r="F619" s="48"/>
      <c r="G619" s="48"/>
      <c r="H619" s="48"/>
      <c r="I619" s="48"/>
      <c r="J619" s="48"/>
      <c r="K619" s="48"/>
    </row>
    <row r="621" spans="1:32" ht="16.5" customHeight="1" x14ac:dyDescent="0.25">
      <c r="A621" s="48" t="str">
        <f>CONCATENATE("Подраздел: ",IF(Source!G509&lt;&gt;"Новый подраздел", Source!G509, ""))</f>
        <v>Подраздел: Вентиляция</v>
      </c>
      <c r="B621" s="48"/>
      <c r="C621" s="48"/>
      <c r="D621" s="48"/>
      <c r="E621" s="48"/>
      <c r="F621" s="48"/>
      <c r="G621" s="48"/>
      <c r="H621" s="48"/>
      <c r="I621" s="48"/>
      <c r="J621" s="48"/>
      <c r="K621" s="48"/>
    </row>
    <row r="622" spans="1:32" ht="42.75" x14ac:dyDescent="0.2">
      <c r="A622" s="18">
        <v>68</v>
      </c>
      <c r="B622" s="18" t="str">
        <f>Source!F515</f>
        <v>1.18-2403-21-4/1</v>
      </c>
      <c r="C622" s="18" t="str">
        <f>Source!G515</f>
        <v>Техническое обслуживание приточных установок производительностью до 5000 м3/ч - ежеквартальное</v>
      </c>
      <c r="D622" s="19" t="str">
        <f>Source!H515</f>
        <v>установка</v>
      </c>
      <c r="E622" s="9">
        <f>Source!I515</f>
        <v>4</v>
      </c>
      <c r="F622" s="21"/>
      <c r="G622" s="20"/>
      <c r="H622" s="9"/>
      <c r="I622" s="9"/>
      <c r="J622" s="21"/>
      <c r="K622" s="21"/>
      <c r="Q622">
        <f>ROUND((Source!BZ515/100)*ROUND((Source!AF515*Source!AV515)*Source!I515, 2), 2)</f>
        <v>11668.33</v>
      </c>
      <c r="R622">
        <f>Source!X515</f>
        <v>11668.33</v>
      </c>
      <c r="S622">
        <f>ROUND((Source!CA515/100)*ROUND((Source!AF515*Source!AV515)*Source!I515, 2), 2)</f>
        <v>1666.9</v>
      </c>
      <c r="T622">
        <f>Source!Y515</f>
        <v>1666.9</v>
      </c>
      <c r="U622">
        <f>ROUND((175/100)*ROUND((Source!AE515*Source!AV515)*Source!I515, 2), 2)</f>
        <v>0.28000000000000003</v>
      </c>
      <c r="V622">
        <f>ROUND((108/100)*ROUND(Source!CS515*Source!I515, 2), 2)</f>
        <v>0.17</v>
      </c>
    </row>
    <row r="623" spans="1:32" ht="14.25" x14ac:dyDescent="0.2">
      <c r="A623" s="18"/>
      <c r="B623" s="18"/>
      <c r="C623" s="18" t="s">
        <v>1100</v>
      </c>
      <c r="D623" s="19"/>
      <c r="E623" s="9"/>
      <c r="F623" s="21">
        <f>Source!AO515</f>
        <v>2083.63</v>
      </c>
      <c r="G623" s="20" t="str">
        <f>Source!DG515</f>
        <v>)*2</v>
      </c>
      <c r="H623" s="9">
        <f>Source!AV515</f>
        <v>1</v>
      </c>
      <c r="I623" s="9">
        <f>IF(Source!BA515&lt;&gt; 0, Source!BA515, 1)</f>
        <v>1</v>
      </c>
      <c r="J623" s="21">
        <f>Source!S515</f>
        <v>16669.04</v>
      </c>
      <c r="K623" s="21"/>
    </row>
    <row r="624" spans="1:32" ht="14.25" x14ac:dyDescent="0.2">
      <c r="A624" s="18"/>
      <c r="B624" s="18"/>
      <c r="C624" s="18" t="s">
        <v>1107</v>
      </c>
      <c r="D624" s="19"/>
      <c r="E624" s="9"/>
      <c r="F624" s="21">
        <f>Source!AM515</f>
        <v>1.79</v>
      </c>
      <c r="G624" s="20" t="str">
        <f>Source!DE515</f>
        <v>)*2</v>
      </c>
      <c r="H624" s="9">
        <f>Source!AV515</f>
        <v>1</v>
      </c>
      <c r="I624" s="9">
        <f>IF(Source!BB515&lt;&gt; 0, Source!BB515, 1)</f>
        <v>1</v>
      </c>
      <c r="J624" s="21">
        <f>Source!Q515</f>
        <v>14.32</v>
      </c>
      <c r="K624" s="21"/>
    </row>
    <row r="625" spans="1:22" ht="14.25" x14ac:dyDescent="0.2">
      <c r="A625" s="18"/>
      <c r="B625" s="18"/>
      <c r="C625" s="18" t="s">
        <v>1108</v>
      </c>
      <c r="D625" s="19"/>
      <c r="E625" s="9"/>
      <c r="F625" s="21">
        <f>Source!AN515</f>
        <v>0.02</v>
      </c>
      <c r="G625" s="20" t="str">
        <f>Source!DF515</f>
        <v>)*2</v>
      </c>
      <c r="H625" s="9">
        <f>Source!AV515</f>
        <v>1</v>
      </c>
      <c r="I625" s="9">
        <f>IF(Source!BS515&lt;&gt; 0, Source!BS515, 1)</f>
        <v>1</v>
      </c>
      <c r="J625" s="25">
        <f>Source!R515</f>
        <v>0.16</v>
      </c>
      <c r="K625" s="21"/>
    </row>
    <row r="626" spans="1:22" ht="14.25" x14ac:dyDescent="0.2">
      <c r="A626" s="18"/>
      <c r="B626" s="18"/>
      <c r="C626" s="18" t="s">
        <v>1101</v>
      </c>
      <c r="D626" s="19"/>
      <c r="E626" s="9"/>
      <c r="F626" s="21">
        <f>Source!AL515</f>
        <v>10.08</v>
      </c>
      <c r="G626" s="20" t="str">
        <f>Source!DD515</f>
        <v>)*2</v>
      </c>
      <c r="H626" s="9">
        <f>Source!AW515</f>
        <v>1</v>
      </c>
      <c r="I626" s="9">
        <f>IF(Source!BC515&lt;&gt; 0, Source!BC515, 1)</f>
        <v>1</v>
      </c>
      <c r="J626" s="21">
        <f>Source!P515</f>
        <v>80.64</v>
      </c>
      <c r="K626" s="21"/>
    </row>
    <row r="627" spans="1:22" ht="14.25" x14ac:dyDescent="0.2">
      <c r="A627" s="18"/>
      <c r="B627" s="18"/>
      <c r="C627" s="18" t="s">
        <v>1102</v>
      </c>
      <c r="D627" s="19" t="s">
        <v>1103</v>
      </c>
      <c r="E627" s="9">
        <f>Source!AT515</f>
        <v>70</v>
      </c>
      <c r="F627" s="21"/>
      <c r="G627" s="20"/>
      <c r="H627" s="9"/>
      <c r="I627" s="9"/>
      <c r="J627" s="21">
        <f>SUM(R622:R626)</f>
        <v>11668.33</v>
      </c>
      <c r="K627" s="21"/>
    </row>
    <row r="628" spans="1:22" ht="14.25" x14ac:dyDescent="0.2">
      <c r="A628" s="18"/>
      <c r="B628" s="18"/>
      <c r="C628" s="18" t="s">
        <v>1104</v>
      </c>
      <c r="D628" s="19" t="s">
        <v>1103</v>
      </c>
      <c r="E628" s="9">
        <f>Source!AU515</f>
        <v>10</v>
      </c>
      <c r="F628" s="21"/>
      <c r="G628" s="20"/>
      <c r="H628" s="9"/>
      <c r="I628" s="9"/>
      <c r="J628" s="21">
        <f>SUM(T622:T627)</f>
        <v>1666.9</v>
      </c>
      <c r="K628" s="21"/>
    </row>
    <row r="629" spans="1:22" ht="14.25" x14ac:dyDescent="0.2">
      <c r="A629" s="18"/>
      <c r="B629" s="18"/>
      <c r="C629" s="18" t="s">
        <v>1109</v>
      </c>
      <c r="D629" s="19" t="s">
        <v>1103</v>
      </c>
      <c r="E629" s="9">
        <f>108</f>
        <v>108</v>
      </c>
      <c r="F629" s="21"/>
      <c r="G629" s="20"/>
      <c r="H629" s="9"/>
      <c r="I629" s="9"/>
      <c r="J629" s="21">
        <f>SUM(V622:V628)</f>
        <v>0.17</v>
      </c>
      <c r="K629" s="21"/>
    </row>
    <row r="630" spans="1:22" ht="14.25" x14ac:dyDescent="0.2">
      <c r="A630" s="18"/>
      <c r="B630" s="18"/>
      <c r="C630" s="18" t="s">
        <v>1105</v>
      </c>
      <c r="D630" s="19" t="s">
        <v>1106</v>
      </c>
      <c r="E630" s="9">
        <f>Source!AQ515</f>
        <v>3.14</v>
      </c>
      <c r="F630" s="21"/>
      <c r="G630" s="20" t="str">
        <f>Source!DI515</f>
        <v>)*2</v>
      </c>
      <c r="H630" s="9">
        <f>Source!AV515</f>
        <v>1</v>
      </c>
      <c r="I630" s="9"/>
      <c r="J630" s="21"/>
      <c r="K630" s="21">
        <f>Source!U515</f>
        <v>25.12</v>
      </c>
    </row>
    <row r="631" spans="1:22" ht="15" x14ac:dyDescent="0.25">
      <c r="A631" s="23"/>
      <c r="B631" s="23"/>
      <c r="C631" s="23"/>
      <c r="D631" s="23"/>
      <c r="E631" s="23"/>
      <c r="F631" s="23"/>
      <c r="G631" s="23"/>
      <c r="H631" s="23"/>
      <c r="I631" s="44">
        <f>J623+J624+J626+J627+J628+J629</f>
        <v>30099.4</v>
      </c>
      <c r="J631" s="44"/>
      <c r="K631" s="24">
        <f>IF(Source!I515&lt;&gt;0, ROUND(I631/Source!I515, 2), 0)</f>
        <v>7524.85</v>
      </c>
      <c r="P631" s="22">
        <f>I631</f>
        <v>30099.4</v>
      </c>
    </row>
    <row r="632" spans="1:22" ht="42.75" x14ac:dyDescent="0.2">
      <c r="A632" s="18">
        <v>69</v>
      </c>
      <c r="B632" s="18" t="str">
        <f>Source!F519</f>
        <v>1.18-2403-21-5/1</v>
      </c>
      <c r="C632" s="18" t="str">
        <f>Source!G519</f>
        <v>Техническое обслуживание приточных установок производительностью до 10000 м3/ч - ежеквартальное</v>
      </c>
      <c r="D632" s="19" t="str">
        <f>Source!H519</f>
        <v>установка</v>
      </c>
      <c r="E632" s="9">
        <f>Source!I519</f>
        <v>1</v>
      </c>
      <c r="F632" s="21"/>
      <c r="G632" s="20"/>
      <c r="H632" s="9"/>
      <c r="I632" s="9"/>
      <c r="J632" s="21"/>
      <c r="K632" s="21"/>
      <c r="Q632">
        <f>ROUND((Source!BZ519/100)*ROUND((Source!AF519*Source!AV519)*Source!I519, 2), 2)</f>
        <v>3511.65</v>
      </c>
      <c r="R632">
        <f>Source!X519</f>
        <v>3511.65</v>
      </c>
      <c r="S632">
        <f>ROUND((Source!CA519/100)*ROUND((Source!AF519*Source!AV519)*Source!I519, 2), 2)</f>
        <v>501.66</v>
      </c>
      <c r="T632">
        <f>Source!Y519</f>
        <v>501.66</v>
      </c>
      <c r="U632">
        <f>ROUND((175/100)*ROUND((Source!AE519*Source!AV519)*Source!I519, 2), 2)</f>
        <v>0.14000000000000001</v>
      </c>
      <c r="V632">
        <f>ROUND((108/100)*ROUND(Source!CS519*Source!I519, 2), 2)</f>
        <v>0.09</v>
      </c>
    </row>
    <row r="633" spans="1:22" ht="14.25" x14ac:dyDescent="0.2">
      <c r="A633" s="18"/>
      <c r="B633" s="18"/>
      <c r="C633" s="18" t="s">
        <v>1100</v>
      </c>
      <c r="D633" s="19"/>
      <c r="E633" s="9"/>
      <c r="F633" s="21">
        <f>Source!AO519</f>
        <v>2508.3200000000002</v>
      </c>
      <c r="G633" s="20" t="str">
        <f>Source!DG519</f>
        <v>)*2</v>
      </c>
      <c r="H633" s="9">
        <f>Source!AV519</f>
        <v>1</v>
      </c>
      <c r="I633" s="9">
        <f>IF(Source!BA519&lt;&gt; 0, Source!BA519, 1)</f>
        <v>1</v>
      </c>
      <c r="J633" s="21">
        <f>Source!S519</f>
        <v>5016.6400000000003</v>
      </c>
      <c r="K633" s="21"/>
    </row>
    <row r="634" spans="1:22" ht="14.25" x14ac:dyDescent="0.2">
      <c r="A634" s="18"/>
      <c r="B634" s="18"/>
      <c r="C634" s="18" t="s">
        <v>1107</v>
      </c>
      <c r="D634" s="19"/>
      <c r="E634" s="9"/>
      <c r="F634" s="21">
        <f>Source!AM519</f>
        <v>2.98</v>
      </c>
      <c r="G634" s="20" t="str">
        <f>Source!DE519</f>
        <v>)*2</v>
      </c>
      <c r="H634" s="9">
        <f>Source!AV519</f>
        <v>1</v>
      </c>
      <c r="I634" s="9">
        <f>IF(Source!BB519&lt;&gt; 0, Source!BB519, 1)</f>
        <v>1</v>
      </c>
      <c r="J634" s="21">
        <f>Source!Q519</f>
        <v>5.96</v>
      </c>
      <c r="K634" s="21"/>
    </row>
    <row r="635" spans="1:22" ht="14.25" x14ac:dyDescent="0.2">
      <c r="A635" s="18"/>
      <c r="B635" s="18"/>
      <c r="C635" s="18" t="s">
        <v>1108</v>
      </c>
      <c r="D635" s="19"/>
      <c r="E635" s="9"/>
      <c r="F635" s="21">
        <f>Source!AN519</f>
        <v>0.04</v>
      </c>
      <c r="G635" s="20" t="str">
        <f>Source!DF519</f>
        <v>)*2</v>
      </c>
      <c r="H635" s="9">
        <f>Source!AV519</f>
        <v>1</v>
      </c>
      <c r="I635" s="9">
        <f>IF(Source!BS519&lt;&gt; 0, Source!BS519, 1)</f>
        <v>1</v>
      </c>
      <c r="J635" s="25">
        <f>Source!R519</f>
        <v>0.08</v>
      </c>
      <c r="K635" s="21"/>
    </row>
    <row r="636" spans="1:22" ht="14.25" x14ac:dyDescent="0.2">
      <c r="A636" s="18"/>
      <c r="B636" s="18"/>
      <c r="C636" s="18" t="s">
        <v>1101</v>
      </c>
      <c r="D636" s="19"/>
      <c r="E636" s="9"/>
      <c r="F636" s="21">
        <f>Source!AL519</f>
        <v>17.95</v>
      </c>
      <c r="G636" s="20" t="str">
        <f>Source!DD519</f>
        <v>)*2</v>
      </c>
      <c r="H636" s="9">
        <f>Source!AW519</f>
        <v>1</v>
      </c>
      <c r="I636" s="9">
        <f>IF(Source!BC519&lt;&gt; 0, Source!BC519, 1)</f>
        <v>1</v>
      </c>
      <c r="J636" s="21">
        <f>Source!P519</f>
        <v>35.9</v>
      </c>
      <c r="K636" s="21"/>
    </row>
    <row r="637" spans="1:22" ht="14.25" x14ac:dyDescent="0.2">
      <c r="A637" s="18"/>
      <c r="B637" s="18"/>
      <c r="C637" s="18" t="s">
        <v>1102</v>
      </c>
      <c r="D637" s="19" t="s">
        <v>1103</v>
      </c>
      <c r="E637" s="9">
        <f>Source!AT519</f>
        <v>70</v>
      </c>
      <c r="F637" s="21"/>
      <c r="G637" s="20"/>
      <c r="H637" s="9"/>
      <c r="I637" s="9"/>
      <c r="J637" s="21">
        <f>SUM(R632:R636)</f>
        <v>3511.65</v>
      </c>
      <c r="K637" s="21"/>
    </row>
    <row r="638" spans="1:22" ht="14.25" x14ac:dyDescent="0.2">
      <c r="A638" s="18"/>
      <c r="B638" s="18"/>
      <c r="C638" s="18" t="s">
        <v>1104</v>
      </c>
      <c r="D638" s="19" t="s">
        <v>1103</v>
      </c>
      <c r="E638" s="9">
        <f>Source!AU519</f>
        <v>10</v>
      </c>
      <c r="F638" s="21"/>
      <c r="G638" s="20"/>
      <c r="H638" s="9"/>
      <c r="I638" s="9"/>
      <c r="J638" s="21">
        <f>SUM(T632:T637)</f>
        <v>501.66</v>
      </c>
      <c r="K638" s="21"/>
    </row>
    <row r="639" spans="1:22" ht="14.25" x14ac:dyDescent="0.2">
      <c r="A639" s="18"/>
      <c r="B639" s="18"/>
      <c r="C639" s="18" t="s">
        <v>1109</v>
      </c>
      <c r="D639" s="19" t="s">
        <v>1103</v>
      </c>
      <c r="E639" s="9">
        <f>108</f>
        <v>108</v>
      </c>
      <c r="F639" s="21"/>
      <c r="G639" s="20"/>
      <c r="H639" s="9"/>
      <c r="I639" s="9"/>
      <c r="J639" s="21">
        <f>SUM(V632:V638)</f>
        <v>0.09</v>
      </c>
      <c r="K639" s="21"/>
    </row>
    <row r="640" spans="1:22" ht="14.25" x14ac:dyDescent="0.2">
      <c r="A640" s="18"/>
      <c r="B640" s="18"/>
      <c r="C640" s="18" t="s">
        <v>1105</v>
      </c>
      <c r="D640" s="19" t="s">
        <v>1106</v>
      </c>
      <c r="E640" s="9">
        <f>Source!AQ519</f>
        <v>3.78</v>
      </c>
      <c r="F640" s="21"/>
      <c r="G640" s="20" t="str">
        <f>Source!DI519</f>
        <v>)*2</v>
      </c>
      <c r="H640" s="9">
        <f>Source!AV519</f>
        <v>1</v>
      </c>
      <c r="I640" s="9"/>
      <c r="J640" s="21"/>
      <c r="K640" s="21">
        <f>Source!U519</f>
        <v>7.56</v>
      </c>
    </row>
    <row r="641" spans="1:22" ht="15" x14ac:dyDescent="0.25">
      <c r="A641" s="23"/>
      <c r="B641" s="23"/>
      <c r="C641" s="23"/>
      <c r="D641" s="23"/>
      <c r="E641" s="23"/>
      <c r="F641" s="23"/>
      <c r="G641" s="23"/>
      <c r="H641" s="23"/>
      <c r="I641" s="44">
        <f>J633+J634+J636+J637+J638+J639</f>
        <v>9071.9</v>
      </c>
      <c r="J641" s="44"/>
      <c r="K641" s="24">
        <f>IF(Source!I519&lt;&gt;0, ROUND(I641/Source!I519, 2), 0)</f>
        <v>9071.9</v>
      </c>
      <c r="P641" s="22">
        <f>I641</f>
        <v>9071.9</v>
      </c>
    </row>
    <row r="642" spans="1:22" ht="42.75" x14ac:dyDescent="0.2">
      <c r="A642" s="18">
        <v>70</v>
      </c>
      <c r="B642" s="18" t="str">
        <f>Source!F523</f>
        <v>1.18-2403-21-15/1</v>
      </c>
      <c r="C642" s="18" t="str">
        <f>Source!G523</f>
        <v>Техническое обслуживание приточных установок производительностью до 40000 м3/ч - ежеквартальное</v>
      </c>
      <c r="D642" s="19" t="str">
        <f>Source!H523</f>
        <v>установка</v>
      </c>
      <c r="E642" s="9">
        <f>Source!I523</f>
        <v>3</v>
      </c>
      <c r="F642" s="21"/>
      <c r="G642" s="20"/>
      <c r="H642" s="9"/>
      <c r="I642" s="9"/>
      <c r="J642" s="21"/>
      <c r="K642" s="21"/>
      <c r="Q642">
        <f>ROUND((Source!BZ523/100)*ROUND((Source!AF523*Source!AV523)*Source!I523, 2), 2)</f>
        <v>18951.7</v>
      </c>
      <c r="R642">
        <f>Source!X523</f>
        <v>18951.7</v>
      </c>
      <c r="S642">
        <f>ROUND((Source!CA523/100)*ROUND((Source!AF523*Source!AV523)*Source!I523, 2), 2)</f>
        <v>2707.39</v>
      </c>
      <c r="T642">
        <f>Source!Y523</f>
        <v>2707.39</v>
      </c>
      <c r="U642">
        <f>ROUND((175/100)*ROUND((Source!AE523*Source!AV523)*Source!I523, 2), 2)</f>
        <v>1.37</v>
      </c>
      <c r="V642">
        <f>ROUND((108/100)*ROUND(Source!CS523*Source!I523, 2), 2)</f>
        <v>0.84</v>
      </c>
    </row>
    <row r="643" spans="1:22" ht="14.25" x14ac:dyDescent="0.2">
      <c r="A643" s="18"/>
      <c r="B643" s="18"/>
      <c r="C643" s="18" t="s">
        <v>1100</v>
      </c>
      <c r="D643" s="19"/>
      <c r="E643" s="9"/>
      <c r="F643" s="21">
        <f>Source!AO523</f>
        <v>4512.3100000000004</v>
      </c>
      <c r="G643" s="20" t="str">
        <f>Source!DG523</f>
        <v>)*2</v>
      </c>
      <c r="H643" s="9">
        <f>Source!AV523</f>
        <v>1</v>
      </c>
      <c r="I643" s="9">
        <f>IF(Source!BA523&lt;&gt; 0, Source!BA523, 1)</f>
        <v>1</v>
      </c>
      <c r="J643" s="21">
        <f>Source!S523</f>
        <v>27073.86</v>
      </c>
      <c r="K643" s="21"/>
    </row>
    <row r="644" spans="1:22" ht="14.25" x14ac:dyDescent="0.2">
      <c r="A644" s="18"/>
      <c r="B644" s="18"/>
      <c r="C644" s="18" t="s">
        <v>1107</v>
      </c>
      <c r="D644" s="19"/>
      <c r="E644" s="9"/>
      <c r="F644" s="21">
        <f>Source!AM523</f>
        <v>9.52</v>
      </c>
      <c r="G644" s="20" t="str">
        <f>Source!DE523</f>
        <v>)*2</v>
      </c>
      <c r="H644" s="9">
        <f>Source!AV523</f>
        <v>1</v>
      </c>
      <c r="I644" s="9">
        <f>IF(Source!BB523&lt;&gt; 0, Source!BB523, 1)</f>
        <v>1</v>
      </c>
      <c r="J644" s="21">
        <f>Source!Q523</f>
        <v>57.12</v>
      </c>
      <c r="K644" s="21"/>
    </row>
    <row r="645" spans="1:22" ht="14.25" x14ac:dyDescent="0.2">
      <c r="A645" s="18"/>
      <c r="B645" s="18"/>
      <c r="C645" s="18" t="s">
        <v>1108</v>
      </c>
      <c r="D645" s="19"/>
      <c r="E645" s="9"/>
      <c r="F645" s="21">
        <f>Source!AN523</f>
        <v>0.13</v>
      </c>
      <c r="G645" s="20" t="str">
        <f>Source!DF523</f>
        <v>)*2</v>
      </c>
      <c r="H645" s="9">
        <f>Source!AV523</f>
        <v>1</v>
      </c>
      <c r="I645" s="9">
        <f>IF(Source!BS523&lt;&gt; 0, Source!BS523, 1)</f>
        <v>1</v>
      </c>
      <c r="J645" s="25">
        <f>Source!R523</f>
        <v>0.78</v>
      </c>
      <c r="K645" s="21"/>
    </row>
    <row r="646" spans="1:22" ht="14.25" x14ac:dyDescent="0.2">
      <c r="A646" s="18"/>
      <c r="B646" s="18"/>
      <c r="C646" s="18" t="s">
        <v>1101</v>
      </c>
      <c r="D646" s="19"/>
      <c r="E646" s="9"/>
      <c r="F646" s="21">
        <f>Source!AL523</f>
        <v>42.2</v>
      </c>
      <c r="G646" s="20" t="str">
        <f>Source!DD523</f>
        <v>)*2</v>
      </c>
      <c r="H646" s="9">
        <f>Source!AW523</f>
        <v>1</v>
      </c>
      <c r="I646" s="9">
        <f>IF(Source!BC523&lt;&gt; 0, Source!BC523, 1)</f>
        <v>1</v>
      </c>
      <c r="J646" s="21">
        <f>Source!P523</f>
        <v>253.2</v>
      </c>
      <c r="K646" s="21"/>
    </row>
    <row r="647" spans="1:22" ht="14.25" x14ac:dyDescent="0.2">
      <c r="A647" s="18"/>
      <c r="B647" s="18"/>
      <c r="C647" s="18" t="s">
        <v>1102</v>
      </c>
      <c r="D647" s="19" t="s">
        <v>1103</v>
      </c>
      <c r="E647" s="9">
        <f>Source!AT523</f>
        <v>70</v>
      </c>
      <c r="F647" s="21"/>
      <c r="G647" s="20"/>
      <c r="H647" s="9"/>
      <c r="I647" s="9"/>
      <c r="J647" s="21">
        <f>SUM(R642:R646)</f>
        <v>18951.7</v>
      </c>
      <c r="K647" s="21"/>
    </row>
    <row r="648" spans="1:22" ht="14.25" x14ac:dyDescent="0.2">
      <c r="A648" s="18"/>
      <c r="B648" s="18"/>
      <c r="C648" s="18" t="s">
        <v>1104</v>
      </c>
      <c r="D648" s="19" t="s">
        <v>1103</v>
      </c>
      <c r="E648" s="9">
        <f>Source!AU523</f>
        <v>10</v>
      </c>
      <c r="F648" s="21"/>
      <c r="G648" s="20"/>
      <c r="H648" s="9"/>
      <c r="I648" s="9"/>
      <c r="J648" s="21">
        <f>SUM(T642:T647)</f>
        <v>2707.39</v>
      </c>
      <c r="K648" s="21"/>
    </row>
    <row r="649" spans="1:22" ht="14.25" x14ac:dyDescent="0.2">
      <c r="A649" s="18"/>
      <c r="B649" s="18"/>
      <c r="C649" s="18" t="s">
        <v>1109</v>
      </c>
      <c r="D649" s="19" t="s">
        <v>1103</v>
      </c>
      <c r="E649" s="9">
        <f>108</f>
        <v>108</v>
      </c>
      <c r="F649" s="21"/>
      <c r="G649" s="20"/>
      <c r="H649" s="9"/>
      <c r="I649" s="9"/>
      <c r="J649" s="21">
        <f>SUM(V642:V648)</f>
        <v>0.84</v>
      </c>
      <c r="K649" s="21"/>
    </row>
    <row r="650" spans="1:22" ht="14.25" x14ac:dyDescent="0.2">
      <c r="A650" s="18"/>
      <c r="B650" s="18"/>
      <c r="C650" s="18" t="s">
        <v>1105</v>
      </c>
      <c r="D650" s="19" t="s">
        <v>1106</v>
      </c>
      <c r="E650" s="9">
        <f>Source!AQ523</f>
        <v>6.8</v>
      </c>
      <c r="F650" s="21"/>
      <c r="G650" s="20" t="str">
        <f>Source!DI523</f>
        <v>)*2</v>
      </c>
      <c r="H650" s="9">
        <f>Source!AV523</f>
        <v>1</v>
      </c>
      <c r="I650" s="9"/>
      <c r="J650" s="21"/>
      <c r="K650" s="21">
        <f>Source!U523</f>
        <v>40.799999999999997</v>
      </c>
    </row>
    <row r="651" spans="1:22" ht="15" x14ac:dyDescent="0.25">
      <c r="A651" s="23"/>
      <c r="B651" s="23"/>
      <c r="C651" s="23"/>
      <c r="D651" s="23"/>
      <c r="E651" s="23"/>
      <c r="F651" s="23"/>
      <c r="G651" s="23"/>
      <c r="H651" s="23"/>
      <c r="I651" s="44">
        <f>J643+J644+J646+J647+J648+J649</f>
        <v>49044.11</v>
      </c>
      <c r="J651" s="44"/>
      <c r="K651" s="24">
        <f>IF(Source!I523&lt;&gt;0, ROUND(I651/Source!I523, 2), 0)</f>
        <v>16348.04</v>
      </c>
      <c r="P651" s="22">
        <f>I651</f>
        <v>49044.11</v>
      </c>
    </row>
    <row r="652" spans="1:22" ht="57" x14ac:dyDescent="0.2">
      <c r="A652" s="18">
        <v>71</v>
      </c>
      <c r="B652" s="18" t="str">
        <f>Source!F529</f>
        <v>1.24-2103-45-4/1</v>
      </c>
      <c r="C652" s="18" t="str">
        <f>Source!G529</f>
        <v>Техническое обслуживание ежеквартальное холодильных установок мощностью 420 кВт / применительно до 23 кВт</v>
      </c>
      <c r="D652" s="19" t="str">
        <f>Source!H529</f>
        <v>установка</v>
      </c>
      <c r="E652" s="9">
        <f>Source!I529</f>
        <v>4</v>
      </c>
      <c r="F652" s="21"/>
      <c r="G652" s="20"/>
      <c r="H652" s="9"/>
      <c r="I652" s="9"/>
      <c r="J652" s="21"/>
      <c r="K652" s="21"/>
      <c r="Q652">
        <f>ROUND((Source!BZ529/100)*ROUND((Source!AF529*Source!AV529)*Source!I529, 2), 2)</f>
        <v>25299.9</v>
      </c>
      <c r="R652">
        <f>Source!X529</f>
        <v>25299.9</v>
      </c>
      <c r="S652">
        <f>ROUND((Source!CA529/100)*ROUND((Source!AF529*Source!AV529)*Source!I529, 2), 2)</f>
        <v>3614.27</v>
      </c>
      <c r="T652">
        <f>Source!Y529</f>
        <v>3614.27</v>
      </c>
      <c r="U652">
        <f>ROUND((175/100)*ROUND((Source!AE529*Source!AV529)*Source!I529, 2), 2)</f>
        <v>4858</v>
      </c>
      <c r="V652">
        <f>ROUND((108/100)*ROUND(Source!CS529*Source!I529, 2), 2)</f>
        <v>2998.08</v>
      </c>
    </row>
    <row r="653" spans="1:22" ht="14.25" x14ac:dyDescent="0.2">
      <c r="A653" s="18"/>
      <c r="B653" s="18"/>
      <c r="C653" s="18" t="s">
        <v>1100</v>
      </c>
      <c r="D653" s="19"/>
      <c r="E653" s="9"/>
      <c r="F653" s="21">
        <f>Source!AO529</f>
        <v>4517.84</v>
      </c>
      <c r="G653" s="20" t="str">
        <f>Source!DG529</f>
        <v>)*2</v>
      </c>
      <c r="H653" s="9">
        <f>Source!AV529</f>
        <v>1</v>
      </c>
      <c r="I653" s="9">
        <f>IF(Source!BA529&lt;&gt; 0, Source!BA529, 1)</f>
        <v>1</v>
      </c>
      <c r="J653" s="21">
        <f>Source!S529</f>
        <v>36142.720000000001</v>
      </c>
      <c r="K653" s="21"/>
    </row>
    <row r="654" spans="1:22" ht="14.25" x14ac:dyDescent="0.2">
      <c r="A654" s="18"/>
      <c r="B654" s="18"/>
      <c r="C654" s="18" t="s">
        <v>1107</v>
      </c>
      <c r="D654" s="19"/>
      <c r="E654" s="9"/>
      <c r="F654" s="21">
        <f>Source!AM529</f>
        <v>547.26</v>
      </c>
      <c r="G654" s="20" t="str">
        <f>Source!DE529</f>
        <v>)*2</v>
      </c>
      <c r="H654" s="9">
        <f>Source!AV529</f>
        <v>1</v>
      </c>
      <c r="I654" s="9">
        <f>IF(Source!BB529&lt;&gt; 0, Source!BB529, 1)</f>
        <v>1</v>
      </c>
      <c r="J654" s="21">
        <f>Source!Q529</f>
        <v>4378.08</v>
      </c>
      <c r="K654" s="21"/>
    </row>
    <row r="655" spans="1:22" ht="14.25" x14ac:dyDescent="0.2">
      <c r="A655" s="18"/>
      <c r="B655" s="18"/>
      <c r="C655" s="18" t="s">
        <v>1108</v>
      </c>
      <c r="D655" s="19"/>
      <c r="E655" s="9"/>
      <c r="F655" s="21">
        <f>Source!AN529</f>
        <v>347</v>
      </c>
      <c r="G655" s="20" t="str">
        <f>Source!DF529</f>
        <v>)*2</v>
      </c>
      <c r="H655" s="9">
        <f>Source!AV529</f>
        <v>1</v>
      </c>
      <c r="I655" s="9">
        <f>IF(Source!BS529&lt;&gt; 0, Source!BS529, 1)</f>
        <v>1</v>
      </c>
      <c r="J655" s="25">
        <f>Source!R529</f>
        <v>2776</v>
      </c>
      <c r="K655" s="21"/>
    </row>
    <row r="656" spans="1:22" ht="14.25" x14ac:dyDescent="0.2">
      <c r="A656" s="18"/>
      <c r="B656" s="18"/>
      <c r="C656" s="18" t="s">
        <v>1101</v>
      </c>
      <c r="D656" s="19"/>
      <c r="E656" s="9"/>
      <c r="F656" s="21">
        <f>Source!AL529</f>
        <v>355.16</v>
      </c>
      <c r="G656" s="20" t="str">
        <f>Source!DD529</f>
        <v>)*2</v>
      </c>
      <c r="H656" s="9">
        <f>Source!AW529</f>
        <v>1</v>
      </c>
      <c r="I656" s="9">
        <f>IF(Source!BC529&lt;&gt; 0, Source!BC529, 1)</f>
        <v>1</v>
      </c>
      <c r="J656" s="21">
        <f>Source!P529</f>
        <v>2841.28</v>
      </c>
      <c r="K656" s="21"/>
    </row>
    <row r="657" spans="1:22" ht="14.25" x14ac:dyDescent="0.2">
      <c r="A657" s="18"/>
      <c r="B657" s="18"/>
      <c r="C657" s="18" t="s">
        <v>1102</v>
      </c>
      <c r="D657" s="19" t="s">
        <v>1103</v>
      </c>
      <c r="E657" s="9">
        <f>Source!AT529</f>
        <v>70</v>
      </c>
      <c r="F657" s="21"/>
      <c r="G657" s="20"/>
      <c r="H657" s="9"/>
      <c r="I657" s="9"/>
      <c r="J657" s="21">
        <f>SUM(R652:R656)</f>
        <v>25299.9</v>
      </c>
      <c r="K657" s="21"/>
    </row>
    <row r="658" spans="1:22" ht="14.25" x14ac:dyDescent="0.2">
      <c r="A658" s="18"/>
      <c r="B658" s="18"/>
      <c r="C658" s="18" t="s">
        <v>1104</v>
      </c>
      <c r="D658" s="19" t="s">
        <v>1103</v>
      </c>
      <c r="E658" s="9">
        <f>Source!AU529</f>
        <v>10</v>
      </c>
      <c r="F658" s="21"/>
      <c r="G658" s="20"/>
      <c r="H658" s="9"/>
      <c r="I658" s="9"/>
      <c r="J658" s="21">
        <f>SUM(T652:T657)</f>
        <v>3614.27</v>
      </c>
      <c r="K658" s="21"/>
    </row>
    <row r="659" spans="1:22" ht="14.25" x14ac:dyDescent="0.2">
      <c r="A659" s="18"/>
      <c r="B659" s="18"/>
      <c r="C659" s="18" t="s">
        <v>1109</v>
      </c>
      <c r="D659" s="19" t="s">
        <v>1103</v>
      </c>
      <c r="E659" s="9">
        <f>108</f>
        <v>108</v>
      </c>
      <c r="F659" s="21"/>
      <c r="G659" s="20"/>
      <c r="H659" s="9"/>
      <c r="I659" s="9"/>
      <c r="J659" s="21">
        <f>SUM(V652:V658)</f>
        <v>2998.08</v>
      </c>
      <c r="K659" s="21"/>
    </row>
    <row r="660" spans="1:22" ht="14.25" x14ac:dyDescent="0.2">
      <c r="A660" s="18"/>
      <c r="B660" s="18"/>
      <c r="C660" s="18" t="s">
        <v>1105</v>
      </c>
      <c r="D660" s="19" t="s">
        <v>1106</v>
      </c>
      <c r="E660" s="9">
        <f>Source!AQ529</f>
        <v>6.8</v>
      </c>
      <c r="F660" s="21"/>
      <c r="G660" s="20" t="str">
        <f>Source!DI529</f>
        <v>)*2</v>
      </c>
      <c r="H660" s="9">
        <f>Source!AV529</f>
        <v>1</v>
      </c>
      <c r="I660" s="9"/>
      <c r="J660" s="21"/>
      <c r="K660" s="21">
        <f>Source!U529</f>
        <v>54.4</v>
      </c>
    </row>
    <row r="661" spans="1:22" ht="15" x14ac:dyDescent="0.25">
      <c r="A661" s="23"/>
      <c r="B661" s="23"/>
      <c r="C661" s="23"/>
      <c r="D661" s="23"/>
      <c r="E661" s="23"/>
      <c r="F661" s="23"/>
      <c r="G661" s="23"/>
      <c r="H661" s="23"/>
      <c r="I661" s="44">
        <f>J653+J654+J656+J657+J658+J659</f>
        <v>75274.330000000016</v>
      </c>
      <c r="J661" s="44"/>
      <c r="K661" s="24">
        <f>IF(Source!I529&lt;&gt;0, ROUND(I661/Source!I529, 2), 0)</f>
        <v>18818.580000000002</v>
      </c>
      <c r="P661" s="22">
        <f>I661</f>
        <v>75274.330000000016</v>
      </c>
    </row>
    <row r="662" spans="1:22" ht="57" x14ac:dyDescent="0.2">
      <c r="A662" s="18">
        <v>72</v>
      </c>
      <c r="B662" s="18" t="str">
        <f>Source!F532</f>
        <v>1.24-2103-45-4/1</v>
      </c>
      <c r="C662" s="18" t="str">
        <f>Source!G532</f>
        <v>Техническое обслуживание ежеквартальное холодильных установок мощностью 420 кВт / применительно до 175 кВт</v>
      </c>
      <c r="D662" s="19" t="str">
        <f>Source!H532</f>
        <v>установка</v>
      </c>
      <c r="E662" s="9">
        <f>Source!I532</f>
        <v>3</v>
      </c>
      <c r="F662" s="21"/>
      <c r="G662" s="20"/>
      <c r="H662" s="9"/>
      <c r="I662" s="9"/>
      <c r="J662" s="21"/>
      <c r="K662" s="21"/>
      <c r="Q662">
        <f>ROUND((Source!BZ532/100)*ROUND((Source!AF532*Source!AV532)*Source!I532, 2), 2)</f>
        <v>18974.93</v>
      </c>
      <c r="R662">
        <f>Source!X532</f>
        <v>18974.93</v>
      </c>
      <c r="S662">
        <f>ROUND((Source!CA532/100)*ROUND((Source!AF532*Source!AV532)*Source!I532, 2), 2)</f>
        <v>2710.7</v>
      </c>
      <c r="T662">
        <f>Source!Y532</f>
        <v>2710.7</v>
      </c>
      <c r="U662">
        <f>ROUND((175/100)*ROUND((Source!AE532*Source!AV532)*Source!I532, 2), 2)</f>
        <v>3643.5</v>
      </c>
      <c r="V662">
        <f>ROUND((108/100)*ROUND(Source!CS532*Source!I532, 2), 2)</f>
        <v>2248.56</v>
      </c>
    </row>
    <row r="663" spans="1:22" ht="14.25" x14ac:dyDescent="0.2">
      <c r="A663" s="18"/>
      <c r="B663" s="18"/>
      <c r="C663" s="18" t="s">
        <v>1100</v>
      </c>
      <c r="D663" s="19"/>
      <c r="E663" s="9"/>
      <c r="F663" s="21">
        <f>Source!AO532</f>
        <v>4517.84</v>
      </c>
      <c r="G663" s="20" t="str">
        <f>Source!DG532</f>
        <v>)*2</v>
      </c>
      <c r="H663" s="9">
        <f>Source!AV532</f>
        <v>1</v>
      </c>
      <c r="I663" s="9">
        <f>IF(Source!BA532&lt;&gt; 0, Source!BA532, 1)</f>
        <v>1</v>
      </c>
      <c r="J663" s="21">
        <f>Source!S532</f>
        <v>27107.040000000001</v>
      </c>
      <c r="K663" s="21"/>
    </row>
    <row r="664" spans="1:22" ht="14.25" x14ac:dyDescent="0.2">
      <c r="A664" s="18"/>
      <c r="B664" s="18"/>
      <c r="C664" s="18" t="s">
        <v>1107</v>
      </c>
      <c r="D664" s="19"/>
      <c r="E664" s="9"/>
      <c r="F664" s="21">
        <f>Source!AM532</f>
        <v>547.26</v>
      </c>
      <c r="G664" s="20" t="str">
        <f>Source!DE532</f>
        <v>)*2</v>
      </c>
      <c r="H664" s="9">
        <f>Source!AV532</f>
        <v>1</v>
      </c>
      <c r="I664" s="9">
        <f>IF(Source!BB532&lt;&gt; 0, Source!BB532, 1)</f>
        <v>1</v>
      </c>
      <c r="J664" s="21">
        <f>Source!Q532</f>
        <v>3283.56</v>
      </c>
      <c r="K664" s="21"/>
    </row>
    <row r="665" spans="1:22" ht="14.25" x14ac:dyDescent="0.2">
      <c r="A665" s="18"/>
      <c r="B665" s="18"/>
      <c r="C665" s="18" t="s">
        <v>1108</v>
      </c>
      <c r="D665" s="19"/>
      <c r="E665" s="9"/>
      <c r="F665" s="21">
        <f>Source!AN532</f>
        <v>347</v>
      </c>
      <c r="G665" s="20" t="str">
        <f>Source!DF532</f>
        <v>)*2</v>
      </c>
      <c r="H665" s="9">
        <f>Source!AV532</f>
        <v>1</v>
      </c>
      <c r="I665" s="9">
        <f>IF(Source!BS532&lt;&gt; 0, Source!BS532, 1)</f>
        <v>1</v>
      </c>
      <c r="J665" s="25">
        <f>Source!R532</f>
        <v>2082</v>
      </c>
      <c r="K665" s="21"/>
    </row>
    <row r="666" spans="1:22" ht="14.25" x14ac:dyDescent="0.2">
      <c r="A666" s="18"/>
      <c r="B666" s="18"/>
      <c r="C666" s="18" t="s">
        <v>1101</v>
      </c>
      <c r="D666" s="19"/>
      <c r="E666" s="9"/>
      <c r="F666" s="21">
        <f>Source!AL532</f>
        <v>355.16</v>
      </c>
      <c r="G666" s="20" t="str">
        <f>Source!DD532</f>
        <v>)*2</v>
      </c>
      <c r="H666" s="9">
        <f>Source!AW532</f>
        <v>1</v>
      </c>
      <c r="I666" s="9">
        <f>IF(Source!BC532&lt;&gt; 0, Source!BC532, 1)</f>
        <v>1</v>
      </c>
      <c r="J666" s="21">
        <f>Source!P532</f>
        <v>2130.96</v>
      </c>
      <c r="K666" s="21"/>
    </row>
    <row r="667" spans="1:22" ht="14.25" x14ac:dyDescent="0.2">
      <c r="A667" s="18"/>
      <c r="B667" s="18"/>
      <c r="C667" s="18" t="s">
        <v>1102</v>
      </c>
      <c r="D667" s="19" t="s">
        <v>1103</v>
      </c>
      <c r="E667" s="9">
        <f>Source!AT532</f>
        <v>70</v>
      </c>
      <c r="F667" s="21"/>
      <c r="G667" s="20"/>
      <c r="H667" s="9"/>
      <c r="I667" s="9"/>
      <c r="J667" s="21">
        <f>SUM(R662:R666)</f>
        <v>18974.93</v>
      </c>
      <c r="K667" s="21"/>
    </row>
    <row r="668" spans="1:22" ht="14.25" x14ac:dyDescent="0.2">
      <c r="A668" s="18"/>
      <c r="B668" s="18"/>
      <c r="C668" s="18" t="s">
        <v>1104</v>
      </c>
      <c r="D668" s="19" t="s">
        <v>1103</v>
      </c>
      <c r="E668" s="9">
        <f>Source!AU532</f>
        <v>10</v>
      </c>
      <c r="F668" s="21"/>
      <c r="G668" s="20"/>
      <c r="H668" s="9"/>
      <c r="I668" s="9"/>
      <c r="J668" s="21">
        <f>SUM(T662:T667)</f>
        <v>2710.7</v>
      </c>
      <c r="K668" s="21"/>
    </row>
    <row r="669" spans="1:22" ht="14.25" x14ac:dyDescent="0.2">
      <c r="A669" s="18"/>
      <c r="B669" s="18"/>
      <c r="C669" s="18" t="s">
        <v>1109</v>
      </c>
      <c r="D669" s="19" t="s">
        <v>1103</v>
      </c>
      <c r="E669" s="9">
        <f>108</f>
        <v>108</v>
      </c>
      <c r="F669" s="21"/>
      <c r="G669" s="20"/>
      <c r="H669" s="9"/>
      <c r="I669" s="9"/>
      <c r="J669" s="21">
        <f>SUM(V662:V668)</f>
        <v>2248.56</v>
      </c>
      <c r="K669" s="21"/>
    </row>
    <row r="670" spans="1:22" ht="14.25" x14ac:dyDescent="0.2">
      <c r="A670" s="18"/>
      <c r="B670" s="18"/>
      <c r="C670" s="18" t="s">
        <v>1105</v>
      </c>
      <c r="D670" s="19" t="s">
        <v>1106</v>
      </c>
      <c r="E670" s="9">
        <f>Source!AQ532</f>
        <v>6.8</v>
      </c>
      <c r="F670" s="21"/>
      <c r="G670" s="20" t="str">
        <f>Source!DI532</f>
        <v>)*2</v>
      </c>
      <c r="H670" s="9">
        <f>Source!AV532</f>
        <v>1</v>
      </c>
      <c r="I670" s="9"/>
      <c r="J670" s="21"/>
      <c r="K670" s="21">
        <f>Source!U532</f>
        <v>40.799999999999997</v>
      </c>
    </row>
    <row r="671" spans="1:22" ht="15" x14ac:dyDescent="0.25">
      <c r="A671" s="23"/>
      <c r="B671" s="23"/>
      <c r="C671" s="23"/>
      <c r="D671" s="23"/>
      <c r="E671" s="23"/>
      <c r="F671" s="23"/>
      <c r="G671" s="23"/>
      <c r="H671" s="23"/>
      <c r="I671" s="44">
        <f>J663+J664+J666+J667+J668+J669</f>
        <v>56455.75</v>
      </c>
      <c r="J671" s="44"/>
      <c r="K671" s="24">
        <f>IF(Source!I532&lt;&gt;0, ROUND(I671/Source!I532, 2), 0)</f>
        <v>18818.580000000002</v>
      </c>
      <c r="P671" s="22">
        <f>I671</f>
        <v>56455.75</v>
      </c>
    </row>
    <row r="672" spans="1:22" ht="42.75" x14ac:dyDescent="0.2">
      <c r="A672" s="18">
        <v>73</v>
      </c>
      <c r="B672" s="18" t="str">
        <f>Source!F536</f>
        <v>1.18-2403-20-4/1</v>
      </c>
      <c r="C672" s="18" t="str">
        <f>Source!G536</f>
        <v>Техническое обслуживание вытяжных установок производительностью до 20000 м3/ч - ежеквартальное</v>
      </c>
      <c r="D672" s="19" t="str">
        <f>Source!H536</f>
        <v>установка</v>
      </c>
      <c r="E672" s="9">
        <f>Source!I536</f>
        <v>4</v>
      </c>
      <c r="F672" s="21"/>
      <c r="G672" s="20"/>
      <c r="H672" s="9"/>
      <c r="I672" s="9"/>
      <c r="J672" s="21"/>
      <c r="K672" s="21"/>
      <c r="Q672">
        <f>ROUND((Source!BZ536/100)*ROUND((Source!AF536*Source!AV536)*Source!I536, 2), 2)</f>
        <v>10330.540000000001</v>
      </c>
      <c r="R672">
        <f>Source!X536</f>
        <v>10330.540000000001</v>
      </c>
      <c r="S672">
        <f>ROUND((Source!CA536/100)*ROUND((Source!AF536*Source!AV536)*Source!I536, 2), 2)</f>
        <v>1475.79</v>
      </c>
      <c r="T672">
        <f>Source!Y536</f>
        <v>1475.79</v>
      </c>
      <c r="U672">
        <f>ROUND((175/100)*ROUND((Source!AE536*Source!AV536)*Source!I536, 2), 2)</f>
        <v>0</v>
      </c>
      <c r="V672">
        <f>ROUND((108/100)*ROUND(Source!CS536*Source!I536, 2), 2)</f>
        <v>0</v>
      </c>
    </row>
    <row r="673" spans="1:22" ht="14.25" x14ac:dyDescent="0.2">
      <c r="A673" s="18"/>
      <c r="B673" s="18"/>
      <c r="C673" s="18" t="s">
        <v>1100</v>
      </c>
      <c r="D673" s="19"/>
      <c r="E673" s="9"/>
      <c r="F673" s="21">
        <f>Source!AO536</f>
        <v>1844.74</v>
      </c>
      <c r="G673" s="20" t="str">
        <f>Source!DG536</f>
        <v>)*2</v>
      </c>
      <c r="H673" s="9">
        <f>Source!AV536</f>
        <v>1</v>
      </c>
      <c r="I673" s="9">
        <f>IF(Source!BA536&lt;&gt; 0, Source!BA536, 1)</f>
        <v>1</v>
      </c>
      <c r="J673" s="21">
        <f>Source!S536</f>
        <v>14757.92</v>
      </c>
      <c r="K673" s="21"/>
    </row>
    <row r="674" spans="1:22" ht="14.25" x14ac:dyDescent="0.2">
      <c r="A674" s="18"/>
      <c r="B674" s="18"/>
      <c r="C674" s="18" t="s">
        <v>1101</v>
      </c>
      <c r="D674" s="19"/>
      <c r="E674" s="9"/>
      <c r="F674" s="21">
        <f>Source!AL536</f>
        <v>0.13</v>
      </c>
      <c r="G674" s="20" t="str">
        <f>Source!DD536</f>
        <v>)*2</v>
      </c>
      <c r="H674" s="9">
        <f>Source!AW536</f>
        <v>1</v>
      </c>
      <c r="I674" s="9">
        <f>IF(Source!BC536&lt;&gt; 0, Source!BC536, 1)</f>
        <v>1</v>
      </c>
      <c r="J674" s="21">
        <f>Source!P536</f>
        <v>1.04</v>
      </c>
      <c r="K674" s="21"/>
    </row>
    <row r="675" spans="1:22" ht="14.25" x14ac:dyDescent="0.2">
      <c r="A675" s="18"/>
      <c r="B675" s="18"/>
      <c r="C675" s="18" t="s">
        <v>1102</v>
      </c>
      <c r="D675" s="19" t="s">
        <v>1103</v>
      </c>
      <c r="E675" s="9">
        <f>Source!AT536</f>
        <v>70</v>
      </c>
      <c r="F675" s="21"/>
      <c r="G675" s="20"/>
      <c r="H675" s="9"/>
      <c r="I675" s="9"/>
      <c r="J675" s="21">
        <f>SUM(R672:R674)</f>
        <v>10330.540000000001</v>
      </c>
      <c r="K675" s="21"/>
    </row>
    <row r="676" spans="1:22" ht="14.25" x14ac:dyDescent="0.2">
      <c r="A676" s="18"/>
      <c r="B676" s="18"/>
      <c r="C676" s="18" t="s">
        <v>1104</v>
      </c>
      <c r="D676" s="19" t="s">
        <v>1103</v>
      </c>
      <c r="E676" s="9">
        <f>Source!AU536</f>
        <v>10</v>
      </c>
      <c r="F676" s="21"/>
      <c r="G676" s="20"/>
      <c r="H676" s="9"/>
      <c r="I676" s="9"/>
      <c r="J676" s="21">
        <f>SUM(T672:T675)</f>
        <v>1475.79</v>
      </c>
      <c r="K676" s="21"/>
    </row>
    <row r="677" spans="1:22" ht="14.25" x14ac:dyDescent="0.2">
      <c r="A677" s="18"/>
      <c r="B677" s="18"/>
      <c r="C677" s="18" t="s">
        <v>1105</v>
      </c>
      <c r="D677" s="19" t="s">
        <v>1106</v>
      </c>
      <c r="E677" s="9">
        <f>Source!AQ536</f>
        <v>2.78</v>
      </c>
      <c r="F677" s="21"/>
      <c r="G677" s="20" t="str">
        <f>Source!DI536</f>
        <v>)*2</v>
      </c>
      <c r="H677" s="9">
        <f>Source!AV536</f>
        <v>1</v>
      </c>
      <c r="I677" s="9"/>
      <c r="J677" s="21"/>
      <c r="K677" s="21">
        <f>Source!U536</f>
        <v>22.24</v>
      </c>
    </row>
    <row r="678" spans="1:22" ht="15" x14ac:dyDescent="0.25">
      <c r="A678" s="23"/>
      <c r="B678" s="23"/>
      <c r="C678" s="23"/>
      <c r="D678" s="23"/>
      <c r="E678" s="23"/>
      <c r="F678" s="23"/>
      <c r="G678" s="23"/>
      <c r="H678" s="23"/>
      <c r="I678" s="44">
        <f>J673+J674+J675+J676</f>
        <v>26565.29</v>
      </c>
      <c r="J678" s="44"/>
      <c r="K678" s="24">
        <f>IF(Source!I536&lt;&gt;0, ROUND(I678/Source!I536, 2), 0)</f>
        <v>6641.32</v>
      </c>
      <c r="P678" s="22">
        <f>I678</f>
        <v>26565.29</v>
      </c>
    </row>
    <row r="679" spans="1:22" ht="42.75" x14ac:dyDescent="0.2">
      <c r="A679" s="18">
        <v>74</v>
      </c>
      <c r="B679" s="18" t="str">
        <f>Source!F540</f>
        <v>1.18-2403-20-3/1</v>
      </c>
      <c r="C679" s="18" t="str">
        <f>Source!G540</f>
        <v>Техническое обслуживание вытяжных установок производительностью до 5000 м3/ч - ежеквартальное</v>
      </c>
      <c r="D679" s="19" t="str">
        <f>Source!H540</f>
        <v>установка</v>
      </c>
      <c r="E679" s="9">
        <f>Source!I540</f>
        <v>3</v>
      </c>
      <c r="F679" s="21"/>
      <c r="G679" s="20"/>
      <c r="H679" s="9"/>
      <c r="I679" s="9"/>
      <c r="J679" s="21"/>
      <c r="K679" s="21"/>
      <c r="Q679">
        <f>ROUND((Source!BZ540/100)*ROUND((Source!AF540*Source!AV540)*Source!I540, 2), 2)</f>
        <v>6633.1</v>
      </c>
      <c r="R679">
        <f>Source!X540</f>
        <v>6633.1</v>
      </c>
      <c r="S679">
        <f>ROUND((Source!CA540/100)*ROUND((Source!AF540*Source!AV540)*Source!I540, 2), 2)</f>
        <v>947.59</v>
      </c>
      <c r="T679">
        <f>Source!Y540</f>
        <v>947.59</v>
      </c>
      <c r="U679">
        <f>ROUND((175/100)*ROUND((Source!AE540*Source!AV540)*Source!I540, 2), 2)</f>
        <v>0</v>
      </c>
      <c r="V679">
        <f>ROUND((108/100)*ROUND(Source!CS540*Source!I540, 2), 2)</f>
        <v>0</v>
      </c>
    </row>
    <row r="680" spans="1:22" ht="14.25" x14ac:dyDescent="0.2">
      <c r="A680" s="18"/>
      <c r="B680" s="18"/>
      <c r="C680" s="18" t="s">
        <v>1100</v>
      </c>
      <c r="D680" s="19"/>
      <c r="E680" s="9"/>
      <c r="F680" s="21">
        <f>Source!AO540</f>
        <v>1579.31</v>
      </c>
      <c r="G680" s="20" t="str">
        <f>Source!DG540</f>
        <v>)*2</v>
      </c>
      <c r="H680" s="9">
        <f>Source!AV540</f>
        <v>1</v>
      </c>
      <c r="I680" s="9">
        <f>IF(Source!BA540&lt;&gt; 0, Source!BA540, 1)</f>
        <v>1</v>
      </c>
      <c r="J680" s="21">
        <f>Source!S540</f>
        <v>9475.86</v>
      </c>
      <c r="K680" s="21"/>
    </row>
    <row r="681" spans="1:22" ht="14.25" x14ac:dyDescent="0.2">
      <c r="A681" s="18"/>
      <c r="B681" s="18"/>
      <c r="C681" s="18" t="s">
        <v>1101</v>
      </c>
      <c r="D681" s="19"/>
      <c r="E681" s="9"/>
      <c r="F681" s="21">
        <f>Source!AL540</f>
        <v>0.03</v>
      </c>
      <c r="G681" s="20" t="str">
        <f>Source!DD540</f>
        <v>)*2</v>
      </c>
      <c r="H681" s="9">
        <f>Source!AW540</f>
        <v>1</v>
      </c>
      <c r="I681" s="9">
        <f>IF(Source!BC540&lt;&gt; 0, Source!BC540, 1)</f>
        <v>1</v>
      </c>
      <c r="J681" s="21">
        <f>Source!P540</f>
        <v>0.18</v>
      </c>
      <c r="K681" s="21"/>
    </row>
    <row r="682" spans="1:22" ht="14.25" x14ac:dyDescent="0.2">
      <c r="A682" s="18"/>
      <c r="B682" s="18"/>
      <c r="C682" s="18" t="s">
        <v>1102</v>
      </c>
      <c r="D682" s="19" t="s">
        <v>1103</v>
      </c>
      <c r="E682" s="9">
        <f>Source!AT540</f>
        <v>70</v>
      </c>
      <c r="F682" s="21"/>
      <c r="G682" s="20"/>
      <c r="H682" s="9"/>
      <c r="I682" s="9"/>
      <c r="J682" s="21">
        <f>SUM(R679:R681)</f>
        <v>6633.1</v>
      </c>
      <c r="K682" s="21"/>
    </row>
    <row r="683" spans="1:22" ht="14.25" x14ac:dyDescent="0.2">
      <c r="A683" s="18"/>
      <c r="B683" s="18"/>
      <c r="C683" s="18" t="s">
        <v>1104</v>
      </c>
      <c r="D683" s="19" t="s">
        <v>1103</v>
      </c>
      <c r="E683" s="9">
        <f>Source!AU540</f>
        <v>10</v>
      </c>
      <c r="F683" s="21"/>
      <c r="G683" s="20"/>
      <c r="H683" s="9"/>
      <c r="I683" s="9"/>
      <c r="J683" s="21">
        <f>SUM(T679:T682)</f>
        <v>947.59</v>
      </c>
      <c r="K683" s="21"/>
    </row>
    <row r="684" spans="1:22" ht="14.25" x14ac:dyDescent="0.2">
      <c r="A684" s="18"/>
      <c r="B684" s="18"/>
      <c r="C684" s="18" t="s">
        <v>1105</v>
      </c>
      <c r="D684" s="19" t="s">
        <v>1106</v>
      </c>
      <c r="E684" s="9">
        <f>Source!AQ540</f>
        <v>2.38</v>
      </c>
      <c r="F684" s="21"/>
      <c r="G684" s="20" t="str">
        <f>Source!DI540</f>
        <v>)*2</v>
      </c>
      <c r="H684" s="9">
        <f>Source!AV540</f>
        <v>1</v>
      </c>
      <c r="I684" s="9"/>
      <c r="J684" s="21"/>
      <c r="K684" s="21">
        <f>Source!U540</f>
        <v>14.28</v>
      </c>
    </row>
    <row r="685" spans="1:22" ht="15" x14ac:dyDescent="0.25">
      <c r="A685" s="23"/>
      <c r="B685" s="23"/>
      <c r="C685" s="23"/>
      <c r="D685" s="23"/>
      <c r="E685" s="23"/>
      <c r="F685" s="23"/>
      <c r="G685" s="23"/>
      <c r="H685" s="23"/>
      <c r="I685" s="44">
        <f>J680+J681+J682+J683</f>
        <v>17056.73</v>
      </c>
      <c r="J685" s="44"/>
      <c r="K685" s="24">
        <f>IF(Source!I540&lt;&gt;0, ROUND(I685/Source!I540, 2), 0)</f>
        <v>5685.58</v>
      </c>
      <c r="P685" s="22">
        <f>I685</f>
        <v>17056.73</v>
      </c>
    </row>
    <row r="687" spans="1:22" ht="15" customHeight="1" x14ac:dyDescent="0.25">
      <c r="B687" s="47" t="str">
        <f>Source!G547</f>
        <v>Теплоснабжение, тепловые завесы</v>
      </c>
      <c r="C687" s="47"/>
      <c r="D687" s="47"/>
      <c r="E687" s="47"/>
      <c r="F687" s="47"/>
      <c r="G687" s="47"/>
      <c r="H687" s="47"/>
      <c r="I687" s="47"/>
      <c r="J687" s="47"/>
    </row>
    <row r="688" spans="1:22" ht="71.25" x14ac:dyDescent="0.2">
      <c r="A688" s="18">
        <v>75</v>
      </c>
      <c r="B688" s="18" t="str">
        <f>Source!F548</f>
        <v>1.18-2303-5-4/1</v>
      </c>
      <c r="C688" s="18" t="str">
        <f>Source!G548</f>
        <v>Техническое обслуживание горизонтальных тепловых завес с водяным теплообменником производительностью по воздуху до 5000 м3/ч</v>
      </c>
      <c r="D688" s="19" t="str">
        <f>Source!H548</f>
        <v>шт.</v>
      </c>
      <c r="E688" s="9">
        <f>Source!I548</f>
        <v>16</v>
      </c>
      <c r="F688" s="21"/>
      <c r="G688" s="20"/>
      <c r="H688" s="9"/>
      <c r="I688" s="9"/>
      <c r="J688" s="21"/>
      <c r="K688" s="21"/>
      <c r="Q688">
        <f>ROUND((Source!BZ548/100)*ROUND((Source!AF548*Source!AV548)*Source!I548, 2), 2)</f>
        <v>16201.81</v>
      </c>
      <c r="R688">
        <f>Source!X548</f>
        <v>16201.81</v>
      </c>
      <c r="S688">
        <f>ROUND((Source!CA548/100)*ROUND((Source!AF548*Source!AV548)*Source!I548, 2), 2)</f>
        <v>2314.54</v>
      </c>
      <c r="T688">
        <f>Source!Y548</f>
        <v>2314.54</v>
      </c>
      <c r="U688">
        <f>ROUND((175/100)*ROUND((Source!AE548*Source!AV548)*Source!I548, 2), 2)</f>
        <v>4.2</v>
      </c>
      <c r="V688">
        <f>ROUND((108/100)*ROUND(Source!CS548*Source!I548, 2), 2)</f>
        <v>2.59</v>
      </c>
    </row>
    <row r="689" spans="1:22" ht="14.25" x14ac:dyDescent="0.2">
      <c r="A689" s="18"/>
      <c r="B689" s="18"/>
      <c r="C689" s="18" t="s">
        <v>1100</v>
      </c>
      <c r="D689" s="19"/>
      <c r="E689" s="9"/>
      <c r="F689" s="21">
        <f>Source!AO548</f>
        <v>1446.59</v>
      </c>
      <c r="G689" s="20" t="str">
        <f>Source!DG548</f>
        <v/>
      </c>
      <c r="H689" s="9">
        <f>Source!AV548</f>
        <v>1</v>
      </c>
      <c r="I689" s="9">
        <f>IF(Source!BA548&lt;&gt; 0, Source!BA548, 1)</f>
        <v>1</v>
      </c>
      <c r="J689" s="21">
        <f>Source!S548</f>
        <v>23145.439999999999</v>
      </c>
      <c r="K689" s="21"/>
    </row>
    <row r="690" spans="1:22" ht="14.25" x14ac:dyDescent="0.2">
      <c r="A690" s="18"/>
      <c r="B690" s="18"/>
      <c r="C690" s="18" t="s">
        <v>1107</v>
      </c>
      <c r="D690" s="19"/>
      <c r="E690" s="9"/>
      <c r="F690" s="21">
        <f>Source!AM548</f>
        <v>10.71</v>
      </c>
      <c r="G690" s="20" t="str">
        <f>Source!DE548</f>
        <v/>
      </c>
      <c r="H690" s="9">
        <f>Source!AV548</f>
        <v>1</v>
      </c>
      <c r="I690" s="9">
        <f>IF(Source!BB548&lt;&gt; 0, Source!BB548, 1)</f>
        <v>1</v>
      </c>
      <c r="J690" s="21">
        <f>Source!Q548</f>
        <v>171.36</v>
      </c>
      <c r="K690" s="21"/>
    </row>
    <row r="691" spans="1:22" ht="14.25" x14ac:dyDescent="0.2">
      <c r="A691" s="18"/>
      <c r="B691" s="18"/>
      <c r="C691" s="18" t="s">
        <v>1108</v>
      </c>
      <c r="D691" s="19"/>
      <c r="E691" s="9"/>
      <c r="F691" s="21">
        <f>Source!AN548</f>
        <v>0.15</v>
      </c>
      <c r="G691" s="20" t="str">
        <f>Source!DF548</f>
        <v/>
      </c>
      <c r="H691" s="9">
        <f>Source!AV548</f>
        <v>1</v>
      </c>
      <c r="I691" s="9">
        <f>IF(Source!BS548&lt;&gt; 0, Source!BS548, 1)</f>
        <v>1</v>
      </c>
      <c r="J691" s="25">
        <f>Source!R548</f>
        <v>2.4</v>
      </c>
      <c r="K691" s="21"/>
    </row>
    <row r="692" spans="1:22" ht="14.25" x14ac:dyDescent="0.2">
      <c r="A692" s="18"/>
      <c r="B692" s="18"/>
      <c r="C692" s="18" t="s">
        <v>1101</v>
      </c>
      <c r="D692" s="19"/>
      <c r="E692" s="9"/>
      <c r="F692" s="21">
        <f>Source!AL548</f>
        <v>1.89</v>
      </c>
      <c r="G692" s="20" t="str">
        <f>Source!DD548</f>
        <v/>
      </c>
      <c r="H692" s="9">
        <f>Source!AW548</f>
        <v>1</v>
      </c>
      <c r="I692" s="9">
        <f>IF(Source!BC548&lt;&gt; 0, Source!BC548, 1)</f>
        <v>1</v>
      </c>
      <c r="J692" s="21">
        <f>Source!P548</f>
        <v>30.24</v>
      </c>
      <c r="K692" s="21"/>
    </row>
    <row r="693" spans="1:22" ht="14.25" x14ac:dyDescent="0.2">
      <c r="A693" s="18"/>
      <c r="B693" s="18"/>
      <c r="C693" s="18" t="s">
        <v>1102</v>
      </c>
      <c r="D693" s="19" t="s">
        <v>1103</v>
      </c>
      <c r="E693" s="9">
        <f>Source!AT548</f>
        <v>70</v>
      </c>
      <c r="F693" s="21"/>
      <c r="G693" s="20"/>
      <c r="H693" s="9"/>
      <c r="I693" s="9"/>
      <c r="J693" s="21">
        <f>SUM(R688:R692)</f>
        <v>16201.81</v>
      </c>
      <c r="K693" s="21"/>
    </row>
    <row r="694" spans="1:22" ht="14.25" x14ac:dyDescent="0.2">
      <c r="A694" s="18"/>
      <c r="B694" s="18"/>
      <c r="C694" s="18" t="s">
        <v>1104</v>
      </c>
      <c r="D694" s="19" t="s">
        <v>1103</v>
      </c>
      <c r="E694" s="9">
        <f>Source!AU548</f>
        <v>10</v>
      </c>
      <c r="F694" s="21"/>
      <c r="G694" s="20"/>
      <c r="H694" s="9"/>
      <c r="I694" s="9"/>
      <c r="J694" s="21">
        <f>SUM(T688:T693)</f>
        <v>2314.54</v>
      </c>
      <c r="K694" s="21"/>
    </row>
    <row r="695" spans="1:22" ht="14.25" x14ac:dyDescent="0.2">
      <c r="A695" s="18"/>
      <c r="B695" s="18"/>
      <c r="C695" s="18" t="s">
        <v>1109</v>
      </c>
      <c r="D695" s="19" t="s">
        <v>1103</v>
      </c>
      <c r="E695" s="9">
        <f>108</f>
        <v>108</v>
      </c>
      <c r="F695" s="21"/>
      <c r="G695" s="20"/>
      <c r="H695" s="9"/>
      <c r="I695" s="9"/>
      <c r="J695" s="21">
        <f>SUM(V688:V694)</f>
        <v>2.59</v>
      </c>
      <c r="K695" s="21"/>
    </row>
    <row r="696" spans="1:22" ht="14.25" x14ac:dyDescent="0.2">
      <c r="A696" s="18"/>
      <c r="B696" s="18"/>
      <c r="C696" s="18" t="s">
        <v>1105</v>
      </c>
      <c r="D696" s="19" t="s">
        <v>1106</v>
      </c>
      <c r="E696" s="9">
        <f>Source!AQ548</f>
        <v>2.1800000000000002</v>
      </c>
      <c r="F696" s="21"/>
      <c r="G696" s="20" t="str">
        <f>Source!DI548</f>
        <v/>
      </c>
      <c r="H696" s="9">
        <f>Source!AV548</f>
        <v>1</v>
      </c>
      <c r="I696" s="9"/>
      <c r="J696" s="21"/>
      <c r="K696" s="21">
        <f>Source!U548</f>
        <v>34.880000000000003</v>
      </c>
    </row>
    <row r="697" spans="1:22" ht="15" x14ac:dyDescent="0.25">
      <c r="A697" s="23"/>
      <c r="B697" s="23"/>
      <c r="C697" s="23"/>
      <c r="D697" s="23"/>
      <c r="E697" s="23"/>
      <c r="F697" s="23"/>
      <c r="G697" s="23"/>
      <c r="H697" s="23"/>
      <c r="I697" s="44">
        <f>J689+J690+J692+J693+J694+J695</f>
        <v>41865.979999999996</v>
      </c>
      <c r="J697" s="44"/>
      <c r="K697" s="24">
        <f>IF(Source!I548&lt;&gt;0, ROUND(I697/Source!I548, 2), 0)</f>
        <v>2616.62</v>
      </c>
      <c r="P697" s="22">
        <f>I697</f>
        <v>41865.979999999996</v>
      </c>
    </row>
    <row r="699" spans="1:22" ht="15" customHeight="1" x14ac:dyDescent="0.25">
      <c r="B699" s="47" t="str">
        <f>Source!G550</f>
        <v>Трубопроводы</v>
      </c>
      <c r="C699" s="47"/>
      <c r="D699" s="47"/>
      <c r="E699" s="47"/>
      <c r="F699" s="47"/>
      <c r="G699" s="47"/>
      <c r="H699" s="47"/>
      <c r="I699" s="47"/>
      <c r="J699" s="47"/>
    </row>
    <row r="700" spans="1:22" ht="42.75" x14ac:dyDescent="0.2">
      <c r="A700" s="18">
        <v>76</v>
      </c>
      <c r="B700" s="18" t="str">
        <f>Source!F553</f>
        <v>1.23-2103-41-1/1</v>
      </c>
      <c r="C700" s="18" t="str">
        <f>Source!G553</f>
        <v>Техническое обслуживание регулирующего клапана  /Ручной балансировочный клапан Leno MVT</v>
      </c>
      <c r="D700" s="19" t="str">
        <f>Source!H553</f>
        <v>шт.</v>
      </c>
      <c r="E700" s="9">
        <f>Source!I553</f>
        <v>19</v>
      </c>
      <c r="F700" s="21"/>
      <c r="G700" s="20"/>
      <c r="H700" s="9"/>
      <c r="I700" s="9"/>
      <c r="J700" s="21"/>
      <c r="K700" s="21"/>
      <c r="Q700">
        <f>ROUND((Source!BZ553/100)*ROUND((Source!AF553*Source!AV553)*Source!I553, 2), 2)</f>
        <v>2766.4</v>
      </c>
      <c r="R700">
        <f>Source!X553</f>
        <v>2766.4</v>
      </c>
      <c r="S700">
        <f>ROUND((Source!CA553/100)*ROUND((Source!AF553*Source!AV553)*Source!I553, 2), 2)</f>
        <v>395.2</v>
      </c>
      <c r="T700">
        <f>Source!Y553</f>
        <v>395.2</v>
      </c>
      <c r="U700">
        <f>ROUND((175/100)*ROUND((Source!AE553*Source!AV553)*Source!I553, 2), 2)</f>
        <v>1648.2</v>
      </c>
      <c r="V700">
        <f>ROUND((108/100)*ROUND(Source!CS553*Source!I553, 2), 2)</f>
        <v>1017.18</v>
      </c>
    </row>
    <row r="701" spans="1:22" x14ac:dyDescent="0.2">
      <c r="C701" s="28" t="str">
        <f>"Объем: "&amp;Source!I553&amp;"=2+"&amp;"1+"&amp;"1+"&amp;"15"</f>
        <v>Объем: 19=2+1+1+15</v>
      </c>
    </row>
    <row r="702" spans="1:22" ht="14.25" x14ac:dyDescent="0.2">
      <c r="A702" s="18"/>
      <c r="B702" s="18"/>
      <c r="C702" s="18" t="s">
        <v>1100</v>
      </c>
      <c r="D702" s="19"/>
      <c r="E702" s="9"/>
      <c r="F702" s="21">
        <f>Source!AO553</f>
        <v>208</v>
      </c>
      <c r="G702" s="20" t="str">
        <f>Source!DG553</f>
        <v/>
      </c>
      <c r="H702" s="9">
        <f>Source!AV553</f>
        <v>1</v>
      </c>
      <c r="I702" s="9">
        <f>IF(Source!BA553&lt;&gt; 0, Source!BA553, 1)</f>
        <v>1</v>
      </c>
      <c r="J702" s="21">
        <f>Source!S553</f>
        <v>3952</v>
      </c>
      <c r="K702" s="21"/>
    </row>
    <row r="703" spans="1:22" ht="14.25" x14ac:dyDescent="0.2">
      <c r="A703" s="18"/>
      <c r="B703" s="18"/>
      <c r="C703" s="18" t="s">
        <v>1107</v>
      </c>
      <c r="D703" s="19"/>
      <c r="E703" s="9"/>
      <c r="F703" s="21">
        <f>Source!AM553</f>
        <v>78.180000000000007</v>
      </c>
      <c r="G703" s="20" t="str">
        <f>Source!DE553</f>
        <v/>
      </c>
      <c r="H703" s="9">
        <f>Source!AV553</f>
        <v>1</v>
      </c>
      <c r="I703" s="9">
        <f>IF(Source!BB553&lt;&gt; 0, Source!BB553, 1)</f>
        <v>1</v>
      </c>
      <c r="J703" s="21">
        <f>Source!Q553</f>
        <v>1485.42</v>
      </c>
      <c r="K703" s="21"/>
    </row>
    <row r="704" spans="1:22" ht="14.25" x14ac:dyDescent="0.2">
      <c r="A704" s="18"/>
      <c r="B704" s="18"/>
      <c r="C704" s="18" t="s">
        <v>1108</v>
      </c>
      <c r="D704" s="19"/>
      <c r="E704" s="9"/>
      <c r="F704" s="21">
        <f>Source!AN553</f>
        <v>49.57</v>
      </c>
      <c r="G704" s="20" t="str">
        <f>Source!DF553</f>
        <v/>
      </c>
      <c r="H704" s="9">
        <f>Source!AV553</f>
        <v>1</v>
      </c>
      <c r="I704" s="9">
        <f>IF(Source!BS553&lt;&gt; 0, Source!BS553, 1)</f>
        <v>1</v>
      </c>
      <c r="J704" s="25">
        <f>Source!R553</f>
        <v>941.83</v>
      </c>
      <c r="K704" s="21"/>
    </row>
    <row r="705" spans="1:22" ht="14.25" x14ac:dyDescent="0.2">
      <c r="A705" s="18"/>
      <c r="B705" s="18"/>
      <c r="C705" s="18" t="s">
        <v>1102</v>
      </c>
      <c r="D705" s="19" t="s">
        <v>1103</v>
      </c>
      <c r="E705" s="9">
        <f>Source!AT553</f>
        <v>70</v>
      </c>
      <c r="F705" s="21"/>
      <c r="G705" s="20"/>
      <c r="H705" s="9"/>
      <c r="I705" s="9"/>
      <c r="J705" s="21">
        <f>SUM(R700:R704)</f>
        <v>2766.4</v>
      </c>
      <c r="K705" s="21"/>
    </row>
    <row r="706" spans="1:22" ht="14.25" x14ac:dyDescent="0.2">
      <c r="A706" s="18"/>
      <c r="B706" s="18"/>
      <c r="C706" s="18" t="s">
        <v>1104</v>
      </c>
      <c r="D706" s="19" t="s">
        <v>1103</v>
      </c>
      <c r="E706" s="9">
        <f>Source!AU553</f>
        <v>10</v>
      </c>
      <c r="F706" s="21"/>
      <c r="G706" s="20"/>
      <c r="H706" s="9"/>
      <c r="I706" s="9"/>
      <c r="J706" s="21">
        <f>SUM(T700:T705)</f>
        <v>395.2</v>
      </c>
      <c r="K706" s="21"/>
    </row>
    <row r="707" spans="1:22" ht="14.25" x14ac:dyDescent="0.2">
      <c r="A707" s="18"/>
      <c r="B707" s="18"/>
      <c r="C707" s="18" t="s">
        <v>1109</v>
      </c>
      <c r="D707" s="19" t="s">
        <v>1103</v>
      </c>
      <c r="E707" s="9">
        <f>108</f>
        <v>108</v>
      </c>
      <c r="F707" s="21"/>
      <c r="G707" s="20"/>
      <c r="H707" s="9"/>
      <c r="I707" s="9"/>
      <c r="J707" s="21">
        <f>SUM(V700:V706)</f>
        <v>1017.18</v>
      </c>
      <c r="K707" s="21"/>
    </row>
    <row r="708" spans="1:22" ht="14.25" x14ac:dyDescent="0.2">
      <c r="A708" s="18"/>
      <c r="B708" s="18"/>
      <c r="C708" s="18" t="s">
        <v>1105</v>
      </c>
      <c r="D708" s="19" t="s">
        <v>1106</v>
      </c>
      <c r="E708" s="9">
        <f>Source!AQ553</f>
        <v>0.37</v>
      </c>
      <c r="F708" s="21"/>
      <c r="G708" s="20" t="str">
        <f>Source!DI553</f>
        <v/>
      </c>
      <c r="H708" s="9">
        <f>Source!AV553</f>
        <v>1</v>
      </c>
      <c r="I708" s="9"/>
      <c r="J708" s="21"/>
      <c r="K708" s="21">
        <f>Source!U553</f>
        <v>7.03</v>
      </c>
    </row>
    <row r="709" spans="1:22" ht="15" x14ac:dyDescent="0.25">
      <c r="A709" s="23"/>
      <c r="B709" s="23"/>
      <c r="C709" s="23"/>
      <c r="D709" s="23"/>
      <c r="E709" s="23"/>
      <c r="F709" s="23"/>
      <c r="G709" s="23"/>
      <c r="H709" s="23"/>
      <c r="I709" s="44">
        <f>J702+J703+J705+J706+J707</f>
        <v>9616.2000000000007</v>
      </c>
      <c r="J709" s="44"/>
      <c r="K709" s="24">
        <f>IF(Source!I553&lt;&gt;0, ROUND(I709/Source!I553, 2), 0)</f>
        <v>506.12</v>
      </c>
      <c r="P709" s="22">
        <f>I709</f>
        <v>9616.2000000000007</v>
      </c>
    </row>
    <row r="710" spans="1:22" ht="42.75" x14ac:dyDescent="0.2">
      <c r="A710" s="18">
        <v>77</v>
      </c>
      <c r="B710" s="18" t="str">
        <f>Source!F554</f>
        <v>1.15-2203-7-1/1</v>
      </c>
      <c r="C710" s="18" t="str">
        <f>Source!G554</f>
        <v>Техническое обслуживание крана шарового латунного никелированного диаметром до 25 мм</v>
      </c>
      <c r="D710" s="19" t="str">
        <f>Source!H554</f>
        <v>10 шт.</v>
      </c>
      <c r="E710" s="9">
        <f>Source!I554</f>
        <v>0.4</v>
      </c>
      <c r="F710" s="21"/>
      <c r="G710" s="20"/>
      <c r="H710" s="9"/>
      <c r="I710" s="9"/>
      <c r="J710" s="21"/>
      <c r="K710" s="21"/>
      <c r="Q710">
        <f>ROUND((Source!BZ554/100)*ROUND((Source!AF554*Source!AV554)*Source!I554, 2), 2)</f>
        <v>77.81</v>
      </c>
      <c r="R710">
        <f>Source!X554</f>
        <v>77.81</v>
      </c>
      <c r="S710">
        <f>ROUND((Source!CA554/100)*ROUND((Source!AF554*Source!AV554)*Source!I554, 2), 2)</f>
        <v>11.12</v>
      </c>
      <c r="T710">
        <f>Source!Y554</f>
        <v>11.12</v>
      </c>
      <c r="U710">
        <f>ROUND((175/100)*ROUND((Source!AE554*Source!AV554)*Source!I554, 2), 2)</f>
        <v>0</v>
      </c>
      <c r="V710">
        <f>ROUND((108/100)*ROUND(Source!CS554*Source!I554, 2), 2)</f>
        <v>0</v>
      </c>
    </row>
    <row r="711" spans="1:22" x14ac:dyDescent="0.2">
      <c r="C711" s="28" t="str">
        <f>"Объем: "&amp;Source!I554&amp;"=(2+"&amp;"1+"&amp;"1)/"&amp;"10"</f>
        <v>Объем: 0,4=(2+1+1)/10</v>
      </c>
    </row>
    <row r="712" spans="1:22" ht="14.25" x14ac:dyDescent="0.2">
      <c r="A712" s="18"/>
      <c r="B712" s="18"/>
      <c r="C712" s="18" t="s">
        <v>1100</v>
      </c>
      <c r="D712" s="19"/>
      <c r="E712" s="9"/>
      <c r="F712" s="21">
        <f>Source!AO554</f>
        <v>277.87</v>
      </c>
      <c r="G712" s="20" t="str">
        <f>Source!DG554</f>
        <v/>
      </c>
      <c r="H712" s="9">
        <f>Source!AV554</f>
        <v>1</v>
      </c>
      <c r="I712" s="9">
        <f>IF(Source!BA554&lt;&gt; 0, Source!BA554, 1)</f>
        <v>1</v>
      </c>
      <c r="J712" s="21">
        <f>Source!S554</f>
        <v>111.15</v>
      </c>
      <c r="K712" s="21"/>
    </row>
    <row r="713" spans="1:22" ht="14.25" x14ac:dyDescent="0.2">
      <c r="A713" s="18"/>
      <c r="B713" s="18"/>
      <c r="C713" s="18" t="s">
        <v>1102</v>
      </c>
      <c r="D713" s="19" t="s">
        <v>1103</v>
      </c>
      <c r="E713" s="9">
        <f>Source!AT554</f>
        <v>70</v>
      </c>
      <c r="F713" s="21"/>
      <c r="G713" s="20"/>
      <c r="H713" s="9"/>
      <c r="I713" s="9"/>
      <c r="J713" s="21">
        <f>SUM(R710:R712)</f>
        <v>77.81</v>
      </c>
      <c r="K713" s="21"/>
    </row>
    <row r="714" spans="1:22" ht="14.25" x14ac:dyDescent="0.2">
      <c r="A714" s="18"/>
      <c r="B714" s="18"/>
      <c r="C714" s="18" t="s">
        <v>1104</v>
      </c>
      <c r="D714" s="19" t="s">
        <v>1103</v>
      </c>
      <c r="E714" s="9">
        <f>Source!AU554</f>
        <v>10</v>
      </c>
      <c r="F714" s="21"/>
      <c r="G714" s="20"/>
      <c r="H714" s="9"/>
      <c r="I714" s="9"/>
      <c r="J714" s="21">
        <f>SUM(T710:T713)</f>
        <v>11.12</v>
      </c>
      <c r="K714" s="21"/>
    </row>
    <row r="715" spans="1:22" ht="14.25" x14ac:dyDescent="0.2">
      <c r="A715" s="18"/>
      <c r="B715" s="18"/>
      <c r="C715" s="18" t="s">
        <v>1105</v>
      </c>
      <c r="D715" s="19" t="s">
        <v>1106</v>
      </c>
      <c r="E715" s="9">
        <f>Source!AQ554</f>
        <v>0.45</v>
      </c>
      <c r="F715" s="21"/>
      <c r="G715" s="20" t="str">
        <f>Source!DI554</f>
        <v/>
      </c>
      <c r="H715" s="9">
        <f>Source!AV554</f>
        <v>1</v>
      </c>
      <c r="I715" s="9"/>
      <c r="J715" s="21"/>
      <c r="K715" s="21">
        <f>Source!U554</f>
        <v>0.18000000000000002</v>
      </c>
    </row>
    <row r="716" spans="1:22" ht="15" x14ac:dyDescent="0.25">
      <c r="A716" s="23"/>
      <c r="B716" s="23"/>
      <c r="C716" s="23"/>
      <c r="D716" s="23"/>
      <c r="E716" s="23"/>
      <c r="F716" s="23"/>
      <c r="G716" s="23"/>
      <c r="H716" s="23"/>
      <c r="I716" s="44">
        <f>J712+J713+J714</f>
        <v>200.08</v>
      </c>
      <c r="J716" s="44"/>
      <c r="K716" s="24">
        <f>IF(Source!I554&lt;&gt;0, ROUND(I716/Source!I554, 2), 0)</f>
        <v>500.2</v>
      </c>
      <c r="P716" s="22">
        <f>I716</f>
        <v>200.08</v>
      </c>
    </row>
    <row r="717" spans="1:22" ht="42.75" x14ac:dyDescent="0.2">
      <c r="A717" s="18">
        <v>78</v>
      </c>
      <c r="B717" s="18" t="str">
        <f>Source!F555</f>
        <v>1.15-2203-7-2/1</v>
      </c>
      <c r="C717" s="18" t="str">
        <f>Source!G555</f>
        <v>Техническое обслуживание крана шарового латунного никелированного диаметром до 50 мм</v>
      </c>
      <c r="D717" s="19" t="str">
        <f>Source!H555</f>
        <v>10 шт.</v>
      </c>
      <c r="E717" s="9">
        <f>Source!I555</f>
        <v>1.5</v>
      </c>
      <c r="F717" s="21"/>
      <c r="G717" s="20"/>
      <c r="H717" s="9"/>
      <c r="I717" s="9"/>
      <c r="J717" s="21"/>
      <c r="K717" s="21"/>
      <c r="Q717">
        <f>ROUND((Source!BZ555/100)*ROUND((Source!AF555*Source!AV555)*Source!I555, 2), 2)</f>
        <v>395.51</v>
      </c>
      <c r="R717">
        <f>Source!X555</f>
        <v>395.51</v>
      </c>
      <c r="S717">
        <f>ROUND((Source!CA555/100)*ROUND((Source!AF555*Source!AV555)*Source!I555, 2), 2)</f>
        <v>56.5</v>
      </c>
      <c r="T717">
        <f>Source!Y555</f>
        <v>56.5</v>
      </c>
      <c r="U717">
        <f>ROUND((175/100)*ROUND((Source!AE555*Source!AV555)*Source!I555, 2), 2)</f>
        <v>0</v>
      </c>
      <c r="V717">
        <f>ROUND((108/100)*ROUND(Source!CS555*Source!I555, 2), 2)</f>
        <v>0</v>
      </c>
    </row>
    <row r="718" spans="1:22" x14ac:dyDescent="0.2">
      <c r="C718" s="28" t="str">
        <f>"Объем: "&amp;Source!I555&amp;"=(15)/"&amp;"10"</f>
        <v>Объем: 1,5=(15)/10</v>
      </c>
    </row>
    <row r="719" spans="1:22" ht="14.25" x14ac:dyDescent="0.2">
      <c r="A719" s="18"/>
      <c r="B719" s="18"/>
      <c r="C719" s="18" t="s">
        <v>1100</v>
      </c>
      <c r="D719" s="19"/>
      <c r="E719" s="9"/>
      <c r="F719" s="21">
        <f>Source!AO555</f>
        <v>376.67</v>
      </c>
      <c r="G719" s="20" t="str">
        <f>Source!DG555</f>
        <v/>
      </c>
      <c r="H719" s="9">
        <f>Source!AV555</f>
        <v>1</v>
      </c>
      <c r="I719" s="9">
        <f>IF(Source!BA555&lt;&gt; 0, Source!BA555, 1)</f>
        <v>1</v>
      </c>
      <c r="J719" s="21">
        <f>Source!S555</f>
        <v>565.01</v>
      </c>
      <c r="K719" s="21"/>
    </row>
    <row r="720" spans="1:22" ht="14.25" x14ac:dyDescent="0.2">
      <c r="A720" s="18"/>
      <c r="B720" s="18"/>
      <c r="C720" s="18" t="s">
        <v>1102</v>
      </c>
      <c r="D720" s="19" t="s">
        <v>1103</v>
      </c>
      <c r="E720" s="9">
        <f>Source!AT555</f>
        <v>70</v>
      </c>
      <c r="F720" s="21"/>
      <c r="G720" s="20"/>
      <c r="H720" s="9"/>
      <c r="I720" s="9"/>
      <c r="J720" s="21">
        <f>SUM(R717:R719)</f>
        <v>395.51</v>
      </c>
      <c r="K720" s="21"/>
    </row>
    <row r="721" spans="1:22" ht="14.25" x14ac:dyDescent="0.2">
      <c r="A721" s="18"/>
      <c r="B721" s="18"/>
      <c r="C721" s="18" t="s">
        <v>1104</v>
      </c>
      <c r="D721" s="19" t="s">
        <v>1103</v>
      </c>
      <c r="E721" s="9">
        <f>Source!AU555</f>
        <v>10</v>
      </c>
      <c r="F721" s="21"/>
      <c r="G721" s="20"/>
      <c r="H721" s="9"/>
      <c r="I721" s="9"/>
      <c r="J721" s="21">
        <f>SUM(T717:T720)</f>
        <v>56.5</v>
      </c>
      <c r="K721" s="21"/>
    </row>
    <row r="722" spans="1:22" ht="14.25" x14ac:dyDescent="0.2">
      <c r="A722" s="18"/>
      <c r="B722" s="18"/>
      <c r="C722" s="18" t="s">
        <v>1105</v>
      </c>
      <c r="D722" s="19" t="s">
        <v>1106</v>
      </c>
      <c r="E722" s="9">
        <f>Source!AQ555</f>
        <v>0.61</v>
      </c>
      <c r="F722" s="21"/>
      <c r="G722" s="20" t="str">
        <f>Source!DI555</f>
        <v/>
      </c>
      <c r="H722" s="9">
        <f>Source!AV555</f>
        <v>1</v>
      </c>
      <c r="I722" s="9"/>
      <c r="J722" s="21"/>
      <c r="K722" s="21">
        <f>Source!U555</f>
        <v>0.91500000000000004</v>
      </c>
    </row>
    <row r="723" spans="1:22" ht="15" x14ac:dyDescent="0.25">
      <c r="A723" s="23"/>
      <c r="B723" s="23"/>
      <c r="C723" s="23"/>
      <c r="D723" s="23"/>
      <c r="E723" s="23"/>
      <c r="F723" s="23"/>
      <c r="G723" s="23"/>
      <c r="H723" s="23"/>
      <c r="I723" s="44">
        <f>J719+J720+J721</f>
        <v>1017.02</v>
      </c>
      <c r="J723" s="44"/>
      <c r="K723" s="24">
        <f>IF(Source!I555&lt;&gt;0, ROUND(I723/Source!I555, 2), 0)</f>
        <v>678.01</v>
      </c>
      <c r="P723" s="22">
        <f>I723</f>
        <v>1017.02</v>
      </c>
    </row>
    <row r="725" spans="1:22" ht="15" customHeight="1" x14ac:dyDescent="0.25">
      <c r="A725" s="46" t="str">
        <f>CONCATENATE("Итого по подразделу: ",IF(Source!G563&lt;&gt;"Новый подраздел", Source!G563, ""))</f>
        <v>Итого по подразделу: Вентиляция</v>
      </c>
      <c r="B725" s="46"/>
      <c r="C725" s="46"/>
      <c r="D725" s="46"/>
      <c r="E725" s="46"/>
      <c r="F725" s="46"/>
      <c r="G725" s="46"/>
      <c r="H725" s="46"/>
      <c r="I725" s="45">
        <f>SUM(P621:P724)</f>
        <v>316266.79000000004</v>
      </c>
      <c r="J725" s="45"/>
      <c r="K725" s="26"/>
    </row>
    <row r="728" spans="1:22" ht="16.5" customHeight="1" x14ac:dyDescent="0.25">
      <c r="A728" s="48" t="str">
        <f>CONCATENATE("Подраздел: ",IF(Source!G593&lt;&gt;"Новый подраздел", Source!G593, ""))</f>
        <v>Подраздел: Кондиционирование</v>
      </c>
      <c r="B728" s="48"/>
      <c r="C728" s="48"/>
      <c r="D728" s="48"/>
      <c r="E728" s="48"/>
      <c r="F728" s="48"/>
      <c r="G728" s="48"/>
      <c r="H728" s="48"/>
      <c r="I728" s="48"/>
      <c r="J728" s="48"/>
      <c r="K728" s="48"/>
    </row>
    <row r="729" spans="1:22" ht="85.5" x14ac:dyDescent="0.2">
      <c r="A729" s="18">
        <v>79</v>
      </c>
      <c r="B729" s="18" t="str">
        <f>Source!F598</f>
        <v>1.24-2103-45-4/1</v>
      </c>
      <c r="C729" s="18" t="str">
        <f>Source!G598</f>
        <v>Техническое обслуживание ежеквартальное холодильных установок мощностью 420 кВт / применительно Чиллер HBA 064-00 для фанкойлов  Корф Холодопроизводительность 70 кВт</v>
      </c>
      <c r="D729" s="19" t="str">
        <f>Source!H598</f>
        <v>установка</v>
      </c>
      <c r="E729" s="9">
        <f>Source!I598</f>
        <v>1</v>
      </c>
      <c r="F729" s="21"/>
      <c r="G729" s="20"/>
      <c r="H729" s="9"/>
      <c r="I729" s="9"/>
      <c r="J729" s="21"/>
      <c r="K729" s="21"/>
      <c r="Q729">
        <f>ROUND((Source!BZ598/100)*ROUND((Source!AF598*Source!AV598)*Source!I598, 2), 2)</f>
        <v>6324.98</v>
      </c>
      <c r="R729">
        <f>Source!X598</f>
        <v>6324.98</v>
      </c>
      <c r="S729">
        <f>ROUND((Source!CA598/100)*ROUND((Source!AF598*Source!AV598)*Source!I598, 2), 2)</f>
        <v>903.57</v>
      </c>
      <c r="T729">
        <f>Source!Y598</f>
        <v>903.57</v>
      </c>
      <c r="U729">
        <f>ROUND((175/100)*ROUND((Source!AE598*Source!AV598)*Source!I598, 2), 2)</f>
        <v>1214.5</v>
      </c>
      <c r="V729">
        <f>ROUND((108/100)*ROUND(Source!CS598*Source!I598, 2), 2)</f>
        <v>749.52</v>
      </c>
    </row>
    <row r="730" spans="1:22" ht="14.25" x14ac:dyDescent="0.2">
      <c r="A730" s="18"/>
      <c r="B730" s="18"/>
      <c r="C730" s="18" t="s">
        <v>1100</v>
      </c>
      <c r="D730" s="19"/>
      <c r="E730" s="9"/>
      <c r="F730" s="21">
        <f>Source!AO598</f>
        <v>4517.84</v>
      </c>
      <c r="G730" s="20" t="str">
        <f>Source!DG598</f>
        <v>)*2</v>
      </c>
      <c r="H730" s="9">
        <f>Source!AV598</f>
        <v>1</v>
      </c>
      <c r="I730" s="9">
        <f>IF(Source!BA598&lt;&gt; 0, Source!BA598, 1)</f>
        <v>1</v>
      </c>
      <c r="J730" s="21">
        <f>Source!S598</f>
        <v>9035.68</v>
      </c>
      <c r="K730" s="21"/>
    </row>
    <row r="731" spans="1:22" ht="14.25" x14ac:dyDescent="0.2">
      <c r="A731" s="18"/>
      <c r="B731" s="18"/>
      <c r="C731" s="18" t="s">
        <v>1107</v>
      </c>
      <c r="D731" s="19"/>
      <c r="E731" s="9"/>
      <c r="F731" s="21">
        <f>Source!AM598</f>
        <v>547.26</v>
      </c>
      <c r="G731" s="20" t="str">
        <f>Source!DE598</f>
        <v>)*2</v>
      </c>
      <c r="H731" s="9">
        <f>Source!AV598</f>
        <v>1</v>
      </c>
      <c r="I731" s="9">
        <f>IF(Source!BB598&lt;&gt; 0, Source!BB598, 1)</f>
        <v>1</v>
      </c>
      <c r="J731" s="21">
        <f>Source!Q598</f>
        <v>1094.52</v>
      </c>
      <c r="K731" s="21"/>
    </row>
    <row r="732" spans="1:22" ht="14.25" x14ac:dyDescent="0.2">
      <c r="A732" s="18"/>
      <c r="B732" s="18"/>
      <c r="C732" s="18" t="s">
        <v>1108</v>
      </c>
      <c r="D732" s="19"/>
      <c r="E732" s="9"/>
      <c r="F732" s="21">
        <f>Source!AN598</f>
        <v>347</v>
      </c>
      <c r="G732" s="20" t="str">
        <f>Source!DF598</f>
        <v>)*2</v>
      </c>
      <c r="H732" s="9">
        <f>Source!AV598</f>
        <v>1</v>
      </c>
      <c r="I732" s="9">
        <f>IF(Source!BS598&lt;&gt; 0, Source!BS598, 1)</f>
        <v>1</v>
      </c>
      <c r="J732" s="25">
        <f>Source!R598</f>
        <v>694</v>
      </c>
      <c r="K732" s="21"/>
    </row>
    <row r="733" spans="1:22" ht="14.25" x14ac:dyDescent="0.2">
      <c r="A733" s="18"/>
      <c r="B733" s="18"/>
      <c r="C733" s="18" t="s">
        <v>1101</v>
      </c>
      <c r="D733" s="19"/>
      <c r="E733" s="9"/>
      <c r="F733" s="21">
        <f>Source!AL598</f>
        <v>355.16</v>
      </c>
      <c r="G733" s="20" t="str">
        <f>Source!DD598</f>
        <v>)*2</v>
      </c>
      <c r="H733" s="9">
        <f>Source!AW598</f>
        <v>1</v>
      </c>
      <c r="I733" s="9">
        <f>IF(Source!BC598&lt;&gt; 0, Source!BC598, 1)</f>
        <v>1</v>
      </c>
      <c r="J733" s="21">
        <f>Source!P598</f>
        <v>710.32</v>
      </c>
      <c r="K733" s="21"/>
    </row>
    <row r="734" spans="1:22" ht="14.25" x14ac:dyDescent="0.2">
      <c r="A734" s="18"/>
      <c r="B734" s="18"/>
      <c r="C734" s="18" t="s">
        <v>1102</v>
      </c>
      <c r="D734" s="19" t="s">
        <v>1103</v>
      </c>
      <c r="E734" s="9">
        <f>Source!AT598</f>
        <v>70</v>
      </c>
      <c r="F734" s="21"/>
      <c r="G734" s="20"/>
      <c r="H734" s="9"/>
      <c r="I734" s="9"/>
      <c r="J734" s="21">
        <f>SUM(R729:R733)</f>
        <v>6324.98</v>
      </c>
      <c r="K734" s="21"/>
    </row>
    <row r="735" spans="1:22" ht="14.25" x14ac:dyDescent="0.2">
      <c r="A735" s="18"/>
      <c r="B735" s="18"/>
      <c r="C735" s="18" t="s">
        <v>1104</v>
      </c>
      <c r="D735" s="19" t="s">
        <v>1103</v>
      </c>
      <c r="E735" s="9">
        <f>Source!AU598</f>
        <v>10</v>
      </c>
      <c r="F735" s="21"/>
      <c r="G735" s="20"/>
      <c r="H735" s="9"/>
      <c r="I735" s="9"/>
      <c r="J735" s="21">
        <f>SUM(T729:T734)</f>
        <v>903.57</v>
      </c>
      <c r="K735" s="21"/>
    </row>
    <row r="736" spans="1:22" ht="14.25" x14ac:dyDescent="0.2">
      <c r="A736" s="18"/>
      <c r="B736" s="18"/>
      <c r="C736" s="18" t="s">
        <v>1109</v>
      </c>
      <c r="D736" s="19" t="s">
        <v>1103</v>
      </c>
      <c r="E736" s="9">
        <f>108</f>
        <v>108</v>
      </c>
      <c r="F736" s="21"/>
      <c r="G736" s="20"/>
      <c r="H736" s="9"/>
      <c r="I736" s="9"/>
      <c r="J736" s="21">
        <f>SUM(V729:V735)</f>
        <v>749.52</v>
      </c>
      <c r="K736" s="21"/>
    </row>
    <row r="737" spans="1:22" ht="14.25" x14ac:dyDescent="0.2">
      <c r="A737" s="18"/>
      <c r="B737" s="18"/>
      <c r="C737" s="18" t="s">
        <v>1105</v>
      </c>
      <c r="D737" s="19" t="s">
        <v>1106</v>
      </c>
      <c r="E737" s="9">
        <f>Source!AQ598</f>
        <v>6.8</v>
      </c>
      <c r="F737" s="21"/>
      <c r="G737" s="20" t="str">
        <f>Source!DI598</f>
        <v>)*2</v>
      </c>
      <c r="H737" s="9">
        <f>Source!AV598</f>
        <v>1</v>
      </c>
      <c r="I737" s="9"/>
      <c r="J737" s="21"/>
      <c r="K737" s="21">
        <f>Source!U598</f>
        <v>13.6</v>
      </c>
    </row>
    <row r="738" spans="1:22" ht="15" x14ac:dyDescent="0.25">
      <c r="A738" s="23"/>
      <c r="B738" s="23"/>
      <c r="C738" s="23"/>
      <c r="D738" s="23"/>
      <c r="E738" s="23"/>
      <c r="F738" s="23"/>
      <c r="G738" s="23"/>
      <c r="H738" s="23"/>
      <c r="I738" s="44">
        <f>J730+J731+J733+J734+J735+J736</f>
        <v>18818.59</v>
      </c>
      <c r="J738" s="44"/>
      <c r="K738" s="24">
        <f>IF(Source!I598&lt;&gt;0, ROUND(I738/Source!I598, 2), 0)</f>
        <v>18818.59</v>
      </c>
      <c r="P738" s="22">
        <f>I738</f>
        <v>18818.59</v>
      </c>
    </row>
    <row r="739" spans="1:22" ht="42.75" x14ac:dyDescent="0.2">
      <c r="A739" s="18">
        <v>80</v>
      </c>
      <c r="B739" s="18" t="str">
        <f>Source!F600</f>
        <v>1.18-2403-17-3/1</v>
      </c>
      <c r="C739" s="18" t="str">
        <f>Source!G600</f>
        <v>Техническое обслуживание внутренних кассетных блоков сплит систем мощностью до 5 кВт - полугодовое</v>
      </c>
      <c r="D739" s="19" t="str">
        <f>Source!H600</f>
        <v>1 блок</v>
      </c>
      <c r="E739" s="9">
        <f>Source!I600</f>
        <v>20</v>
      </c>
      <c r="F739" s="21"/>
      <c r="G739" s="20"/>
      <c r="H739" s="9"/>
      <c r="I739" s="9"/>
      <c r="J739" s="21"/>
      <c r="K739" s="21"/>
      <c r="Q739">
        <f>ROUND((Source!BZ600/100)*ROUND((Source!AF600*Source!AV600)*Source!I600, 2), 2)</f>
        <v>12448.66</v>
      </c>
      <c r="R739">
        <f>Source!X600</f>
        <v>12448.66</v>
      </c>
      <c r="S739">
        <f>ROUND((Source!CA600/100)*ROUND((Source!AF600*Source!AV600)*Source!I600, 2), 2)</f>
        <v>1778.38</v>
      </c>
      <c r="T739">
        <f>Source!Y600</f>
        <v>1778.38</v>
      </c>
      <c r="U739">
        <f>ROUND((175/100)*ROUND((Source!AE600*Source!AV600)*Source!I600, 2), 2)</f>
        <v>1.05</v>
      </c>
      <c r="V739">
        <f>ROUND((108/100)*ROUND(Source!CS600*Source!I600, 2), 2)</f>
        <v>0.65</v>
      </c>
    </row>
    <row r="740" spans="1:22" x14ac:dyDescent="0.2">
      <c r="C740" s="28" t="str">
        <f>"Объем: "&amp;Source!I600&amp;"=15+"&amp;"5"</f>
        <v>Объем: 20=15+5</v>
      </c>
    </row>
    <row r="741" spans="1:22" ht="14.25" x14ac:dyDescent="0.2">
      <c r="A741" s="18"/>
      <c r="B741" s="18"/>
      <c r="C741" s="18" t="s">
        <v>1100</v>
      </c>
      <c r="D741" s="19"/>
      <c r="E741" s="9"/>
      <c r="F741" s="21">
        <f>Source!AO600</f>
        <v>889.19</v>
      </c>
      <c r="G741" s="20" t="str">
        <f>Source!DG600</f>
        <v/>
      </c>
      <c r="H741" s="9">
        <f>Source!AV600</f>
        <v>1</v>
      </c>
      <c r="I741" s="9">
        <f>IF(Source!BA600&lt;&gt; 0, Source!BA600, 1)</f>
        <v>1</v>
      </c>
      <c r="J741" s="21">
        <f>Source!S600</f>
        <v>17783.8</v>
      </c>
      <c r="K741" s="21"/>
    </row>
    <row r="742" spans="1:22" ht="14.25" x14ac:dyDescent="0.2">
      <c r="A742" s="18"/>
      <c r="B742" s="18"/>
      <c r="C742" s="18" t="s">
        <v>1107</v>
      </c>
      <c r="D742" s="19"/>
      <c r="E742" s="9"/>
      <c r="F742" s="21">
        <f>Source!AM600</f>
        <v>1.85</v>
      </c>
      <c r="G742" s="20" t="str">
        <f>Source!DE600</f>
        <v/>
      </c>
      <c r="H742" s="9">
        <f>Source!AV600</f>
        <v>1</v>
      </c>
      <c r="I742" s="9">
        <f>IF(Source!BB600&lt;&gt; 0, Source!BB600, 1)</f>
        <v>1</v>
      </c>
      <c r="J742" s="21">
        <f>Source!Q600</f>
        <v>37</v>
      </c>
      <c r="K742" s="21"/>
    </row>
    <row r="743" spans="1:22" ht="14.25" x14ac:dyDescent="0.2">
      <c r="A743" s="18"/>
      <c r="B743" s="18"/>
      <c r="C743" s="18" t="s">
        <v>1108</v>
      </c>
      <c r="D743" s="19"/>
      <c r="E743" s="9"/>
      <c r="F743" s="21">
        <f>Source!AN600</f>
        <v>0.03</v>
      </c>
      <c r="G743" s="20" t="str">
        <f>Source!DF600</f>
        <v/>
      </c>
      <c r="H743" s="9">
        <f>Source!AV600</f>
        <v>1</v>
      </c>
      <c r="I743" s="9">
        <f>IF(Source!BS600&lt;&gt; 0, Source!BS600, 1)</f>
        <v>1</v>
      </c>
      <c r="J743" s="25">
        <f>Source!R600</f>
        <v>0.6</v>
      </c>
      <c r="K743" s="21"/>
    </row>
    <row r="744" spans="1:22" ht="14.25" x14ac:dyDescent="0.2">
      <c r="A744" s="18"/>
      <c r="B744" s="18"/>
      <c r="C744" s="18" t="s">
        <v>1101</v>
      </c>
      <c r="D744" s="19"/>
      <c r="E744" s="9"/>
      <c r="F744" s="21">
        <f>Source!AL600</f>
        <v>2.2200000000000002</v>
      </c>
      <c r="G744" s="20" t="str">
        <f>Source!DD600</f>
        <v/>
      </c>
      <c r="H744" s="9">
        <f>Source!AW600</f>
        <v>1</v>
      </c>
      <c r="I744" s="9">
        <f>IF(Source!BC600&lt;&gt; 0, Source!BC600, 1)</f>
        <v>1</v>
      </c>
      <c r="J744" s="21">
        <f>Source!P600</f>
        <v>44.4</v>
      </c>
      <c r="K744" s="21"/>
    </row>
    <row r="745" spans="1:22" ht="14.25" x14ac:dyDescent="0.2">
      <c r="A745" s="18"/>
      <c r="B745" s="18"/>
      <c r="C745" s="18" t="s">
        <v>1102</v>
      </c>
      <c r="D745" s="19" t="s">
        <v>1103</v>
      </c>
      <c r="E745" s="9">
        <f>Source!AT600</f>
        <v>70</v>
      </c>
      <c r="F745" s="21"/>
      <c r="G745" s="20"/>
      <c r="H745" s="9"/>
      <c r="I745" s="9"/>
      <c r="J745" s="21">
        <f>SUM(R739:R744)</f>
        <v>12448.66</v>
      </c>
      <c r="K745" s="21"/>
    </row>
    <row r="746" spans="1:22" ht="14.25" x14ac:dyDescent="0.2">
      <c r="A746" s="18"/>
      <c r="B746" s="18"/>
      <c r="C746" s="18" t="s">
        <v>1104</v>
      </c>
      <c r="D746" s="19" t="s">
        <v>1103</v>
      </c>
      <c r="E746" s="9">
        <f>Source!AU600</f>
        <v>10</v>
      </c>
      <c r="F746" s="21"/>
      <c r="G746" s="20"/>
      <c r="H746" s="9"/>
      <c r="I746" s="9"/>
      <c r="J746" s="21">
        <f>SUM(T739:T745)</f>
        <v>1778.38</v>
      </c>
      <c r="K746" s="21"/>
    </row>
    <row r="747" spans="1:22" ht="14.25" x14ac:dyDescent="0.2">
      <c r="A747" s="18"/>
      <c r="B747" s="18"/>
      <c r="C747" s="18" t="s">
        <v>1109</v>
      </c>
      <c r="D747" s="19" t="s">
        <v>1103</v>
      </c>
      <c r="E747" s="9">
        <f>108</f>
        <v>108</v>
      </c>
      <c r="F747" s="21"/>
      <c r="G747" s="20"/>
      <c r="H747" s="9"/>
      <c r="I747" s="9"/>
      <c r="J747" s="21">
        <f>SUM(V739:V746)</f>
        <v>0.65</v>
      </c>
      <c r="K747" s="21"/>
    </row>
    <row r="748" spans="1:22" ht="14.25" x14ac:dyDescent="0.2">
      <c r="A748" s="18"/>
      <c r="B748" s="18"/>
      <c r="C748" s="18" t="s">
        <v>1105</v>
      </c>
      <c r="D748" s="19" t="s">
        <v>1106</v>
      </c>
      <c r="E748" s="9">
        <f>Source!AQ600</f>
        <v>1.34</v>
      </c>
      <c r="F748" s="21"/>
      <c r="G748" s="20" t="str">
        <f>Source!DI600</f>
        <v/>
      </c>
      <c r="H748" s="9">
        <f>Source!AV600</f>
        <v>1</v>
      </c>
      <c r="I748" s="9"/>
      <c r="J748" s="21"/>
      <c r="K748" s="21">
        <f>Source!U600</f>
        <v>26.8</v>
      </c>
    </row>
    <row r="749" spans="1:22" ht="15" x14ac:dyDescent="0.25">
      <c r="A749" s="23"/>
      <c r="B749" s="23"/>
      <c r="C749" s="23"/>
      <c r="D749" s="23"/>
      <c r="E749" s="23"/>
      <c r="F749" s="23"/>
      <c r="G749" s="23"/>
      <c r="H749" s="23"/>
      <c r="I749" s="44">
        <f>J741+J742+J744+J745+J746+J747</f>
        <v>32092.890000000003</v>
      </c>
      <c r="J749" s="44"/>
      <c r="K749" s="24">
        <f>IF(Source!I600&lt;&gt;0, ROUND(I749/Source!I600, 2), 0)</f>
        <v>1604.64</v>
      </c>
      <c r="P749" s="22">
        <f>I749</f>
        <v>32092.890000000003</v>
      </c>
    </row>
    <row r="750" spans="1:22" ht="28.5" x14ac:dyDescent="0.2">
      <c r="A750" s="18">
        <v>81</v>
      </c>
      <c r="B750" s="18" t="str">
        <f>Source!F602</f>
        <v>1.23-2103-41-1/1</v>
      </c>
      <c r="C750" s="18" t="str">
        <f>Source!G602</f>
        <v>Техническое обслуживание регулирующего клапана</v>
      </c>
      <c r="D750" s="19" t="str">
        <f>Source!H602</f>
        <v>шт.</v>
      </c>
      <c r="E750" s="9">
        <f>Source!I602</f>
        <v>20</v>
      </c>
      <c r="F750" s="21"/>
      <c r="G750" s="20"/>
      <c r="H750" s="9"/>
      <c r="I750" s="9"/>
      <c r="J750" s="21"/>
      <c r="K750" s="21"/>
      <c r="Q750">
        <f>ROUND((Source!BZ602/100)*ROUND((Source!AF602*Source!AV602)*Source!I602, 2), 2)</f>
        <v>5824</v>
      </c>
      <c r="R750">
        <f>Source!X602</f>
        <v>5824</v>
      </c>
      <c r="S750">
        <f>ROUND((Source!CA602/100)*ROUND((Source!AF602*Source!AV602)*Source!I602, 2), 2)</f>
        <v>832</v>
      </c>
      <c r="T750">
        <f>Source!Y602</f>
        <v>832</v>
      </c>
      <c r="U750">
        <f>ROUND((175/100)*ROUND((Source!AE602*Source!AV602)*Source!I602, 2), 2)</f>
        <v>3469.9</v>
      </c>
      <c r="V750">
        <f>ROUND((108/100)*ROUND(Source!CS602*Source!I602, 2), 2)</f>
        <v>2141.42</v>
      </c>
    </row>
    <row r="751" spans="1:22" ht="14.25" x14ac:dyDescent="0.2">
      <c r="A751" s="18"/>
      <c r="B751" s="18"/>
      <c r="C751" s="18" t="s">
        <v>1100</v>
      </c>
      <c r="D751" s="19"/>
      <c r="E751" s="9"/>
      <c r="F751" s="21">
        <f>Source!AO602</f>
        <v>208</v>
      </c>
      <c r="G751" s="20" t="str">
        <f>Source!DG602</f>
        <v>)*2</v>
      </c>
      <c r="H751" s="9">
        <f>Source!AV602</f>
        <v>1</v>
      </c>
      <c r="I751" s="9">
        <f>IF(Source!BA602&lt;&gt; 0, Source!BA602, 1)</f>
        <v>1</v>
      </c>
      <c r="J751" s="21">
        <f>Source!S602</f>
        <v>8320</v>
      </c>
      <c r="K751" s="21"/>
    </row>
    <row r="752" spans="1:22" ht="14.25" x14ac:dyDescent="0.2">
      <c r="A752" s="18"/>
      <c r="B752" s="18"/>
      <c r="C752" s="18" t="s">
        <v>1107</v>
      </c>
      <c r="D752" s="19"/>
      <c r="E752" s="9"/>
      <c r="F752" s="21">
        <f>Source!AM602</f>
        <v>78.180000000000007</v>
      </c>
      <c r="G752" s="20" t="str">
        <f>Source!DE602</f>
        <v>)*2</v>
      </c>
      <c r="H752" s="9">
        <f>Source!AV602</f>
        <v>1</v>
      </c>
      <c r="I752" s="9">
        <f>IF(Source!BB602&lt;&gt; 0, Source!BB602, 1)</f>
        <v>1</v>
      </c>
      <c r="J752" s="21">
        <f>Source!Q602</f>
        <v>3127.2</v>
      </c>
      <c r="K752" s="21"/>
    </row>
    <row r="753" spans="1:22" ht="14.25" x14ac:dyDescent="0.2">
      <c r="A753" s="18"/>
      <c r="B753" s="18"/>
      <c r="C753" s="18" t="s">
        <v>1108</v>
      </c>
      <c r="D753" s="19"/>
      <c r="E753" s="9"/>
      <c r="F753" s="21">
        <f>Source!AN602</f>
        <v>49.57</v>
      </c>
      <c r="G753" s="20" t="str">
        <f>Source!DF602</f>
        <v>)*2</v>
      </c>
      <c r="H753" s="9">
        <f>Source!AV602</f>
        <v>1</v>
      </c>
      <c r="I753" s="9">
        <f>IF(Source!BS602&lt;&gt; 0, Source!BS602, 1)</f>
        <v>1</v>
      </c>
      <c r="J753" s="25">
        <f>Source!R602</f>
        <v>1982.8</v>
      </c>
      <c r="K753" s="21"/>
    </row>
    <row r="754" spans="1:22" ht="14.25" x14ac:dyDescent="0.2">
      <c r="A754" s="18"/>
      <c r="B754" s="18"/>
      <c r="C754" s="18" t="s">
        <v>1102</v>
      </c>
      <c r="D754" s="19" t="s">
        <v>1103</v>
      </c>
      <c r="E754" s="9">
        <f>Source!AT602</f>
        <v>70</v>
      </c>
      <c r="F754" s="21"/>
      <c r="G754" s="20"/>
      <c r="H754" s="9"/>
      <c r="I754" s="9"/>
      <c r="J754" s="21">
        <f>SUM(R750:R753)</f>
        <v>5824</v>
      </c>
      <c r="K754" s="21"/>
    </row>
    <row r="755" spans="1:22" ht="14.25" x14ac:dyDescent="0.2">
      <c r="A755" s="18"/>
      <c r="B755" s="18"/>
      <c r="C755" s="18" t="s">
        <v>1104</v>
      </c>
      <c r="D755" s="19" t="s">
        <v>1103</v>
      </c>
      <c r="E755" s="9">
        <f>Source!AU602</f>
        <v>10</v>
      </c>
      <c r="F755" s="21"/>
      <c r="G755" s="20"/>
      <c r="H755" s="9"/>
      <c r="I755" s="9"/>
      <c r="J755" s="21">
        <f>SUM(T750:T754)</f>
        <v>832</v>
      </c>
      <c r="K755" s="21"/>
    </row>
    <row r="756" spans="1:22" ht="14.25" x14ac:dyDescent="0.2">
      <c r="A756" s="18"/>
      <c r="B756" s="18"/>
      <c r="C756" s="18" t="s">
        <v>1109</v>
      </c>
      <c r="D756" s="19" t="s">
        <v>1103</v>
      </c>
      <c r="E756" s="9">
        <f>108</f>
        <v>108</v>
      </c>
      <c r="F756" s="21"/>
      <c r="G756" s="20"/>
      <c r="H756" s="9"/>
      <c r="I756" s="9"/>
      <c r="J756" s="21">
        <f>SUM(V750:V755)</f>
        <v>2141.42</v>
      </c>
      <c r="K756" s="21"/>
    </row>
    <row r="757" spans="1:22" ht="14.25" x14ac:dyDescent="0.2">
      <c r="A757" s="18"/>
      <c r="B757" s="18"/>
      <c r="C757" s="18" t="s">
        <v>1105</v>
      </c>
      <c r="D757" s="19" t="s">
        <v>1106</v>
      </c>
      <c r="E757" s="9">
        <f>Source!AQ602</f>
        <v>0.37</v>
      </c>
      <c r="F757" s="21"/>
      <c r="G757" s="20" t="str">
        <f>Source!DI602</f>
        <v>)*2</v>
      </c>
      <c r="H757" s="9">
        <f>Source!AV602</f>
        <v>1</v>
      </c>
      <c r="I757" s="9"/>
      <c r="J757" s="21"/>
      <c r="K757" s="21">
        <f>Source!U602</f>
        <v>14.8</v>
      </c>
    </row>
    <row r="758" spans="1:22" ht="15" x14ac:dyDescent="0.25">
      <c r="A758" s="23"/>
      <c r="B758" s="23"/>
      <c r="C758" s="23"/>
      <c r="D758" s="23"/>
      <c r="E758" s="23"/>
      <c r="F758" s="23"/>
      <c r="G758" s="23"/>
      <c r="H758" s="23"/>
      <c r="I758" s="44">
        <f>J751+J752+J754+J755+J756</f>
        <v>20244.620000000003</v>
      </c>
      <c r="J758" s="44"/>
      <c r="K758" s="24">
        <f>IF(Source!I602&lt;&gt;0, ROUND(I758/Source!I602, 2), 0)</f>
        <v>1012.23</v>
      </c>
      <c r="P758" s="22">
        <f>I758</f>
        <v>20244.620000000003</v>
      </c>
    </row>
    <row r="759" spans="1:22" ht="71.25" x14ac:dyDescent="0.2">
      <c r="A759" s="18">
        <v>82</v>
      </c>
      <c r="B759" s="18" t="str">
        <f>Source!F604</f>
        <v>1.24-2103-45-6/1</v>
      </c>
      <c r="C759" s="18" t="str">
        <f>Source!G604</f>
        <v>Техническое обслуживание ежеквартальное холодильных установок мощностью до 700 кВт / Чиллер LBA 980-2B-PR-RA  Корф Холодопроизводительность 858 кВт</v>
      </c>
      <c r="D759" s="19" t="str">
        <f>Source!H604</f>
        <v>установка</v>
      </c>
      <c r="E759" s="9">
        <f>Source!I604</f>
        <v>1</v>
      </c>
      <c r="F759" s="21"/>
      <c r="G759" s="20"/>
      <c r="H759" s="9"/>
      <c r="I759" s="9"/>
      <c r="J759" s="21"/>
      <c r="K759" s="21"/>
      <c r="Q759">
        <f>ROUND((Source!BZ604/100)*ROUND((Source!AF604*Source!AV604)*Source!I604, 2), 2)</f>
        <v>7060.44</v>
      </c>
      <c r="R759">
        <f>Source!X604</f>
        <v>7060.44</v>
      </c>
      <c r="S759">
        <f>ROUND((Source!CA604/100)*ROUND((Source!AF604*Source!AV604)*Source!I604, 2), 2)</f>
        <v>1008.63</v>
      </c>
      <c r="T759">
        <f>Source!Y604</f>
        <v>1008.63</v>
      </c>
      <c r="U759">
        <f>ROUND((175/100)*ROUND((Source!AE604*Source!AV604)*Source!I604, 2), 2)</f>
        <v>1214.5</v>
      </c>
      <c r="V759">
        <f>ROUND((108/100)*ROUND(Source!CS604*Source!I604, 2), 2)</f>
        <v>749.52</v>
      </c>
    </row>
    <row r="760" spans="1:22" ht="14.25" x14ac:dyDescent="0.2">
      <c r="A760" s="18"/>
      <c r="B760" s="18"/>
      <c r="C760" s="18" t="s">
        <v>1100</v>
      </c>
      <c r="D760" s="19"/>
      <c r="E760" s="9"/>
      <c r="F760" s="21">
        <f>Source!AO604</f>
        <v>5043.17</v>
      </c>
      <c r="G760" s="20" t="str">
        <f>Source!DG604</f>
        <v>)*2</v>
      </c>
      <c r="H760" s="9">
        <f>Source!AV604</f>
        <v>1</v>
      </c>
      <c r="I760" s="9">
        <f>IF(Source!BA604&lt;&gt; 0, Source!BA604, 1)</f>
        <v>1</v>
      </c>
      <c r="J760" s="21">
        <f>Source!S604</f>
        <v>10086.34</v>
      </c>
      <c r="K760" s="21"/>
    </row>
    <row r="761" spans="1:22" ht="14.25" x14ac:dyDescent="0.2">
      <c r="A761" s="18"/>
      <c r="B761" s="18"/>
      <c r="C761" s="18" t="s">
        <v>1107</v>
      </c>
      <c r="D761" s="19"/>
      <c r="E761" s="9"/>
      <c r="F761" s="21">
        <f>Source!AM604</f>
        <v>547.26</v>
      </c>
      <c r="G761" s="20" t="str">
        <f>Source!DE604</f>
        <v>)*2</v>
      </c>
      <c r="H761" s="9">
        <f>Source!AV604</f>
        <v>1</v>
      </c>
      <c r="I761" s="9">
        <f>IF(Source!BB604&lt;&gt; 0, Source!BB604, 1)</f>
        <v>1</v>
      </c>
      <c r="J761" s="21">
        <f>Source!Q604</f>
        <v>1094.52</v>
      </c>
      <c r="K761" s="21"/>
    </row>
    <row r="762" spans="1:22" ht="14.25" x14ac:dyDescent="0.2">
      <c r="A762" s="18"/>
      <c r="B762" s="18"/>
      <c r="C762" s="18" t="s">
        <v>1108</v>
      </c>
      <c r="D762" s="19"/>
      <c r="E762" s="9"/>
      <c r="F762" s="21">
        <f>Source!AN604</f>
        <v>347</v>
      </c>
      <c r="G762" s="20" t="str">
        <f>Source!DF604</f>
        <v>)*2</v>
      </c>
      <c r="H762" s="9">
        <f>Source!AV604</f>
        <v>1</v>
      </c>
      <c r="I762" s="9">
        <f>IF(Source!BS604&lt;&gt; 0, Source!BS604, 1)</f>
        <v>1</v>
      </c>
      <c r="J762" s="25">
        <f>Source!R604</f>
        <v>694</v>
      </c>
      <c r="K762" s="21"/>
    </row>
    <row r="763" spans="1:22" ht="14.25" x14ac:dyDescent="0.2">
      <c r="A763" s="18"/>
      <c r="B763" s="18"/>
      <c r="C763" s="18" t="s">
        <v>1101</v>
      </c>
      <c r="D763" s="19"/>
      <c r="E763" s="9"/>
      <c r="F763" s="21">
        <f>Source!AL604</f>
        <v>361.45</v>
      </c>
      <c r="G763" s="20" t="str">
        <f>Source!DD604</f>
        <v>)*2</v>
      </c>
      <c r="H763" s="9">
        <f>Source!AW604</f>
        <v>1</v>
      </c>
      <c r="I763" s="9">
        <f>IF(Source!BC604&lt;&gt; 0, Source!BC604, 1)</f>
        <v>1</v>
      </c>
      <c r="J763" s="21">
        <f>Source!P604</f>
        <v>722.9</v>
      </c>
      <c r="K763" s="21"/>
    </row>
    <row r="764" spans="1:22" ht="14.25" x14ac:dyDescent="0.2">
      <c r="A764" s="18"/>
      <c r="B764" s="18"/>
      <c r="C764" s="18" t="s">
        <v>1102</v>
      </c>
      <c r="D764" s="19" t="s">
        <v>1103</v>
      </c>
      <c r="E764" s="9">
        <f>Source!AT604</f>
        <v>70</v>
      </c>
      <c r="F764" s="21"/>
      <c r="G764" s="20"/>
      <c r="H764" s="9"/>
      <c r="I764" s="9"/>
      <c r="J764" s="21">
        <f>SUM(R759:R763)</f>
        <v>7060.44</v>
      </c>
      <c r="K764" s="21"/>
    </row>
    <row r="765" spans="1:22" ht="14.25" x14ac:dyDescent="0.2">
      <c r="A765" s="18"/>
      <c r="B765" s="18"/>
      <c r="C765" s="18" t="s">
        <v>1104</v>
      </c>
      <c r="D765" s="19" t="s">
        <v>1103</v>
      </c>
      <c r="E765" s="9">
        <f>Source!AU604</f>
        <v>10</v>
      </c>
      <c r="F765" s="21"/>
      <c r="G765" s="20"/>
      <c r="H765" s="9"/>
      <c r="I765" s="9"/>
      <c r="J765" s="21">
        <f>SUM(T759:T764)</f>
        <v>1008.63</v>
      </c>
      <c r="K765" s="21"/>
    </row>
    <row r="766" spans="1:22" ht="14.25" x14ac:dyDescent="0.2">
      <c r="A766" s="18"/>
      <c r="B766" s="18"/>
      <c r="C766" s="18" t="s">
        <v>1109</v>
      </c>
      <c r="D766" s="19" t="s">
        <v>1103</v>
      </c>
      <c r="E766" s="9">
        <f>108</f>
        <v>108</v>
      </c>
      <c r="F766" s="21"/>
      <c r="G766" s="20"/>
      <c r="H766" s="9"/>
      <c r="I766" s="9"/>
      <c r="J766" s="21">
        <f>SUM(V759:V765)</f>
        <v>749.52</v>
      </c>
      <c r="K766" s="21"/>
    </row>
    <row r="767" spans="1:22" ht="14.25" x14ac:dyDescent="0.2">
      <c r="A767" s="18"/>
      <c r="B767" s="18"/>
      <c r="C767" s="18" t="s">
        <v>1105</v>
      </c>
      <c r="D767" s="19" t="s">
        <v>1106</v>
      </c>
      <c r="E767" s="9">
        <f>Source!AQ604</f>
        <v>7.6</v>
      </c>
      <c r="F767" s="21"/>
      <c r="G767" s="20" t="str">
        <f>Source!DI604</f>
        <v>)*2</v>
      </c>
      <c r="H767" s="9">
        <f>Source!AV604</f>
        <v>1</v>
      </c>
      <c r="I767" s="9"/>
      <c r="J767" s="21"/>
      <c r="K767" s="21">
        <f>Source!U604</f>
        <v>15.2</v>
      </c>
    </row>
    <row r="768" spans="1:22" ht="15" x14ac:dyDescent="0.25">
      <c r="A768" s="23"/>
      <c r="B768" s="23"/>
      <c r="C768" s="23"/>
      <c r="D768" s="23"/>
      <c r="E768" s="23"/>
      <c r="F768" s="23"/>
      <c r="G768" s="23"/>
      <c r="H768" s="23"/>
      <c r="I768" s="44">
        <f>J760+J761+J763+J764+J765+J766</f>
        <v>20722.350000000002</v>
      </c>
      <c r="J768" s="44"/>
      <c r="K768" s="24">
        <f>IF(Source!I604&lt;&gt;0, ROUND(I768/Source!I604, 2), 0)</f>
        <v>20722.349999999999</v>
      </c>
      <c r="P768" s="22">
        <f>I768</f>
        <v>20722.350000000002</v>
      </c>
    </row>
    <row r="769" spans="1:22" ht="42.75" x14ac:dyDescent="0.2">
      <c r="A769" s="18">
        <v>83</v>
      </c>
      <c r="B769" s="18" t="str">
        <f>Source!F609</f>
        <v>1.17-2103-14-1/1</v>
      </c>
      <c r="C769" s="18" t="str">
        <f>Source!G609</f>
        <v>Техническое обслуживание мембранного расширительного бака объемом 100 л</v>
      </c>
      <c r="D769" s="19" t="str">
        <f>Source!H609</f>
        <v>шт.</v>
      </c>
      <c r="E769" s="9">
        <f>Source!I609</f>
        <v>2</v>
      </c>
      <c r="F769" s="21"/>
      <c r="G769" s="20"/>
      <c r="H769" s="9"/>
      <c r="I769" s="9"/>
      <c r="J769" s="21"/>
      <c r="K769" s="21"/>
      <c r="Q769">
        <f>ROUND((Source!BZ609/100)*ROUND((Source!AF609*Source!AV609)*Source!I609, 2), 2)</f>
        <v>501.4</v>
      </c>
      <c r="R769">
        <f>Source!X609</f>
        <v>501.4</v>
      </c>
      <c r="S769">
        <f>ROUND((Source!CA609/100)*ROUND((Source!AF609*Source!AV609)*Source!I609, 2), 2)</f>
        <v>71.63</v>
      </c>
      <c r="T769">
        <f>Source!Y609</f>
        <v>71.63</v>
      </c>
      <c r="U769">
        <f>ROUND((175/100)*ROUND((Source!AE609*Source!AV609)*Source!I609, 2), 2)</f>
        <v>0</v>
      </c>
      <c r="V769">
        <f>ROUND((108/100)*ROUND(Source!CS609*Source!I609, 2), 2)</f>
        <v>0</v>
      </c>
    </row>
    <row r="770" spans="1:22" ht="14.25" x14ac:dyDescent="0.2">
      <c r="A770" s="18"/>
      <c r="B770" s="18"/>
      <c r="C770" s="18" t="s">
        <v>1100</v>
      </c>
      <c r="D770" s="19"/>
      <c r="E770" s="9"/>
      <c r="F770" s="21">
        <f>Source!AO609</f>
        <v>358.14</v>
      </c>
      <c r="G770" s="20" t="str">
        <f>Source!DG609</f>
        <v/>
      </c>
      <c r="H770" s="9">
        <f>Source!AV609</f>
        <v>1</v>
      </c>
      <c r="I770" s="9">
        <f>IF(Source!BA609&lt;&gt; 0, Source!BA609, 1)</f>
        <v>1</v>
      </c>
      <c r="J770" s="21">
        <f>Source!S609</f>
        <v>716.28</v>
      </c>
      <c r="K770" s="21"/>
    </row>
    <row r="771" spans="1:22" ht="14.25" x14ac:dyDescent="0.2">
      <c r="A771" s="18"/>
      <c r="B771" s="18"/>
      <c r="C771" s="18" t="s">
        <v>1101</v>
      </c>
      <c r="D771" s="19"/>
      <c r="E771" s="9"/>
      <c r="F771" s="21">
        <f>Source!AL609</f>
        <v>0.63</v>
      </c>
      <c r="G771" s="20" t="str">
        <f>Source!DD609</f>
        <v/>
      </c>
      <c r="H771" s="9">
        <f>Source!AW609</f>
        <v>1</v>
      </c>
      <c r="I771" s="9">
        <f>IF(Source!BC609&lt;&gt; 0, Source!BC609, 1)</f>
        <v>1</v>
      </c>
      <c r="J771" s="21">
        <f>Source!P609</f>
        <v>1.26</v>
      </c>
      <c r="K771" s="21"/>
    </row>
    <row r="772" spans="1:22" ht="14.25" x14ac:dyDescent="0.2">
      <c r="A772" s="18"/>
      <c r="B772" s="18"/>
      <c r="C772" s="18" t="s">
        <v>1102</v>
      </c>
      <c r="D772" s="19" t="s">
        <v>1103</v>
      </c>
      <c r="E772" s="9">
        <f>Source!AT609</f>
        <v>70</v>
      </c>
      <c r="F772" s="21"/>
      <c r="G772" s="20"/>
      <c r="H772" s="9"/>
      <c r="I772" s="9"/>
      <c r="J772" s="21">
        <f>SUM(R769:R771)</f>
        <v>501.4</v>
      </c>
      <c r="K772" s="21"/>
    </row>
    <row r="773" spans="1:22" ht="14.25" x14ac:dyDescent="0.2">
      <c r="A773" s="18"/>
      <c r="B773" s="18"/>
      <c r="C773" s="18" t="s">
        <v>1104</v>
      </c>
      <c r="D773" s="19" t="s">
        <v>1103</v>
      </c>
      <c r="E773" s="9">
        <f>Source!AU609</f>
        <v>10</v>
      </c>
      <c r="F773" s="21"/>
      <c r="G773" s="20"/>
      <c r="H773" s="9"/>
      <c r="I773" s="9"/>
      <c r="J773" s="21">
        <f>SUM(T769:T772)</f>
        <v>71.63</v>
      </c>
      <c r="K773" s="21"/>
    </row>
    <row r="774" spans="1:22" ht="14.25" x14ac:dyDescent="0.2">
      <c r="A774" s="18"/>
      <c r="B774" s="18"/>
      <c r="C774" s="18" t="s">
        <v>1105</v>
      </c>
      <c r="D774" s="19" t="s">
        <v>1106</v>
      </c>
      <c r="E774" s="9">
        <f>Source!AQ609</f>
        <v>0.57999999999999996</v>
      </c>
      <c r="F774" s="21"/>
      <c r="G774" s="20" t="str">
        <f>Source!DI609</f>
        <v/>
      </c>
      <c r="H774" s="9">
        <f>Source!AV609</f>
        <v>1</v>
      </c>
      <c r="I774" s="9"/>
      <c r="J774" s="21"/>
      <c r="K774" s="21">
        <f>Source!U609</f>
        <v>1.1599999999999999</v>
      </c>
    </row>
    <row r="775" spans="1:22" ht="15" x14ac:dyDescent="0.25">
      <c r="A775" s="23"/>
      <c r="B775" s="23"/>
      <c r="C775" s="23"/>
      <c r="D775" s="23"/>
      <c r="E775" s="23"/>
      <c r="F775" s="23"/>
      <c r="G775" s="23"/>
      <c r="H775" s="23"/>
      <c r="I775" s="44">
        <f>J770+J771+J772+J773</f>
        <v>1290.5700000000002</v>
      </c>
      <c r="J775" s="44"/>
      <c r="K775" s="24">
        <f>IF(Source!I609&lt;&gt;0, ROUND(I775/Source!I609, 2), 0)</f>
        <v>645.29</v>
      </c>
      <c r="P775" s="22">
        <f>I775</f>
        <v>1290.5700000000002</v>
      </c>
    </row>
    <row r="776" spans="1:22" ht="42.75" x14ac:dyDescent="0.2">
      <c r="A776" s="18">
        <v>84</v>
      </c>
      <c r="B776" s="18" t="str">
        <f>Source!F611</f>
        <v>1.18-2403-18-3/1</v>
      </c>
      <c r="C776" s="18" t="str">
        <f>Source!G611</f>
        <v>Техническое обслуживание наружных блоков сплит систем мощностью до 10 кВт - полугодовое</v>
      </c>
      <c r="D776" s="19" t="str">
        <f>Source!H611</f>
        <v>1 блок</v>
      </c>
      <c r="E776" s="9">
        <f>Source!I611</f>
        <v>6</v>
      </c>
      <c r="F776" s="21"/>
      <c r="G776" s="20"/>
      <c r="H776" s="9"/>
      <c r="I776" s="9"/>
      <c r="J776" s="21"/>
      <c r="K776" s="21"/>
      <c r="Q776">
        <f>ROUND((Source!BZ611/100)*ROUND((Source!AF611*Source!AV611)*Source!I611, 2), 2)</f>
        <v>6911.81</v>
      </c>
      <c r="R776">
        <f>Source!X611</f>
        <v>6911.81</v>
      </c>
      <c r="S776">
        <f>ROUND((Source!CA611/100)*ROUND((Source!AF611*Source!AV611)*Source!I611, 2), 2)</f>
        <v>987.4</v>
      </c>
      <c r="T776">
        <f>Source!Y611</f>
        <v>987.4</v>
      </c>
      <c r="U776">
        <f>ROUND((175/100)*ROUND((Source!AE611*Source!AV611)*Source!I611, 2), 2)</f>
        <v>0.53</v>
      </c>
      <c r="V776">
        <f>ROUND((108/100)*ROUND(Source!CS611*Source!I611, 2), 2)</f>
        <v>0.32</v>
      </c>
    </row>
    <row r="777" spans="1:22" ht="14.25" x14ac:dyDescent="0.2">
      <c r="A777" s="18"/>
      <c r="B777" s="18"/>
      <c r="C777" s="18" t="s">
        <v>1100</v>
      </c>
      <c r="D777" s="19"/>
      <c r="E777" s="9"/>
      <c r="F777" s="21">
        <f>Source!AO611</f>
        <v>1645.67</v>
      </c>
      <c r="G777" s="20" t="str">
        <f>Source!DG611</f>
        <v/>
      </c>
      <c r="H777" s="9">
        <f>Source!AV611</f>
        <v>1</v>
      </c>
      <c r="I777" s="9">
        <f>IF(Source!BA611&lt;&gt; 0, Source!BA611, 1)</f>
        <v>1</v>
      </c>
      <c r="J777" s="21">
        <f>Source!S611</f>
        <v>9874.02</v>
      </c>
      <c r="K777" s="21"/>
    </row>
    <row r="778" spans="1:22" ht="14.25" x14ac:dyDescent="0.2">
      <c r="A778" s="18"/>
      <c r="B778" s="18"/>
      <c r="C778" s="18" t="s">
        <v>1107</v>
      </c>
      <c r="D778" s="19"/>
      <c r="E778" s="9"/>
      <c r="F778" s="21">
        <f>Source!AM611</f>
        <v>3.49</v>
      </c>
      <c r="G778" s="20" t="str">
        <f>Source!DE611</f>
        <v/>
      </c>
      <c r="H778" s="9">
        <f>Source!AV611</f>
        <v>1</v>
      </c>
      <c r="I778" s="9">
        <f>IF(Source!BB611&lt;&gt; 0, Source!BB611, 1)</f>
        <v>1</v>
      </c>
      <c r="J778" s="21">
        <f>Source!Q611</f>
        <v>20.94</v>
      </c>
      <c r="K778" s="21"/>
    </row>
    <row r="779" spans="1:22" ht="14.25" x14ac:dyDescent="0.2">
      <c r="A779" s="18"/>
      <c r="B779" s="18"/>
      <c r="C779" s="18" t="s">
        <v>1108</v>
      </c>
      <c r="D779" s="19"/>
      <c r="E779" s="9"/>
      <c r="F779" s="21">
        <f>Source!AN611</f>
        <v>0.05</v>
      </c>
      <c r="G779" s="20" t="str">
        <f>Source!DF611</f>
        <v/>
      </c>
      <c r="H779" s="9">
        <f>Source!AV611</f>
        <v>1</v>
      </c>
      <c r="I779" s="9">
        <f>IF(Source!BS611&lt;&gt; 0, Source!BS611, 1)</f>
        <v>1</v>
      </c>
      <c r="J779" s="25">
        <f>Source!R611</f>
        <v>0.3</v>
      </c>
      <c r="K779" s="21"/>
    </row>
    <row r="780" spans="1:22" ht="14.25" x14ac:dyDescent="0.2">
      <c r="A780" s="18"/>
      <c r="B780" s="18"/>
      <c r="C780" s="18" t="s">
        <v>1101</v>
      </c>
      <c r="D780" s="19"/>
      <c r="E780" s="9"/>
      <c r="F780" s="21">
        <f>Source!AL611</f>
        <v>0.94</v>
      </c>
      <c r="G780" s="20" t="str">
        <f>Source!DD611</f>
        <v/>
      </c>
      <c r="H780" s="9">
        <f>Source!AW611</f>
        <v>1</v>
      </c>
      <c r="I780" s="9">
        <f>IF(Source!BC611&lt;&gt; 0, Source!BC611, 1)</f>
        <v>1</v>
      </c>
      <c r="J780" s="21">
        <f>Source!P611</f>
        <v>5.64</v>
      </c>
      <c r="K780" s="21"/>
    </row>
    <row r="781" spans="1:22" ht="14.25" x14ac:dyDescent="0.2">
      <c r="A781" s="18"/>
      <c r="B781" s="18"/>
      <c r="C781" s="18" t="s">
        <v>1102</v>
      </c>
      <c r="D781" s="19" t="s">
        <v>1103</v>
      </c>
      <c r="E781" s="9">
        <f>Source!AT611</f>
        <v>70</v>
      </c>
      <c r="F781" s="21"/>
      <c r="G781" s="20"/>
      <c r="H781" s="9"/>
      <c r="I781" s="9"/>
      <c r="J781" s="21">
        <f>SUM(R776:R780)</f>
        <v>6911.81</v>
      </c>
      <c r="K781" s="21"/>
    </row>
    <row r="782" spans="1:22" ht="14.25" x14ac:dyDescent="0.2">
      <c r="A782" s="18"/>
      <c r="B782" s="18"/>
      <c r="C782" s="18" t="s">
        <v>1104</v>
      </c>
      <c r="D782" s="19" t="s">
        <v>1103</v>
      </c>
      <c r="E782" s="9">
        <f>Source!AU611</f>
        <v>10</v>
      </c>
      <c r="F782" s="21"/>
      <c r="G782" s="20"/>
      <c r="H782" s="9"/>
      <c r="I782" s="9"/>
      <c r="J782" s="21">
        <f>SUM(T776:T781)</f>
        <v>987.4</v>
      </c>
      <c r="K782" s="21"/>
    </row>
    <row r="783" spans="1:22" ht="14.25" x14ac:dyDescent="0.2">
      <c r="A783" s="18"/>
      <c r="B783" s="18"/>
      <c r="C783" s="18" t="s">
        <v>1109</v>
      </c>
      <c r="D783" s="19" t="s">
        <v>1103</v>
      </c>
      <c r="E783" s="9">
        <f>108</f>
        <v>108</v>
      </c>
      <c r="F783" s="21"/>
      <c r="G783" s="20"/>
      <c r="H783" s="9"/>
      <c r="I783" s="9"/>
      <c r="J783" s="21">
        <f>SUM(V776:V782)</f>
        <v>0.32</v>
      </c>
      <c r="K783" s="21"/>
    </row>
    <row r="784" spans="1:22" ht="14.25" x14ac:dyDescent="0.2">
      <c r="A784" s="18"/>
      <c r="B784" s="18"/>
      <c r="C784" s="18" t="s">
        <v>1105</v>
      </c>
      <c r="D784" s="19" t="s">
        <v>1106</v>
      </c>
      <c r="E784" s="9">
        <f>Source!AQ611</f>
        <v>2.48</v>
      </c>
      <c r="F784" s="21"/>
      <c r="G784" s="20" t="str">
        <f>Source!DI611</f>
        <v/>
      </c>
      <c r="H784" s="9">
        <f>Source!AV611</f>
        <v>1</v>
      </c>
      <c r="I784" s="9"/>
      <c r="J784" s="21"/>
      <c r="K784" s="21">
        <f>Source!U611</f>
        <v>14.879999999999999</v>
      </c>
    </row>
    <row r="785" spans="1:22" ht="15" x14ac:dyDescent="0.25">
      <c r="A785" s="23"/>
      <c r="B785" s="23"/>
      <c r="C785" s="23"/>
      <c r="D785" s="23"/>
      <c r="E785" s="23"/>
      <c r="F785" s="23"/>
      <c r="G785" s="23"/>
      <c r="H785" s="23"/>
      <c r="I785" s="44">
        <f>J777+J778+J780+J781+J782+J783</f>
        <v>17800.13</v>
      </c>
      <c r="J785" s="44"/>
      <c r="K785" s="24">
        <f>IF(Source!I611&lt;&gt;0, ROUND(I785/Source!I611, 2), 0)</f>
        <v>2966.69</v>
      </c>
      <c r="P785" s="22">
        <f>I785</f>
        <v>17800.13</v>
      </c>
    </row>
    <row r="786" spans="1:22" ht="42.75" x14ac:dyDescent="0.2">
      <c r="A786" s="18">
        <v>85</v>
      </c>
      <c r="B786" s="18" t="str">
        <f>Source!F613</f>
        <v>1.18-2403-19-5/1</v>
      </c>
      <c r="C786" s="18" t="str">
        <f>Source!G613</f>
        <v>Техническое обслуживание внутренних настенных блоков сплит систем мощностью до 7 кВт - полугодовое</v>
      </c>
      <c r="D786" s="19" t="str">
        <f>Source!H613</f>
        <v>1 блок</v>
      </c>
      <c r="E786" s="9">
        <f>Source!I613</f>
        <v>6</v>
      </c>
      <c r="F786" s="21"/>
      <c r="G786" s="20"/>
      <c r="H786" s="9"/>
      <c r="I786" s="9"/>
      <c r="J786" s="21"/>
      <c r="K786" s="21"/>
      <c r="Q786">
        <f>ROUND((Source!BZ613/100)*ROUND((Source!AF613*Source!AV613)*Source!I613, 2), 2)</f>
        <v>3957.58</v>
      </c>
      <c r="R786">
        <f>Source!X613</f>
        <v>3957.58</v>
      </c>
      <c r="S786">
        <f>ROUND((Source!CA613/100)*ROUND((Source!AF613*Source!AV613)*Source!I613, 2), 2)</f>
        <v>565.37</v>
      </c>
      <c r="T786">
        <f>Source!Y613</f>
        <v>565.37</v>
      </c>
      <c r="U786">
        <f>ROUND((175/100)*ROUND((Source!AE613*Source!AV613)*Source!I613, 2), 2)</f>
        <v>0.21</v>
      </c>
      <c r="V786">
        <f>ROUND((108/100)*ROUND(Source!CS613*Source!I613, 2), 2)</f>
        <v>0.13</v>
      </c>
    </row>
    <row r="787" spans="1:22" ht="14.25" x14ac:dyDescent="0.2">
      <c r="A787" s="18"/>
      <c r="B787" s="18"/>
      <c r="C787" s="18" t="s">
        <v>1100</v>
      </c>
      <c r="D787" s="19"/>
      <c r="E787" s="9"/>
      <c r="F787" s="21">
        <f>Source!AO613</f>
        <v>942.28</v>
      </c>
      <c r="G787" s="20" t="str">
        <f>Source!DG613</f>
        <v/>
      </c>
      <c r="H787" s="9">
        <f>Source!AV613</f>
        <v>1</v>
      </c>
      <c r="I787" s="9">
        <f>IF(Source!BA613&lt;&gt; 0, Source!BA613, 1)</f>
        <v>1</v>
      </c>
      <c r="J787" s="21">
        <f>Source!S613</f>
        <v>5653.68</v>
      </c>
      <c r="K787" s="21"/>
    </row>
    <row r="788" spans="1:22" ht="14.25" x14ac:dyDescent="0.2">
      <c r="A788" s="18"/>
      <c r="B788" s="18"/>
      <c r="C788" s="18" t="s">
        <v>1107</v>
      </c>
      <c r="D788" s="19"/>
      <c r="E788" s="9"/>
      <c r="F788" s="21">
        <f>Source!AM613</f>
        <v>1.79</v>
      </c>
      <c r="G788" s="20" t="str">
        <f>Source!DE613</f>
        <v/>
      </c>
      <c r="H788" s="9">
        <f>Source!AV613</f>
        <v>1</v>
      </c>
      <c r="I788" s="9">
        <f>IF(Source!BB613&lt;&gt; 0, Source!BB613, 1)</f>
        <v>1</v>
      </c>
      <c r="J788" s="21">
        <f>Source!Q613</f>
        <v>10.74</v>
      </c>
      <c r="K788" s="21"/>
    </row>
    <row r="789" spans="1:22" ht="14.25" x14ac:dyDescent="0.2">
      <c r="A789" s="18"/>
      <c r="B789" s="18"/>
      <c r="C789" s="18" t="s">
        <v>1108</v>
      </c>
      <c r="D789" s="19"/>
      <c r="E789" s="9"/>
      <c r="F789" s="21">
        <f>Source!AN613</f>
        <v>0.02</v>
      </c>
      <c r="G789" s="20" t="str">
        <f>Source!DF613</f>
        <v/>
      </c>
      <c r="H789" s="9">
        <f>Source!AV613</f>
        <v>1</v>
      </c>
      <c r="I789" s="9">
        <f>IF(Source!BS613&lt;&gt; 0, Source!BS613, 1)</f>
        <v>1</v>
      </c>
      <c r="J789" s="25">
        <f>Source!R613</f>
        <v>0.12</v>
      </c>
      <c r="K789" s="21"/>
    </row>
    <row r="790" spans="1:22" ht="14.25" x14ac:dyDescent="0.2">
      <c r="A790" s="18"/>
      <c r="B790" s="18"/>
      <c r="C790" s="18" t="s">
        <v>1101</v>
      </c>
      <c r="D790" s="19"/>
      <c r="E790" s="9"/>
      <c r="F790" s="21">
        <f>Source!AL613</f>
        <v>0.74</v>
      </c>
      <c r="G790" s="20" t="str">
        <f>Source!DD613</f>
        <v/>
      </c>
      <c r="H790" s="9">
        <f>Source!AW613</f>
        <v>1</v>
      </c>
      <c r="I790" s="9">
        <f>IF(Source!BC613&lt;&gt; 0, Source!BC613, 1)</f>
        <v>1</v>
      </c>
      <c r="J790" s="21">
        <f>Source!P613</f>
        <v>4.4400000000000004</v>
      </c>
      <c r="K790" s="21"/>
    </row>
    <row r="791" spans="1:22" ht="14.25" x14ac:dyDescent="0.2">
      <c r="A791" s="18"/>
      <c r="B791" s="18"/>
      <c r="C791" s="18" t="s">
        <v>1102</v>
      </c>
      <c r="D791" s="19" t="s">
        <v>1103</v>
      </c>
      <c r="E791" s="9">
        <f>Source!AT613</f>
        <v>70</v>
      </c>
      <c r="F791" s="21"/>
      <c r="G791" s="20"/>
      <c r="H791" s="9"/>
      <c r="I791" s="9"/>
      <c r="J791" s="21">
        <f>SUM(R786:R790)</f>
        <v>3957.58</v>
      </c>
      <c r="K791" s="21"/>
    </row>
    <row r="792" spans="1:22" ht="14.25" x14ac:dyDescent="0.2">
      <c r="A792" s="18"/>
      <c r="B792" s="18"/>
      <c r="C792" s="18" t="s">
        <v>1104</v>
      </c>
      <c r="D792" s="19" t="s">
        <v>1103</v>
      </c>
      <c r="E792" s="9">
        <f>Source!AU613</f>
        <v>10</v>
      </c>
      <c r="F792" s="21"/>
      <c r="G792" s="20"/>
      <c r="H792" s="9"/>
      <c r="I792" s="9"/>
      <c r="J792" s="21">
        <f>SUM(T786:T791)</f>
        <v>565.37</v>
      </c>
      <c r="K792" s="21"/>
    </row>
    <row r="793" spans="1:22" ht="14.25" x14ac:dyDescent="0.2">
      <c r="A793" s="18"/>
      <c r="B793" s="18"/>
      <c r="C793" s="18" t="s">
        <v>1109</v>
      </c>
      <c r="D793" s="19" t="s">
        <v>1103</v>
      </c>
      <c r="E793" s="9">
        <f>108</f>
        <v>108</v>
      </c>
      <c r="F793" s="21"/>
      <c r="G793" s="20"/>
      <c r="H793" s="9"/>
      <c r="I793" s="9"/>
      <c r="J793" s="21">
        <f>SUM(V786:V792)</f>
        <v>0.13</v>
      </c>
      <c r="K793" s="21"/>
    </row>
    <row r="794" spans="1:22" ht="14.25" x14ac:dyDescent="0.2">
      <c r="A794" s="18"/>
      <c r="B794" s="18"/>
      <c r="C794" s="18" t="s">
        <v>1105</v>
      </c>
      <c r="D794" s="19" t="s">
        <v>1106</v>
      </c>
      <c r="E794" s="9">
        <f>Source!AQ613</f>
        <v>1.42</v>
      </c>
      <c r="F794" s="21"/>
      <c r="G794" s="20" t="str">
        <f>Source!DI613</f>
        <v/>
      </c>
      <c r="H794" s="9">
        <f>Source!AV613</f>
        <v>1</v>
      </c>
      <c r="I794" s="9"/>
      <c r="J794" s="21"/>
      <c r="K794" s="21">
        <f>Source!U613</f>
        <v>8.52</v>
      </c>
    </row>
    <row r="795" spans="1:22" ht="15" x14ac:dyDescent="0.25">
      <c r="A795" s="23"/>
      <c r="B795" s="23"/>
      <c r="C795" s="23"/>
      <c r="D795" s="23"/>
      <c r="E795" s="23"/>
      <c r="F795" s="23"/>
      <c r="G795" s="23"/>
      <c r="H795" s="23"/>
      <c r="I795" s="44">
        <f>J787+J788+J790+J791+J792+J793</f>
        <v>10191.939999999999</v>
      </c>
      <c r="J795" s="44"/>
      <c r="K795" s="24">
        <f>IF(Source!I613&lt;&gt;0, ROUND(I795/Source!I613, 2), 0)</f>
        <v>1698.66</v>
      </c>
      <c r="P795" s="22">
        <f>I795</f>
        <v>10191.939999999999</v>
      </c>
    </row>
    <row r="797" spans="1:22" ht="15" customHeight="1" x14ac:dyDescent="0.25">
      <c r="B797" s="47" t="str">
        <f>Source!G614</f>
        <v>Трубопроводы</v>
      </c>
      <c r="C797" s="47"/>
      <c r="D797" s="47"/>
      <c r="E797" s="47"/>
      <c r="F797" s="47"/>
      <c r="G797" s="47"/>
      <c r="H797" s="47"/>
      <c r="I797" s="47"/>
      <c r="J797" s="47"/>
    </row>
    <row r="799" spans="1:22" ht="15" customHeight="1" x14ac:dyDescent="0.25">
      <c r="B799" s="47" t="str">
        <f>Source!G625</f>
        <v>Дренажный трубопровод</v>
      </c>
      <c r="C799" s="47"/>
      <c r="D799" s="47"/>
      <c r="E799" s="47"/>
      <c r="F799" s="47"/>
      <c r="G799" s="47"/>
      <c r="H799" s="47"/>
      <c r="I799" s="47"/>
      <c r="J799" s="47"/>
    </row>
    <row r="801" spans="1:22" ht="15" customHeight="1" x14ac:dyDescent="0.25">
      <c r="A801" s="46" t="str">
        <f>CONCATENATE("Итого по подразделу: ",IF(Source!G630&lt;&gt;"Новый подраздел", Source!G630, ""))</f>
        <v>Итого по подразделу: Кондиционирование</v>
      </c>
      <c r="B801" s="46"/>
      <c r="C801" s="46"/>
      <c r="D801" s="46"/>
      <c r="E801" s="46"/>
      <c r="F801" s="46"/>
      <c r="G801" s="46"/>
      <c r="H801" s="46"/>
      <c r="I801" s="45">
        <f>SUM(P728:P800)</f>
        <v>121161.09000000003</v>
      </c>
      <c r="J801" s="45"/>
      <c r="K801" s="26"/>
    </row>
    <row r="804" spans="1:22" ht="16.5" customHeight="1" x14ac:dyDescent="0.25">
      <c r="A804" s="48" t="str">
        <f>CONCATENATE("Подраздел: ",IF(Source!G660&lt;&gt;"Новый подраздел", Source!G660, ""))</f>
        <v>Подраздел: Клапана сброса избыточного давления</v>
      </c>
      <c r="B804" s="48"/>
      <c r="C804" s="48"/>
      <c r="D804" s="48"/>
      <c r="E804" s="48"/>
      <c r="F804" s="48"/>
      <c r="G804" s="48"/>
      <c r="H804" s="48"/>
      <c r="I804" s="48"/>
      <c r="J804" s="48"/>
      <c r="K804" s="48"/>
    </row>
    <row r="805" spans="1:22" ht="85.5" x14ac:dyDescent="0.2">
      <c r="A805" s="18">
        <v>86</v>
      </c>
      <c r="B805" s="18" t="str">
        <f>Source!F664</f>
        <v>1.18-2203-3-3/1</v>
      </c>
      <c r="C805" s="18" t="str">
        <f>Source!G664</f>
        <v>Техническое обслуживание клапанов воздушных регулирующих с электроприводом диаметром/периметром до 560/1600 мм  /Клапан сброса избыточного давления. Сборный КСИД-ФС-0,5</v>
      </c>
      <c r="D805" s="19" t="str">
        <f>Source!H664</f>
        <v>шт.</v>
      </c>
      <c r="E805" s="9">
        <f>Source!I664</f>
        <v>103</v>
      </c>
      <c r="F805" s="21"/>
      <c r="G805" s="20"/>
      <c r="H805" s="9"/>
      <c r="I805" s="9"/>
      <c r="J805" s="21"/>
      <c r="K805" s="21"/>
      <c r="Q805">
        <f>ROUND((Source!BZ664/100)*ROUND((Source!AF664*Source!AV664)*Source!I664, 2), 2)</f>
        <v>27749.13</v>
      </c>
      <c r="R805">
        <f>Source!X664</f>
        <v>27749.13</v>
      </c>
      <c r="S805">
        <f>ROUND((Source!CA664/100)*ROUND((Source!AF664*Source!AV664)*Source!I664, 2), 2)</f>
        <v>3964.16</v>
      </c>
      <c r="T805">
        <f>Source!Y664</f>
        <v>3964.16</v>
      </c>
      <c r="U805">
        <f>ROUND((175/100)*ROUND((Source!AE664*Source!AV664)*Source!I664, 2), 2)</f>
        <v>4468.3999999999996</v>
      </c>
      <c r="V805">
        <f>ROUND((108/100)*ROUND(Source!CS664*Source!I664, 2), 2)</f>
        <v>2757.64</v>
      </c>
    </row>
    <row r="806" spans="1:22" x14ac:dyDescent="0.2">
      <c r="C806" s="28" t="str">
        <f>"Объем: "&amp;Source!I664&amp;"=4+"&amp;"1+"&amp;"5+"&amp;"93"</f>
        <v>Объем: 103=4+1+5+93</v>
      </c>
    </row>
    <row r="807" spans="1:22" ht="14.25" x14ac:dyDescent="0.2">
      <c r="A807" s="18"/>
      <c r="B807" s="18"/>
      <c r="C807" s="18" t="s">
        <v>1100</v>
      </c>
      <c r="D807" s="19"/>
      <c r="E807" s="9"/>
      <c r="F807" s="21">
        <f>Source!AO664</f>
        <v>384.87</v>
      </c>
      <c r="G807" s="20" t="str">
        <f>Source!DG664</f>
        <v/>
      </c>
      <c r="H807" s="9">
        <f>Source!AV664</f>
        <v>1</v>
      </c>
      <c r="I807" s="9">
        <f>IF(Source!BA664&lt;&gt; 0, Source!BA664, 1)</f>
        <v>1</v>
      </c>
      <c r="J807" s="21">
        <f>Source!S664</f>
        <v>39641.61</v>
      </c>
      <c r="K807" s="21"/>
    </row>
    <row r="808" spans="1:22" ht="14.25" x14ac:dyDescent="0.2">
      <c r="A808" s="18"/>
      <c r="B808" s="18"/>
      <c r="C808" s="18" t="s">
        <v>1107</v>
      </c>
      <c r="D808" s="19"/>
      <c r="E808" s="9"/>
      <c r="F808" s="21">
        <f>Source!AM664</f>
        <v>39.090000000000003</v>
      </c>
      <c r="G808" s="20" t="str">
        <f>Source!DE664</f>
        <v/>
      </c>
      <c r="H808" s="9">
        <f>Source!AV664</f>
        <v>1</v>
      </c>
      <c r="I808" s="9">
        <f>IF(Source!BB664&lt;&gt; 0, Source!BB664, 1)</f>
        <v>1</v>
      </c>
      <c r="J808" s="21">
        <f>Source!Q664</f>
        <v>4026.27</v>
      </c>
      <c r="K808" s="21"/>
    </row>
    <row r="809" spans="1:22" ht="14.25" x14ac:dyDescent="0.2">
      <c r="A809" s="18"/>
      <c r="B809" s="18"/>
      <c r="C809" s="18" t="s">
        <v>1108</v>
      </c>
      <c r="D809" s="19"/>
      <c r="E809" s="9"/>
      <c r="F809" s="21">
        <f>Source!AN664</f>
        <v>24.79</v>
      </c>
      <c r="G809" s="20" t="str">
        <f>Source!DF664</f>
        <v/>
      </c>
      <c r="H809" s="9">
        <f>Source!AV664</f>
        <v>1</v>
      </c>
      <c r="I809" s="9">
        <f>IF(Source!BS664&lt;&gt; 0, Source!BS664, 1)</f>
        <v>1</v>
      </c>
      <c r="J809" s="25">
        <f>Source!R664</f>
        <v>2553.37</v>
      </c>
      <c r="K809" s="21"/>
    </row>
    <row r="810" spans="1:22" ht="14.25" x14ac:dyDescent="0.2">
      <c r="A810" s="18"/>
      <c r="B810" s="18"/>
      <c r="C810" s="18" t="s">
        <v>1101</v>
      </c>
      <c r="D810" s="19"/>
      <c r="E810" s="9"/>
      <c r="F810" s="21">
        <f>Source!AL664</f>
        <v>0.47</v>
      </c>
      <c r="G810" s="20" t="str">
        <f>Source!DD664</f>
        <v/>
      </c>
      <c r="H810" s="9">
        <f>Source!AW664</f>
        <v>1</v>
      </c>
      <c r="I810" s="9">
        <f>IF(Source!BC664&lt;&gt; 0, Source!BC664, 1)</f>
        <v>1</v>
      </c>
      <c r="J810" s="21">
        <f>Source!P664</f>
        <v>48.41</v>
      </c>
      <c r="K810" s="21"/>
    </row>
    <row r="811" spans="1:22" ht="14.25" x14ac:dyDescent="0.2">
      <c r="A811" s="18"/>
      <c r="B811" s="18"/>
      <c r="C811" s="18" t="s">
        <v>1102</v>
      </c>
      <c r="D811" s="19" t="s">
        <v>1103</v>
      </c>
      <c r="E811" s="9">
        <f>Source!AT664</f>
        <v>70</v>
      </c>
      <c r="F811" s="21"/>
      <c r="G811" s="20"/>
      <c r="H811" s="9"/>
      <c r="I811" s="9"/>
      <c r="J811" s="21">
        <f>SUM(R805:R810)</f>
        <v>27749.13</v>
      </c>
      <c r="K811" s="21"/>
    </row>
    <row r="812" spans="1:22" ht="14.25" x14ac:dyDescent="0.2">
      <c r="A812" s="18"/>
      <c r="B812" s="18"/>
      <c r="C812" s="18" t="s">
        <v>1104</v>
      </c>
      <c r="D812" s="19" t="s">
        <v>1103</v>
      </c>
      <c r="E812" s="9">
        <f>Source!AU664</f>
        <v>10</v>
      </c>
      <c r="F812" s="21"/>
      <c r="G812" s="20"/>
      <c r="H812" s="9"/>
      <c r="I812" s="9"/>
      <c r="J812" s="21">
        <f>SUM(T805:T811)</f>
        <v>3964.16</v>
      </c>
      <c r="K812" s="21"/>
    </row>
    <row r="813" spans="1:22" ht="14.25" x14ac:dyDescent="0.2">
      <c r="A813" s="18"/>
      <c r="B813" s="18"/>
      <c r="C813" s="18" t="s">
        <v>1109</v>
      </c>
      <c r="D813" s="19" t="s">
        <v>1103</v>
      </c>
      <c r="E813" s="9">
        <f>108</f>
        <v>108</v>
      </c>
      <c r="F813" s="21"/>
      <c r="G813" s="20"/>
      <c r="H813" s="9"/>
      <c r="I813" s="9"/>
      <c r="J813" s="21">
        <f>SUM(V805:V812)</f>
        <v>2757.64</v>
      </c>
      <c r="K813" s="21"/>
    </row>
    <row r="814" spans="1:22" ht="14.25" x14ac:dyDescent="0.2">
      <c r="A814" s="18"/>
      <c r="B814" s="18"/>
      <c r="C814" s="18" t="s">
        <v>1105</v>
      </c>
      <c r="D814" s="19" t="s">
        <v>1106</v>
      </c>
      <c r="E814" s="9">
        <f>Source!AQ664</f>
        <v>0.57999999999999996</v>
      </c>
      <c r="F814" s="21"/>
      <c r="G814" s="20" t="str">
        <f>Source!DI664</f>
        <v/>
      </c>
      <c r="H814" s="9">
        <f>Source!AV664</f>
        <v>1</v>
      </c>
      <c r="I814" s="9"/>
      <c r="J814" s="21"/>
      <c r="K814" s="21">
        <f>Source!U664</f>
        <v>59.739999999999995</v>
      </c>
    </row>
    <row r="815" spans="1:22" ht="15" x14ac:dyDescent="0.25">
      <c r="A815" s="23"/>
      <c r="B815" s="23"/>
      <c r="C815" s="23"/>
      <c r="D815" s="23"/>
      <c r="E815" s="23"/>
      <c r="F815" s="23"/>
      <c r="G815" s="23"/>
      <c r="H815" s="23"/>
      <c r="I815" s="44">
        <f>J807+J808+J810+J811+J812+J813</f>
        <v>78187.22</v>
      </c>
      <c r="J815" s="44"/>
      <c r="K815" s="24">
        <f>IF(Source!I664&lt;&gt;0, ROUND(I815/Source!I664, 2), 0)</f>
        <v>759.1</v>
      </c>
      <c r="P815" s="22">
        <f>I815</f>
        <v>78187.22</v>
      </c>
    </row>
    <row r="817" spans="1:22" ht="15" customHeight="1" x14ac:dyDescent="0.25">
      <c r="A817" s="46" t="str">
        <f>CONCATENATE("Итого по подразделу: ",IF(Source!G666&lt;&gt;"Новый подраздел", Source!G666, ""))</f>
        <v>Итого по подразделу: Клапана сброса избыточного давления</v>
      </c>
      <c r="B817" s="46"/>
      <c r="C817" s="46"/>
      <c r="D817" s="46"/>
      <c r="E817" s="46"/>
      <c r="F817" s="46"/>
      <c r="G817" s="46"/>
      <c r="H817" s="46"/>
      <c r="I817" s="45">
        <f>SUM(P804:P816)</f>
        <v>78187.22</v>
      </c>
      <c r="J817" s="45"/>
      <c r="K817" s="26"/>
    </row>
    <row r="820" spans="1:22" ht="15" customHeight="1" x14ac:dyDescent="0.25">
      <c r="A820" s="46" t="str">
        <f>CONCATENATE("Итого по разделу: ",IF(Source!G696&lt;&gt;"Новый раздел", Source!G696, ""))</f>
        <v>Итого по разделу: 3. Вентиляция и кондиционирование</v>
      </c>
      <c r="B820" s="46"/>
      <c r="C820" s="46"/>
      <c r="D820" s="46"/>
      <c r="E820" s="46"/>
      <c r="F820" s="46"/>
      <c r="G820" s="46"/>
      <c r="H820" s="46"/>
      <c r="I820" s="45">
        <f>SUM(P619:P819)</f>
        <v>515615.10000000009</v>
      </c>
      <c r="J820" s="45"/>
      <c r="K820" s="26"/>
    </row>
    <row r="823" spans="1:22" ht="16.5" customHeight="1" x14ac:dyDescent="0.25">
      <c r="A823" s="48" t="str">
        <f>CONCATENATE("Раздел: ",IF(Source!G726&lt;&gt;"Новый раздел", Source!G726, ""))</f>
        <v>Раздел: 4. Системы электроснабжения</v>
      </c>
      <c r="B823" s="48"/>
      <c r="C823" s="48"/>
      <c r="D823" s="48"/>
      <c r="E823" s="48"/>
      <c r="F823" s="48"/>
      <c r="G823" s="48"/>
      <c r="H823" s="48"/>
      <c r="I823" s="48"/>
      <c r="J823" s="48"/>
      <c r="K823" s="48"/>
    </row>
    <row r="825" spans="1:22" ht="16.5" customHeight="1" x14ac:dyDescent="0.25">
      <c r="A825" s="48" t="str">
        <f>CONCATENATE("Подраздел: ",IF(Source!G730&lt;&gt;"Новый подраздел", Source!G730, ""))</f>
        <v>Подраздел: Электроснабжение</v>
      </c>
      <c r="B825" s="48"/>
      <c r="C825" s="48"/>
      <c r="D825" s="48"/>
      <c r="E825" s="48"/>
      <c r="F825" s="48"/>
      <c r="G825" s="48"/>
      <c r="H825" s="48"/>
      <c r="I825" s="48"/>
      <c r="J825" s="48"/>
      <c r="K825" s="48"/>
    </row>
    <row r="827" spans="1:22" ht="15" x14ac:dyDescent="0.25">
      <c r="B827" s="47" t="str">
        <f>Source!G734</f>
        <v>ВРУ-1</v>
      </c>
      <c r="C827" s="47"/>
      <c r="D827" s="47"/>
      <c r="E827" s="47"/>
      <c r="F827" s="47"/>
      <c r="G827" s="47"/>
      <c r="H827" s="47"/>
      <c r="I827" s="47"/>
      <c r="J827" s="47"/>
    </row>
    <row r="828" spans="1:22" ht="57" x14ac:dyDescent="0.2">
      <c r="A828" s="18">
        <v>87</v>
      </c>
      <c r="B828" s="18" t="str">
        <f>Source!F735</f>
        <v>1.21-2203-8-2/1</v>
      </c>
      <c r="C828" s="18" t="str">
        <f>Source!G735</f>
        <v>Техническое обслуживание ящика ввода распределительного с рубильником и предохранителями, номинальный ток 600 А (ВП1, ВП2)</v>
      </c>
      <c r="D828" s="19" t="str">
        <f>Source!H735</f>
        <v>шт.</v>
      </c>
      <c r="E828" s="9">
        <f>Source!I735</f>
        <v>2</v>
      </c>
      <c r="F828" s="21"/>
      <c r="G828" s="20"/>
      <c r="H828" s="9"/>
      <c r="I828" s="9"/>
      <c r="J828" s="21"/>
      <c r="K828" s="21"/>
      <c r="Q828">
        <f>ROUND((Source!BZ735/100)*ROUND((Source!AF735*Source!AV735)*Source!I735, 2), 2)</f>
        <v>7780.37</v>
      </c>
      <c r="R828">
        <f>Source!X735</f>
        <v>7780.37</v>
      </c>
      <c r="S828">
        <f>ROUND((Source!CA735/100)*ROUND((Source!AF735*Source!AV735)*Source!I735, 2), 2)</f>
        <v>1111.48</v>
      </c>
      <c r="T828">
        <f>Source!Y735</f>
        <v>1111.48</v>
      </c>
      <c r="U828">
        <f>ROUND((175/100)*ROUND((Source!AE735*Source!AV735)*Source!I735, 2), 2)</f>
        <v>0</v>
      </c>
      <c r="V828">
        <f>ROUND((108/100)*ROUND(Source!CS735*Source!I735, 2), 2)</f>
        <v>0</v>
      </c>
    </row>
    <row r="829" spans="1:22" x14ac:dyDescent="0.2">
      <c r="C829" s="28" t="str">
        <f>"Объем: "&amp;Source!I735&amp;"=1+"&amp;"1"</f>
        <v>Объем: 2=1+1</v>
      </c>
    </row>
    <row r="830" spans="1:22" ht="14.25" x14ac:dyDescent="0.2">
      <c r="A830" s="18"/>
      <c r="B830" s="18"/>
      <c r="C830" s="18" t="s">
        <v>1100</v>
      </c>
      <c r="D830" s="19"/>
      <c r="E830" s="9"/>
      <c r="F830" s="21">
        <f>Source!AO735</f>
        <v>5557.41</v>
      </c>
      <c r="G830" s="20" t="str">
        <f>Source!DG735</f>
        <v/>
      </c>
      <c r="H830" s="9">
        <f>Source!AV735</f>
        <v>1</v>
      </c>
      <c r="I830" s="9">
        <f>IF(Source!BA735&lt;&gt; 0, Source!BA735, 1)</f>
        <v>1</v>
      </c>
      <c r="J830" s="21">
        <f>Source!S735</f>
        <v>11114.82</v>
      </c>
      <c r="K830" s="21"/>
    </row>
    <row r="831" spans="1:22" ht="14.25" x14ac:dyDescent="0.2">
      <c r="A831" s="18"/>
      <c r="B831" s="18"/>
      <c r="C831" s="18" t="s">
        <v>1101</v>
      </c>
      <c r="D831" s="19"/>
      <c r="E831" s="9"/>
      <c r="F831" s="21">
        <f>Source!AL735</f>
        <v>77.08</v>
      </c>
      <c r="G831" s="20" t="str">
        <f>Source!DD735</f>
        <v/>
      </c>
      <c r="H831" s="9">
        <f>Source!AW735</f>
        <v>1</v>
      </c>
      <c r="I831" s="9">
        <f>IF(Source!BC735&lt;&gt; 0, Source!BC735, 1)</f>
        <v>1</v>
      </c>
      <c r="J831" s="21">
        <f>Source!P735</f>
        <v>154.16</v>
      </c>
      <c r="K831" s="21"/>
    </row>
    <row r="832" spans="1:22" ht="14.25" x14ac:dyDescent="0.2">
      <c r="A832" s="18"/>
      <c r="B832" s="18"/>
      <c r="C832" s="18" t="s">
        <v>1102</v>
      </c>
      <c r="D832" s="19" t="s">
        <v>1103</v>
      </c>
      <c r="E832" s="9">
        <f>Source!AT735</f>
        <v>70</v>
      </c>
      <c r="F832" s="21"/>
      <c r="G832" s="20"/>
      <c r="H832" s="9"/>
      <c r="I832" s="9"/>
      <c r="J832" s="21">
        <f>SUM(R828:R831)</f>
        <v>7780.37</v>
      </c>
      <c r="K832" s="21"/>
    </row>
    <row r="833" spans="1:22" ht="14.25" x14ac:dyDescent="0.2">
      <c r="A833" s="18"/>
      <c r="B833" s="18"/>
      <c r="C833" s="18" t="s">
        <v>1104</v>
      </c>
      <c r="D833" s="19" t="s">
        <v>1103</v>
      </c>
      <c r="E833" s="9">
        <f>Source!AU735</f>
        <v>10</v>
      </c>
      <c r="F833" s="21"/>
      <c r="G833" s="20"/>
      <c r="H833" s="9"/>
      <c r="I833" s="9"/>
      <c r="J833" s="21">
        <f>SUM(T828:T832)</f>
        <v>1111.48</v>
      </c>
      <c r="K833" s="21"/>
    </row>
    <row r="834" spans="1:22" ht="14.25" x14ac:dyDescent="0.2">
      <c r="A834" s="18"/>
      <c r="B834" s="18"/>
      <c r="C834" s="18" t="s">
        <v>1105</v>
      </c>
      <c r="D834" s="19" t="s">
        <v>1106</v>
      </c>
      <c r="E834" s="9">
        <f>Source!AQ735</f>
        <v>9</v>
      </c>
      <c r="F834" s="21"/>
      <c r="G834" s="20" t="str">
        <f>Source!DI735</f>
        <v/>
      </c>
      <c r="H834" s="9">
        <f>Source!AV735</f>
        <v>1</v>
      </c>
      <c r="I834" s="9"/>
      <c r="J834" s="21"/>
      <c r="K834" s="21">
        <f>Source!U735</f>
        <v>18</v>
      </c>
    </row>
    <row r="835" spans="1:22" ht="15" x14ac:dyDescent="0.25">
      <c r="A835" s="23"/>
      <c r="B835" s="23"/>
      <c r="C835" s="23"/>
      <c r="D835" s="23"/>
      <c r="E835" s="23"/>
      <c r="F835" s="23"/>
      <c r="G835" s="23"/>
      <c r="H835" s="23"/>
      <c r="I835" s="44">
        <f>J830+J831+J832+J833</f>
        <v>20160.829999999998</v>
      </c>
      <c r="J835" s="44"/>
      <c r="K835" s="24">
        <f>IF(Source!I735&lt;&gt;0, ROUND(I835/Source!I735, 2), 0)</f>
        <v>10080.42</v>
      </c>
      <c r="P835" s="22">
        <f>I835</f>
        <v>20160.829999999998</v>
      </c>
    </row>
    <row r="836" spans="1:22" ht="71.25" x14ac:dyDescent="0.2">
      <c r="A836" s="18">
        <v>88</v>
      </c>
      <c r="B836" s="18" t="str">
        <f>Source!F739</f>
        <v>1.21-2303-40-1/1</v>
      </c>
      <c r="C836" s="18" t="str">
        <f>Source!G739</f>
        <v>Техническое обслуживание измерителя мощности типа PM710MG на лицевой панели распределительного устройства - полугодовое</v>
      </c>
      <c r="D836" s="19" t="str">
        <f>Source!H739</f>
        <v>шт.</v>
      </c>
      <c r="E836" s="9">
        <f>Source!I739</f>
        <v>2</v>
      </c>
      <c r="F836" s="21"/>
      <c r="G836" s="20"/>
      <c r="H836" s="9"/>
      <c r="I836" s="9"/>
      <c r="J836" s="21"/>
      <c r="K836" s="21"/>
      <c r="Q836">
        <f>ROUND((Source!BZ739/100)*ROUND((Source!AF739*Source!AV739)*Source!I739, 2), 2)</f>
        <v>157.41999999999999</v>
      </c>
      <c r="R836">
        <f>Source!X739</f>
        <v>157.41999999999999</v>
      </c>
      <c r="S836">
        <f>ROUND((Source!CA739/100)*ROUND((Source!AF739*Source!AV739)*Source!I739, 2), 2)</f>
        <v>22.49</v>
      </c>
      <c r="T836">
        <f>Source!Y739</f>
        <v>22.49</v>
      </c>
      <c r="U836">
        <f>ROUND((175/100)*ROUND((Source!AE739*Source!AV739)*Source!I739, 2), 2)</f>
        <v>0</v>
      </c>
      <c r="V836">
        <f>ROUND((108/100)*ROUND(Source!CS739*Source!I739, 2), 2)</f>
        <v>0</v>
      </c>
    </row>
    <row r="837" spans="1:22" x14ac:dyDescent="0.2">
      <c r="C837" s="28" t="str">
        <f>"Объем: "&amp;Source!I739&amp;"=1+"&amp;"1"</f>
        <v>Объем: 2=1+1</v>
      </c>
    </row>
    <row r="838" spans="1:22" ht="14.25" x14ac:dyDescent="0.2">
      <c r="A838" s="18"/>
      <c r="B838" s="18"/>
      <c r="C838" s="18" t="s">
        <v>1100</v>
      </c>
      <c r="D838" s="19"/>
      <c r="E838" s="9"/>
      <c r="F838" s="21">
        <f>Source!AO739</f>
        <v>112.44</v>
      </c>
      <c r="G838" s="20" t="str">
        <f>Source!DG739</f>
        <v/>
      </c>
      <c r="H838" s="9">
        <f>Source!AV739</f>
        <v>1</v>
      </c>
      <c r="I838" s="9">
        <f>IF(Source!BA739&lt;&gt; 0, Source!BA739, 1)</f>
        <v>1</v>
      </c>
      <c r="J838" s="21">
        <f>Source!S739</f>
        <v>224.88</v>
      </c>
      <c r="K838" s="21"/>
    </row>
    <row r="839" spans="1:22" ht="14.25" x14ac:dyDescent="0.2">
      <c r="A839" s="18"/>
      <c r="B839" s="18"/>
      <c r="C839" s="18" t="s">
        <v>1101</v>
      </c>
      <c r="D839" s="19"/>
      <c r="E839" s="9"/>
      <c r="F839" s="21">
        <f>Source!AL739</f>
        <v>6.3</v>
      </c>
      <c r="G839" s="20" t="str">
        <f>Source!DD739</f>
        <v/>
      </c>
      <c r="H839" s="9">
        <f>Source!AW739</f>
        <v>1</v>
      </c>
      <c r="I839" s="9">
        <f>IF(Source!BC739&lt;&gt; 0, Source!BC739, 1)</f>
        <v>1</v>
      </c>
      <c r="J839" s="21">
        <f>Source!P739</f>
        <v>12.6</v>
      </c>
      <c r="K839" s="21"/>
    </row>
    <row r="840" spans="1:22" ht="14.25" x14ac:dyDescent="0.2">
      <c r="A840" s="18"/>
      <c r="B840" s="18"/>
      <c r="C840" s="18" t="s">
        <v>1102</v>
      </c>
      <c r="D840" s="19" t="s">
        <v>1103</v>
      </c>
      <c r="E840" s="9">
        <f>Source!AT739</f>
        <v>70</v>
      </c>
      <c r="F840" s="21"/>
      <c r="G840" s="20"/>
      <c r="H840" s="9"/>
      <c r="I840" s="9"/>
      <c r="J840" s="21">
        <f>SUM(R836:R839)</f>
        <v>157.41999999999999</v>
      </c>
      <c r="K840" s="21"/>
    </row>
    <row r="841" spans="1:22" ht="14.25" x14ac:dyDescent="0.2">
      <c r="A841" s="18"/>
      <c r="B841" s="18"/>
      <c r="C841" s="18" t="s">
        <v>1104</v>
      </c>
      <c r="D841" s="19" t="s">
        <v>1103</v>
      </c>
      <c r="E841" s="9">
        <f>Source!AU739</f>
        <v>10</v>
      </c>
      <c r="F841" s="21"/>
      <c r="G841" s="20"/>
      <c r="H841" s="9"/>
      <c r="I841" s="9"/>
      <c r="J841" s="21">
        <f>SUM(T836:T840)</f>
        <v>22.49</v>
      </c>
      <c r="K841" s="21"/>
    </row>
    <row r="842" spans="1:22" ht="14.25" x14ac:dyDescent="0.2">
      <c r="A842" s="18"/>
      <c r="B842" s="18"/>
      <c r="C842" s="18" t="s">
        <v>1105</v>
      </c>
      <c r="D842" s="19" t="s">
        <v>1106</v>
      </c>
      <c r="E842" s="9">
        <f>Source!AQ739</f>
        <v>0.2</v>
      </c>
      <c r="F842" s="21"/>
      <c r="G842" s="20" t="str">
        <f>Source!DI739</f>
        <v/>
      </c>
      <c r="H842" s="9">
        <f>Source!AV739</f>
        <v>1</v>
      </c>
      <c r="I842" s="9"/>
      <c r="J842" s="21"/>
      <c r="K842" s="21">
        <f>Source!U739</f>
        <v>0.4</v>
      </c>
    </row>
    <row r="843" spans="1:22" ht="15" x14ac:dyDescent="0.25">
      <c r="A843" s="23"/>
      <c r="B843" s="23"/>
      <c r="C843" s="23"/>
      <c r="D843" s="23"/>
      <c r="E843" s="23"/>
      <c r="F843" s="23"/>
      <c r="G843" s="23"/>
      <c r="H843" s="23"/>
      <c r="I843" s="44">
        <f>J838+J839+J840+J841</f>
        <v>417.39</v>
      </c>
      <c r="J843" s="44"/>
      <c r="K843" s="24">
        <f>IF(Source!I739&lt;&gt;0, ROUND(I843/Source!I739, 2), 0)</f>
        <v>208.7</v>
      </c>
      <c r="P843" s="22">
        <f>I843</f>
        <v>417.39</v>
      </c>
    </row>
    <row r="844" spans="1:22" ht="57" x14ac:dyDescent="0.2">
      <c r="A844" s="18">
        <v>89</v>
      </c>
      <c r="B844" s="18" t="str">
        <f>Source!F741</f>
        <v>1.21-2203-2-4/1</v>
      </c>
      <c r="C844" s="18" t="str">
        <f>Source!G741</f>
        <v>Техническое обслуживание силового распределительного пункта с установочными автоматами, число групп 10  ( РП2)</v>
      </c>
      <c r="D844" s="19" t="str">
        <f>Source!H741</f>
        <v>шт.</v>
      </c>
      <c r="E844" s="9">
        <f>Source!I741</f>
        <v>1</v>
      </c>
      <c r="F844" s="21"/>
      <c r="G844" s="20"/>
      <c r="H844" s="9"/>
      <c r="I844" s="9"/>
      <c r="J844" s="21"/>
      <c r="K844" s="21"/>
      <c r="Q844">
        <f>ROUND((Source!BZ741/100)*ROUND((Source!AF741*Source!AV741)*Source!I741, 2), 2)</f>
        <v>7780.37</v>
      </c>
      <c r="R844">
        <f>Source!X741</f>
        <v>7780.37</v>
      </c>
      <c r="S844">
        <f>ROUND((Source!CA741/100)*ROUND((Source!AF741*Source!AV741)*Source!I741, 2), 2)</f>
        <v>1111.48</v>
      </c>
      <c r="T844">
        <f>Source!Y741</f>
        <v>1111.48</v>
      </c>
      <c r="U844">
        <f>ROUND((175/100)*ROUND((Source!AE741*Source!AV741)*Source!I741, 2), 2)</f>
        <v>0</v>
      </c>
      <c r="V844">
        <f>ROUND((108/100)*ROUND(Source!CS741*Source!I741, 2), 2)</f>
        <v>0</v>
      </c>
    </row>
    <row r="845" spans="1:22" ht="14.25" x14ac:dyDescent="0.2">
      <c r="A845" s="18"/>
      <c r="B845" s="18"/>
      <c r="C845" s="18" t="s">
        <v>1100</v>
      </c>
      <c r="D845" s="19"/>
      <c r="E845" s="9"/>
      <c r="F845" s="21">
        <f>Source!AO741</f>
        <v>11114.82</v>
      </c>
      <c r="G845" s="20" t="str">
        <f>Source!DG741</f>
        <v/>
      </c>
      <c r="H845" s="9">
        <f>Source!AV741</f>
        <v>1</v>
      </c>
      <c r="I845" s="9">
        <f>IF(Source!BA741&lt;&gt; 0, Source!BA741, 1)</f>
        <v>1</v>
      </c>
      <c r="J845" s="21">
        <f>Source!S741</f>
        <v>11114.82</v>
      </c>
      <c r="K845" s="21"/>
    </row>
    <row r="846" spans="1:22" ht="14.25" x14ac:dyDescent="0.2">
      <c r="A846" s="18"/>
      <c r="B846" s="18"/>
      <c r="C846" s="18" t="s">
        <v>1101</v>
      </c>
      <c r="D846" s="19"/>
      <c r="E846" s="9"/>
      <c r="F846" s="21">
        <f>Source!AL741</f>
        <v>154.13999999999999</v>
      </c>
      <c r="G846" s="20" t="str">
        <f>Source!DD741</f>
        <v/>
      </c>
      <c r="H846" s="9">
        <f>Source!AW741</f>
        <v>1</v>
      </c>
      <c r="I846" s="9">
        <f>IF(Source!BC741&lt;&gt; 0, Source!BC741, 1)</f>
        <v>1</v>
      </c>
      <c r="J846" s="21">
        <f>Source!P741</f>
        <v>154.13999999999999</v>
      </c>
      <c r="K846" s="21"/>
    </row>
    <row r="847" spans="1:22" ht="14.25" x14ac:dyDescent="0.2">
      <c r="A847" s="18"/>
      <c r="B847" s="18"/>
      <c r="C847" s="18" t="s">
        <v>1102</v>
      </c>
      <c r="D847" s="19" t="s">
        <v>1103</v>
      </c>
      <c r="E847" s="9">
        <f>Source!AT741</f>
        <v>70</v>
      </c>
      <c r="F847" s="21"/>
      <c r="G847" s="20"/>
      <c r="H847" s="9"/>
      <c r="I847" s="9"/>
      <c r="J847" s="21">
        <f>SUM(R844:R846)</f>
        <v>7780.37</v>
      </c>
      <c r="K847" s="21"/>
    </row>
    <row r="848" spans="1:22" ht="14.25" x14ac:dyDescent="0.2">
      <c r="A848" s="18"/>
      <c r="B848" s="18"/>
      <c r="C848" s="18" t="s">
        <v>1104</v>
      </c>
      <c r="D848" s="19" t="s">
        <v>1103</v>
      </c>
      <c r="E848" s="9">
        <f>Source!AU741</f>
        <v>10</v>
      </c>
      <c r="F848" s="21"/>
      <c r="G848" s="20"/>
      <c r="H848" s="9"/>
      <c r="I848" s="9"/>
      <c r="J848" s="21">
        <f>SUM(T844:T847)</f>
        <v>1111.48</v>
      </c>
      <c r="K848" s="21"/>
    </row>
    <row r="849" spans="1:22" ht="14.25" x14ac:dyDescent="0.2">
      <c r="A849" s="18"/>
      <c r="B849" s="18"/>
      <c r="C849" s="18" t="s">
        <v>1105</v>
      </c>
      <c r="D849" s="19" t="s">
        <v>1106</v>
      </c>
      <c r="E849" s="9">
        <f>Source!AQ741</f>
        <v>18</v>
      </c>
      <c r="F849" s="21"/>
      <c r="G849" s="20" t="str">
        <f>Source!DI741</f>
        <v/>
      </c>
      <c r="H849" s="9">
        <f>Source!AV741</f>
        <v>1</v>
      </c>
      <c r="I849" s="9"/>
      <c r="J849" s="21"/>
      <c r="K849" s="21">
        <f>Source!U741</f>
        <v>18</v>
      </c>
    </row>
    <row r="850" spans="1:22" ht="15" x14ac:dyDescent="0.25">
      <c r="A850" s="23"/>
      <c r="B850" s="23"/>
      <c r="C850" s="23"/>
      <c r="D850" s="23"/>
      <c r="E850" s="23"/>
      <c r="F850" s="23"/>
      <c r="G850" s="23"/>
      <c r="H850" s="23"/>
      <c r="I850" s="44">
        <f>J845+J846+J847+J848</f>
        <v>20160.809999999998</v>
      </c>
      <c r="J850" s="44"/>
      <c r="K850" s="24">
        <f>IF(Source!I741&lt;&gt;0, ROUND(I850/Source!I741, 2), 0)</f>
        <v>20160.810000000001</v>
      </c>
      <c r="P850" s="22">
        <f>I850</f>
        <v>20160.809999999998</v>
      </c>
    </row>
    <row r="851" spans="1:22" ht="57" x14ac:dyDescent="0.2">
      <c r="A851" s="18">
        <v>90</v>
      </c>
      <c r="B851" s="18" t="str">
        <f>Source!F743</f>
        <v>1.21-2203-2-5/1</v>
      </c>
      <c r="C851" s="18" t="str">
        <f>Source!G743</f>
        <v>Техническое обслуживание силового распределительного пункта с установочными автоматами, число групп 12 (РП1-1, РП-АВР1)</v>
      </c>
      <c r="D851" s="19" t="str">
        <f>Source!H743</f>
        <v>шт.</v>
      </c>
      <c r="E851" s="9">
        <f>Source!I743</f>
        <v>2</v>
      </c>
      <c r="F851" s="21"/>
      <c r="G851" s="20"/>
      <c r="H851" s="9"/>
      <c r="I851" s="9"/>
      <c r="J851" s="21"/>
      <c r="K851" s="21"/>
      <c r="Q851">
        <f>ROUND((Source!BZ743/100)*ROUND((Source!AF743*Source!AV743)*Source!I743, 2), 2)</f>
        <v>20747.66</v>
      </c>
      <c r="R851">
        <f>Source!X743</f>
        <v>20747.66</v>
      </c>
      <c r="S851">
        <f>ROUND((Source!CA743/100)*ROUND((Source!AF743*Source!AV743)*Source!I743, 2), 2)</f>
        <v>2963.95</v>
      </c>
      <c r="T851">
        <f>Source!Y743</f>
        <v>2963.95</v>
      </c>
      <c r="U851">
        <f>ROUND((175/100)*ROUND((Source!AE743*Source!AV743)*Source!I743, 2), 2)</f>
        <v>0</v>
      </c>
      <c r="V851">
        <f>ROUND((108/100)*ROUND(Source!CS743*Source!I743, 2), 2)</f>
        <v>0</v>
      </c>
    </row>
    <row r="852" spans="1:22" ht="14.25" x14ac:dyDescent="0.2">
      <c r="A852" s="18"/>
      <c r="B852" s="18"/>
      <c r="C852" s="18" t="s">
        <v>1100</v>
      </c>
      <c r="D852" s="19"/>
      <c r="E852" s="9"/>
      <c r="F852" s="21">
        <f>Source!AO743</f>
        <v>14819.76</v>
      </c>
      <c r="G852" s="20" t="str">
        <f>Source!DG743</f>
        <v/>
      </c>
      <c r="H852" s="9">
        <f>Source!AV743</f>
        <v>1</v>
      </c>
      <c r="I852" s="9">
        <f>IF(Source!BA743&lt;&gt; 0, Source!BA743, 1)</f>
        <v>1</v>
      </c>
      <c r="J852" s="21">
        <f>Source!S743</f>
        <v>29639.52</v>
      </c>
      <c r="K852" s="21"/>
    </row>
    <row r="853" spans="1:22" ht="14.25" x14ac:dyDescent="0.2">
      <c r="A853" s="18"/>
      <c r="B853" s="18"/>
      <c r="C853" s="18" t="s">
        <v>1101</v>
      </c>
      <c r="D853" s="19"/>
      <c r="E853" s="9"/>
      <c r="F853" s="21">
        <f>Source!AL743</f>
        <v>205.53</v>
      </c>
      <c r="G853" s="20" t="str">
        <f>Source!DD743</f>
        <v/>
      </c>
      <c r="H853" s="9">
        <f>Source!AW743</f>
        <v>1</v>
      </c>
      <c r="I853" s="9">
        <f>IF(Source!BC743&lt;&gt; 0, Source!BC743, 1)</f>
        <v>1</v>
      </c>
      <c r="J853" s="21">
        <f>Source!P743</f>
        <v>411.06</v>
      </c>
      <c r="K853" s="21"/>
    </row>
    <row r="854" spans="1:22" ht="14.25" x14ac:dyDescent="0.2">
      <c r="A854" s="18"/>
      <c r="B854" s="18"/>
      <c r="C854" s="18" t="s">
        <v>1102</v>
      </c>
      <c r="D854" s="19" t="s">
        <v>1103</v>
      </c>
      <c r="E854" s="9">
        <f>Source!AT743</f>
        <v>70</v>
      </c>
      <c r="F854" s="21"/>
      <c r="G854" s="20"/>
      <c r="H854" s="9"/>
      <c r="I854" s="9"/>
      <c r="J854" s="21">
        <f>SUM(R851:R853)</f>
        <v>20747.66</v>
      </c>
      <c r="K854" s="21"/>
    </row>
    <row r="855" spans="1:22" ht="14.25" x14ac:dyDescent="0.2">
      <c r="A855" s="18"/>
      <c r="B855" s="18"/>
      <c r="C855" s="18" t="s">
        <v>1104</v>
      </c>
      <c r="D855" s="19" t="s">
        <v>1103</v>
      </c>
      <c r="E855" s="9">
        <f>Source!AU743</f>
        <v>10</v>
      </c>
      <c r="F855" s="21"/>
      <c r="G855" s="20"/>
      <c r="H855" s="9"/>
      <c r="I855" s="9"/>
      <c r="J855" s="21">
        <f>SUM(T851:T854)</f>
        <v>2963.95</v>
      </c>
      <c r="K855" s="21"/>
    </row>
    <row r="856" spans="1:22" ht="14.25" x14ac:dyDescent="0.2">
      <c r="A856" s="18"/>
      <c r="B856" s="18"/>
      <c r="C856" s="18" t="s">
        <v>1105</v>
      </c>
      <c r="D856" s="19" t="s">
        <v>1106</v>
      </c>
      <c r="E856" s="9">
        <f>Source!AQ743</f>
        <v>24</v>
      </c>
      <c r="F856" s="21"/>
      <c r="G856" s="20" t="str">
        <f>Source!DI743</f>
        <v/>
      </c>
      <c r="H856" s="9">
        <f>Source!AV743</f>
        <v>1</v>
      </c>
      <c r="I856" s="9"/>
      <c r="J856" s="21"/>
      <c r="K856" s="21">
        <f>Source!U743</f>
        <v>48</v>
      </c>
    </row>
    <row r="857" spans="1:22" ht="15" x14ac:dyDescent="0.25">
      <c r="A857" s="23"/>
      <c r="B857" s="23"/>
      <c r="C857" s="23"/>
      <c r="D857" s="23"/>
      <c r="E857" s="23"/>
      <c r="F857" s="23"/>
      <c r="G857" s="23"/>
      <c r="H857" s="23"/>
      <c r="I857" s="44">
        <f>J852+J853+J854+J855</f>
        <v>53762.19</v>
      </c>
      <c r="J857" s="44"/>
      <c r="K857" s="24">
        <f>IF(Source!I743&lt;&gt;0, ROUND(I857/Source!I743, 2), 0)</f>
        <v>26881.1</v>
      </c>
      <c r="P857" s="22">
        <f>I857</f>
        <v>53762.19</v>
      </c>
    </row>
    <row r="858" spans="1:22" ht="57" x14ac:dyDescent="0.2">
      <c r="A858" s="18">
        <v>91</v>
      </c>
      <c r="B858" s="18" t="str">
        <f>Source!F745</f>
        <v>1.21-2203-27-2/1</v>
      </c>
      <c r="C858" s="18" t="str">
        <f>Source!G745</f>
        <v>Техническое обслуживание контакторов номинальный ток до 250 А  /Контактор c катушкой управления AC 230В КМ-1-20 «EKF»</v>
      </c>
      <c r="D858" s="19" t="str">
        <f>Source!H745</f>
        <v>шт.</v>
      </c>
      <c r="E858" s="9">
        <f>Source!I745</f>
        <v>2</v>
      </c>
      <c r="F858" s="21"/>
      <c r="G858" s="20"/>
      <c r="H858" s="9"/>
      <c r="I858" s="9"/>
      <c r="J858" s="21"/>
      <c r="K858" s="21"/>
      <c r="Q858">
        <f>ROUND((Source!BZ745/100)*ROUND((Source!AF745*Source!AV745)*Source!I745, 2), 2)</f>
        <v>557.41</v>
      </c>
      <c r="R858">
        <f>Source!X745</f>
        <v>557.41</v>
      </c>
      <c r="S858">
        <f>ROUND((Source!CA745/100)*ROUND((Source!AF745*Source!AV745)*Source!I745, 2), 2)</f>
        <v>79.63</v>
      </c>
      <c r="T858">
        <f>Source!Y745</f>
        <v>79.63</v>
      </c>
      <c r="U858">
        <f>ROUND((175/100)*ROUND((Source!AE745*Source!AV745)*Source!I745, 2), 2)</f>
        <v>0</v>
      </c>
      <c r="V858">
        <f>ROUND((108/100)*ROUND(Source!CS745*Source!I745, 2), 2)</f>
        <v>0</v>
      </c>
    </row>
    <row r="859" spans="1:22" ht="14.25" x14ac:dyDescent="0.2">
      <c r="A859" s="18"/>
      <c r="B859" s="18"/>
      <c r="C859" s="18" t="s">
        <v>1100</v>
      </c>
      <c r="D859" s="19"/>
      <c r="E859" s="9"/>
      <c r="F859" s="21">
        <f>Source!AO745</f>
        <v>398.15</v>
      </c>
      <c r="G859" s="20" t="str">
        <f>Source!DG745</f>
        <v/>
      </c>
      <c r="H859" s="9">
        <f>Source!AV745</f>
        <v>1</v>
      </c>
      <c r="I859" s="9">
        <f>IF(Source!BA745&lt;&gt; 0, Source!BA745, 1)</f>
        <v>1</v>
      </c>
      <c r="J859" s="21">
        <f>Source!S745</f>
        <v>796.3</v>
      </c>
      <c r="K859" s="21"/>
    </row>
    <row r="860" spans="1:22" ht="14.25" x14ac:dyDescent="0.2">
      <c r="A860" s="18"/>
      <c r="B860" s="18"/>
      <c r="C860" s="18" t="s">
        <v>1101</v>
      </c>
      <c r="D860" s="19"/>
      <c r="E860" s="9"/>
      <c r="F860" s="21">
        <f>Source!AL745</f>
        <v>25.85</v>
      </c>
      <c r="G860" s="20" t="str">
        <f>Source!DD745</f>
        <v/>
      </c>
      <c r="H860" s="9">
        <f>Source!AW745</f>
        <v>1</v>
      </c>
      <c r="I860" s="9">
        <f>IF(Source!BC745&lt;&gt; 0, Source!BC745, 1)</f>
        <v>1</v>
      </c>
      <c r="J860" s="21">
        <f>Source!P745</f>
        <v>51.7</v>
      </c>
      <c r="K860" s="21"/>
    </row>
    <row r="861" spans="1:22" ht="14.25" x14ac:dyDescent="0.2">
      <c r="A861" s="18"/>
      <c r="B861" s="18"/>
      <c r="C861" s="18" t="s">
        <v>1102</v>
      </c>
      <c r="D861" s="19" t="s">
        <v>1103</v>
      </c>
      <c r="E861" s="9">
        <f>Source!AT745</f>
        <v>70</v>
      </c>
      <c r="F861" s="21"/>
      <c r="G861" s="20"/>
      <c r="H861" s="9"/>
      <c r="I861" s="9"/>
      <c r="J861" s="21">
        <f>SUM(R858:R860)</f>
        <v>557.41</v>
      </c>
      <c r="K861" s="21"/>
    </row>
    <row r="862" spans="1:22" ht="14.25" x14ac:dyDescent="0.2">
      <c r="A862" s="18"/>
      <c r="B862" s="18"/>
      <c r="C862" s="18" t="s">
        <v>1104</v>
      </c>
      <c r="D862" s="19" t="s">
        <v>1103</v>
      </c>
      <c r="E862" s="9">
        <f>Source!AU745</f>
        <v>10</v>
      </c>
      <c r="F862" s="21"/>
      <c r="G862" s="20"/>
      <c r="H862" s="9"/>
      <c r="I862" s="9"/>
      <c r="J862" s="21">
        <f>SUM(T858:T861)</f>
        <v>79.63</v>
      </c>
      <c r="K862" s="21"/>
    </row>
    <row r="863" spans="1:22" ht="14.25" x14ac:dyDescent="0.2">
      <c r="A863" s="18"/>
      <c r="B863" s="18"/>
      <c r="C863" s="18" t="s">
        <v>1105</v>
      </c>
      <c r="D863" s="19" t="s">
        <v>1106</v>
      </c>
      <c r="E863" s="9">
        <f>Source!AQ745</f>
        <v>0.6</v>
      </c>
      <c r="F863" s="21"/>
      <c r="G863" s="20" t="str">
        <f>Source!DI745</f>
        <v/>
      </c>
      <c r="H863" s="9">
        <f>Source!AV745</f>
        <v>1</v>
      </c>
      <c r="I863" s="9"/>
      <c r="J863" s="21"/>
      <c r="K863" s="21">
        <f>Source!U745</f>
        <v>1.2</v>
      </c>
    </row>
    <row r="864" spans="1:22" ht="15" x14ac:dyDescent="0.25">
      <c r="A864" s="23"/>
      <c r="B864" s="23"/>
      <c r="C864" s="23"/>
      <c r="D864" s="23"/>
      <c r="E864" s="23"/>
      <c r="F864" s="23"/>
      <c r="G864" s="23"/>
      <c r="H864" s="23"/>
      <c r="I864" s="44">
        <f>J859+J860+J861+J862</f>
        <v>1485.04</v>
      </c>
      <c r="J864" s="44"/>
      <c r="K864" s="24">
        <f>IF(Source!I745&lt;&gt;0, ROUND(I864/Source!I745, 2), 0)</f>
        <v>742.52</v>
      </c>
      <c r="P864" s="22">
        <f>I864</f>
        <v>1485.04</v>
      </c>
    </row>
    <row r="865" spans="1:22" ht="42.75" x14ac:dyDescent="0.2">
      <c r="A865" s="18">
        <v>92</v>
      </c>
      <c r="B865" s="18" t="str">
        <f>Source!F746</f>
        <v>1.21-2303-32-1/1</v>
      </c>
      <c r="C865" s="18" t="str">
        <f>Source!G746</f>
        <v>Техническое обслуживание быстродействующего автоматического ввода резерва (БАВР)</v>
      </c>
      <c r="D865" s="19" t="str">
        <f>Source!H746</f>
        <v>шт.</v>
      </c>
      <c r="E865" s="9">
        <f>Source!I746</f>
        <v>1</v>
      </c>
      <c r="F865" s="21"/>
      <c r="G865" s="20"/>
      <c r="H865" s="9"/>
      <c r="I865" s="9"/>
      <c r="J865" s="21"/>
      <c r="K865" s="21"/>
      <c r="Q865">
        <f>ROUND((Source!BZ746/100)*ROUND((Source!AF746*Source!AV746)*Source!I746, 2), 2)</f>
        <v>1202.17</v>
      </c>
      <c r="R865">
        <f>Source!X746</f>
        <v>1202.17</v>
      </c>
      <c r="S865">
        <f>ROUND((Source!CA746/100)*ROUND((Source!AF746*Source!AV746)*Source!I746, 2), 2)</f>
        <v>171.74</v>
      </c>
      <c r="T865">
        <f>Source!Y746</f>
        <v>171.74</v>
      </c>
      <c r="U865">
        <f>ROUND((175/100)*ROUND((Source!AE746*Source!AV746)*Source!I746, 2), 2)</f>
        <v>0</v>
      </c>
      <c r="V865">
        <f>ROUND((108/100)*ROUND(Source!CS746*Source!I746, 2), 2)</f>
        <v>0</v>
      </c>
    </row>
    <row r="866" spans="1:22" ht="14.25" x14ac:dyDescent="0.2">
      <c r="A866" s="18"/>
      <c r="B866" s="18"/>
      <c r="C866" s="18" t="s">
        <v>1100</v>
      </c>
      <c r="D866" s="19"/>
      <c r="E866" s="9"/>
      <c r="F866" s="21">
        <f>Source!AO746</f>
        <v>1717.38</v>
      </c>
      <c r="G866" s="20" t="str">
        <f>Source!DG746</f>
        <v/>
      </c>
      <c r="H866" s="9">
        <f>Source!AV746</f>
        <v>1</v>
      </c>
      <c r="I866" s="9">
        <f>IF(Source!BA746&lt;&gt; 0, Source!BA746, 1)</f>
        <v>1</v>
      </c>
      <c r="J866" s="21">
        <f>Source!S746</f>
        <v>1717.38</v>
      </c>
      <c r="K866" s="21"/>
    </row>
    <row r="867" spans="1:22" ht="14.25" x14ac:dyDescent="0.2">
      <c r="A867" s="18"/>
      <c r="B867" s="18"/>
      <c r="C867" s="18" t="s">
        <v>1101</v>
      </c>
      <c r="D867" s="19"/>
      <c r="E867" s="9"/>
      <c r="F867" s="21">
        <f>Source!AL746</f>
        <v>1206.82</v>
      </c>
      <c r="G867" s="20" t="str">
        <f>Source!DD746</f>
        <v/>
      </c>
      <c r="H867" s="9">
        <f>Source!AW746</f>
        <v>1</v>
      </c>
      <c r="I867" s="9">
        <f>IF(Source!BC746&lt;&gt; 0, Source!BC746, 1)</f>
        <v>1</v>
      </c>
      <c r="J867" s="21">
        <f>Source!P746</f>
        <v>1206.82</v>
      </c>
      <c r="K867" s="21"/>
    </row>
    <row r="868" spans="1:22" ht="14.25" x14ac:dyDescent="0.2">
      <c r="A868" s="18"/>
      <c r="B868" s="18"/>
      <c r="C868" s="18" t="s">
        <v>1102</v>
      </c>
      <c r="D868" s="19" t="s">
        <v>1103</v>
      </c>
      <c r="E868" s="9">
        <f>Source!AT746</f>
        <v>70</v>
      </c>
      <c r="F868" s="21"/>
      <c r="G868" s="20"/>
      <c r="H868" s="9"/>
      <c r="I868" s="9"/>
      <c r="J868" s="21">
        <f>SUM(R865:R867)</f>
        <v>1202.17</v>
      </c>
      <c r="K868" s="21"/>
    </row>
    <row r="869" spans="1:22" ht="14.25" x14ac:dyDescent="0.2">
      <c r="A869" s="18"/>
      <c r="B869" s="18"/>
      <c r="C869" s="18" t="s">
        <v>1104</v>
      </c>
      <c r="D869" s="19" t="s">
        <v>1103</v>
      </c>
      <c r="E869" s="9">
        <f>Source!AU746</f>
        <v>10</v>
      </c>
      <c r="F869" s="21"/>
      <c r="G869" s="20"/>
      <c r="H869" s="9"/>
      <c r="I869" s="9"/>
      <c r="J869" s="21">
        <f>SUM(T865:T868)</f>
        <v>171.74</v>
      </c>
      <c r="K869" s="21"/>
    </row>
    <row r="870" spans="1:22" ht="14.25" x14ac:dyDescent="0.2">
      <c r="A870" s="18"/>
      <c r="B870" s="18"/>
      <c r="C870" s="18" t="s">
        <v>1105</v>
      </c>
      <c r="D870" s="19" t="s">
        <v>1106</v>
      </c>
      <c r="E870" s="9">
        <f>Source!AQ746</f>
        <v>2.42</v>
      </c>
      <c r="F870" s="21"/>
      <c r="G870" s="20" t="str">
        <f>Source!DI746</f>
        <v/>
      </c>
      <c r="H870" s="9">
        <f>Source!AV746</f>
        <v>1</v>
      </c>
      <c r="I870" s="9"/>
      <c r="J870" s="21"/>
      <c r="K870" s="21">
        <f>Source!U746</f>
        <v>2.42</v>
      </c>
    </row>
    <row r="871" spans="1:22" ht="15" x14ac:dyDescent="0.25">
      <c r="A871" s="23"/>
      <c r="B871" s="23"/>
      <c r="C871" s="23"/>
      <c r="D871" s="23"/>
      <c r="E871" s="23"/>
      <c r="F871" s="23"/>
      <c r="G871" s="23"/>
      <c r="H871" s="23"/>
      <c r="I871" s="44">
        <f>J866+J867+J868+J869</f>
        <v>4298.1099999999997</v>
      </c>
      <c r="J871" s="44"/>
      <c r="K871" s="24">
        <f>IF(Source!I746&lt;&gt;0, ROUND(I871/Source!I746, 2), 0)</f>
        <v>4298.1099999999997</v>
      </c>
      <c r="P871" s="22">
        <f>I871</f>
        <v>4298.1099999999997</v>
      </c>
    </row>
    <row r="872" spans="1:22" ht="57" x14ac:dyDescent="0.2">
      <c r="A872" s="18">
        <v>93</v>
      </c>
      <c r="B872" s="18" t="str">
        <f>Source!F749</f>
        <v>1.21-2103-9-3/1</v>
      </c>
      <c r="C872" s="18" t="str">
        <f>Source!G749</f>
        <v>Техническое обслуживание силовых сетей, проложенных по кирпичным и бетонным основаниям, провод сечением 4х1,5-6 мм2</v>
      </c>
      <c r="D872" s="19" t="str">
        <f>Source!H749</f>
        <v>100 м</v>
      </c>
      <c r="E872" s="9">
        <f>Source!I749</f>
        <v>4.0000000000000001E-3</v>
      </c>
      <c r="F872" s="21"/>
      <c r="G872" s="20"/>
      <c r="H872" s="9"/>
      <c r="I872" s="9"/>
      <c r="J872" s="21"/>
      <c r="K872" s="21"/>
      <c r="Q872">
        <f>ROUND((Source!BZ749/100)*ROUND((Source!AF749*Source!AV749)*Source!I749, 2), 2)</f>
        <v>16.809999999999999</v>
      </c>
      <c r="R872">
        <f>Source!X749</f>
        <v>16.809999999999999</v>
      </c>
      <c r="S872">
        <f>ROUND((Source!CA749/100)*ROUND((Source!AF749*Source!AV749)*Source!I749, 2), 2)</f>
        <v>2.4</v>
      </c>
      <c r="T872">
        <f>Source!Y749</f>
        <v>2.4</v>
      </c>
      <c r="U872">
        <f>ROUND((175/100)*ROUND((Source!AE749*Source!AV749)*Source!I749, 2), 2)</f>
        <v>0</v>
      </c>
      <c r="V872">
        <f>ROUND((108/100)*ROUND(Source!CS749*Source!I749, 2), 2)</f>
        <v>0</v>
      </c>
    </row>
    <row r="873" spans="1:22" x14ac:dyDescent="0.2">
      <c r="C873" s="28" t="str">
        <f>"Объем: "&amp;Source!I749&amp;"=(10+"&amp;"10)*"&amp;"0,2*"&amp;"0,1/"&amp;"100"</f>
        <v>Объем: 0,004=(10+10)*0,2*0,1/100</v>
      </c>
    </row>
    <row r="874" spans="1:22" ht="14.25" x14ac:dyDescent="0.2">
      <c r="A874" s="18"/>
      <c r="B874" s="18"/>
      <c r="C874" s="18" t="s">
        <v>1100</v>
      </c>
      <c r="D874" s="19"/>
      <c r="E874" s="9"/>
      <c r="F874" s="21">
        <f>Source!AO749</f>
        <v>6006.24</v>
      </c>
      <c r="G874" s="20" t="str">
        <f>Source!DG749</f>
        <v/>
      </c>
      <c r="H874" s="9">
        <f>Source!AV749</f>
        <v>1</v>
      </c>
      <c r="I874" s="9">
        <f>IF(Source!BA749&lt;&gt; 0, Source!BA749, 1)</f>
        <v>1</v>
      </c>
      <c r="J874" s="21">
        <f>Source!S749</f>
        <v>24.02</v>
      </c>
      <c r="K874" s="21"/>
    </row>
    <row r="875" spans="1:22" ht="14.25" x14ac:dyDescent="0.2">
      <c r="A875" s="18"/>
      <c r="B875" s="18"/>
      <c r="C875" s="18" t="s">
        <v>1101</v>
      </c>
      <c r="D875" s="19"/>
      <c r="E875" s="9"/>
      <c r="F875" s="21">
        <f>Source!AL749</f>
        <v>14.63</v>
      </c>
      <c r="G875" s="20" t="str">
        <f>Source!DD749</f>
        <v/>
      </c>
      <c r="H875" s="9">
        <f>Source!AW749</f>
        <v>1</v>
      </c>
      <c r="I875" s="9">
        <f>IF(Source!BC749&lt;&gt; 0, Source!BC749, 1)</f>
        <v>1</v>
      </c>
      <c r="J875" s="21">
        <f>Source!P749</f>
        <v>0.06</v>
      </c>
      <c r="K875" s="21"/>
    </row>
    <row r="876" spans="1:22" ht="14.25" x14ac:dyDescent="0.2">
      <c r="A876" s="18"/>
      <c r="B876" s="18"/>
      <c r="C876" s="18" t="s">
        <v>1102</v>
      </c>
      <c r="D876" s="19" t="s">
        <v>1103</v>
      </c>
      <c r="E876" s="9">
        <f>Source!AT749</f>
        <v>70</v>
      </c>
      <c r="F876" s="21"/>
      <c r="G876" s="20"/>
      <c r="H876" s="9"/>
      <c r="I876" s="9"/>
      <c r="J876" s="21">
        <f>SUM(R872:R875)</f>
        <v>16.809999999999999</v>
      </c>
      <c r="K876" s="21"/>
    </row>
    <row r="877" spans="1:22" ht="14.25" x14ac:dyDescent="0.2">
      <c r="A877" s="18"/>
      <c r="B877" s="18"/>
      <c r="C877" s="18" t="s">
        <v>1104</v>
      </c>
      <c r="D877" s="19" t="s">
        <v>1103</v>
      </c>
      <c r="E877" s="9">
        <f>Source!AU749</f>
        <v>10</v>
      </c>
      <c r="F877" s="21"/>
      <c r="G877" s="20"/>
      <c r="H877" s="9"/>
      <c r="I877" s="9"/>
      <c r="J877" s="21">
        <f>SUM(T872:T876)</f>
        <v>2.4</v>
      </c>
      <c r="K877" s="21"/>
    </row>
    <row r="878" spans="1:22" ht="14.25" x14ac:dyDescent="0.2">
      <c r="A878" s="18"/>
      <c r="B878" s="18"/>
      <c r="C878" s="18" t="s">
        <v>1105</v>
      </c>
      <c r="D878" s="19" t="s">
        <v>1106</v>
      </c>
      <c r="E878" s="9">
        <f>Source!AQ749</f>
        <v>11.22</v>
      </c>
      <c r="F878" s="21"/>
      <c r="G878" s="20" t="str">
        <f>Source!DI749</f>
        <v/>
      </c>
      <c r="H878" s="9">
        <f>Source!AV749</f>
        <v>1</v>
      </c>
      <c r="I878" s="9"/>
      <c r="J878" s="21"/>
      <c r="K878" s="21">
        <f>Source!U749</f>
        <v>4.4880000000000003E-2</v>
      </c>
    </row>
    <row r="879" spans="1:22" ht="15" x14ac:dyDescent="0.25">
      <c r="A879" s="23"/>
      <c r="B879" s="23"/>
      <c r="C879" s="23"/>
      <c r="D879" s="23"/>
      <c r="E879" s="23"/>
      <c r="F879" s="23"/>
      <c r="G879" s="23"/>
      <c r="H879" s="23"/>
      <c r="I879" s="44">
        <f>J874+J875+J876+J877</f>
        <v>43.29</v>
      </c>
      <c r="J879" s="44"/>
      <c r="K879" s="24">
        <f>IF(Source!I749&lt;&gt;0, ROUND(I879/Source!I749, 2), 0)</f>
        <v>10822.5</v>
      </c>
      <c r="P879" s="22">
        <f>I879</f>
        <v>43.29</v>
      </c>
    </row>
    <row r="880" spans="1:22" ht="71.25" x14ac:dyDescent="0.2">
      <c r="A880" s="18">
        <v>94</v>
      </c>
      <c r="B880" s="18" t="str">
        <f>Source!F750</f>
        <v>1.21-2103-9-4/1</v>
      </c>
      <c r="C880" s="18" t="str">
        <f>Source!G750</f>
        <v>Техническое обслуживание силовых сетей, проложенных по кирпичным и бетонным основаниям, добавлять на каждый следующий провод к поз. 21-2103-9-3</v>
      </c>
      <c r="D880" s="19" t="str">
        <f>Source!H750</f>
        <v>100 м</v>
      </c>
      <c r="E880" s="9">
        <f>Source!I750</f>
        <v>0.02</v>
      </c>
      <c r="F880" s="21"/>
      <c r="G880" s="20"/>
      <c r="H880" s="9"/>
      <c r="I880" s="9"/>
      <c r="J880" s="21"/>
      <c r="K880" s="21"/>
      <c r="Q880">
        <f>ROUND((Source!BZ750/100)*ROUND((Source!AF750*Source!AV750)*Source!I750, 2), 2)</f>
        <v>15.29</v>
      </c>
      <c r="R880">
        <f>Source!X750</f>
        <v>15.29</v>
      </c>
      <c r="S880">
        <f>ROUND((Source!CA750/100)*ROUND((Source!AF750*Source!AV750)*Source!I750, 2), 2)</f>
        <v>2.1800000000000002</v>
      </c>
      <c r="T880">
        <f>Source!Y750</f>
        <v>2.1800000000000002</v>
      </c>
      <c r="U880">
        <f>ROUND((175/100)*ROUND((Source!AE750*Source!AV750)*Source!I750, 2), 2)</f>
        <v>0</v>
      </c>
      <c r="V880">
        <f>ROUND((108/100)*ROUND(Source!CS750*Source!I750, 2), 2)</f>
        <v>0</v>
      </c>
    </row>
    <row r="881" spans="1:22" x14ac:dyDescent="0.2">
      <c r="C881" s="28" t="str">
        <f>"Объем: "&amp;Source!I750&amp;"=(10+"&amp;"10)*"&amp;"0,1/"&amp;"100"</f>
        <v>Объем: 0,02=(10+10)*0,1/100</v>
      </c>
    </row>
    <row r="882" spans="1:22" ht="14.25" x14ac:dyDescent="0.2">
      <c r="A882" s="18"/>
      <c r="B882" s="18"/>
      <c r="C882" s="18" t="s">
        <v>1100</v>
      </c>
      <c r="D882" s="19"/>
      <c r="E882" s="9"/>
      <c r="F882" s="21">
        <f>Source!AO750</f>
        <v>1092.04</v>
      </c>
      <c r="G882" s="20" t="str">
        <f>Source!DG750</f>
        <v/>
      </c>
      <c r="H882" s="9">
        <f>Source!AV750</f>
        <v>1</v>
      </c>
      <c r="I882" s="9">
        <f>IF(Source!BA750&lt;&gt; 0, Source!BA750, 1)</f>
        <v>1</v>
      </c>
      <c r="J882" s="21">
        <f>Source!S750</f>
        <v>21.84</v>
      </c>
      <c r="K882" s="21"/>
    </row>
    <row r="883" spans="1:22" ht="14.25" x14ac:dyDescent="0.2">
      <c r="A883" s="18"/>
      <c r="B883" s="18"/>
      <c r="C883" s="18" t="s">
        <v>1102</v>
      </c>
      <c r="D883" s="19" t="s">
        <v>1103</v>
      </c>
      <c r="E883" s="9">
        <f>Source!AT750</f>
        <v>70</v>
      </c>
      <c r="F883" s="21"/>
      <c r="G883" s="20"/>
      <c r="H883" s="9"/>
      <c r="I883" s="9"/>
      <c r="J883" s="21">
        <f>SUM(R880:R882)</f>
        <v>15.29</v>
      </c>
      <c r="K883" s="21"/>
    </row>
    <row r="884" spans="1:22" ht="14.25" x14ac:dyDescent="0.2">
      <c r="A884" s="18"/>
      <c r="B884" s="18"/>
      <c r="C884" s="18" t="s">
        <v>1104</v>
      </c>
      <c r="D884" s="19" t="s">
        <v>1103</v>
      </c>
      <c r="E884" s="9">
        <f>Source!AU750</f>
        <v>10</v>
      </c>
      <c r="F884" s="21"/>
      <c r="G884" s="20"/>
      <c r="H884" s="9"/>
      <c r="I884" s="9"/>
      <c r="J884" s="21">
        <f>SUM(T880:T883)</f>
        <v>2.1800000000000002</v>
      </c>
      <c r="K884" s="21"/>
    </row>
    <row r="885" spans="1:22" ht="14.25" x14ac:dyDescent="0.2">
      <c r="A885" s="18"/>
      <c r="B885" s="18"/>
      <c r="C885" s="18" t="s">
        <v>1105</v>
      </c>
      <c r="D885" s="19" t="s">
        <v>1106</v>
      </c>
      <c r="E885" s="9">
        <f>Source!AQ750</f>
        <v>2.04</v>
      </c>
      <c r="F885" s="21"/>
      <c r="G885" s="20" t="str">
        <f>Source!DI750</f>
        <v/>
      </c>
      <c r="H885" s="9">
        <f>Source!AV750</f>
        <v>1</v>
      </c>
      <c r="I885" s="9"/>
      <c r="J885" s="21"/>
      <c r="K885" s="21">
        <f>Source!U750</f>
        <v>4.0800000000000003E-2</v>
      </c>
    </row>
    <row r="886" spans="1:22" ht="15" x14ac:dyDescent="0.25">
      <c r="A886" s="23"/>
      <c r="B886" s="23"/>
      <c r="C886" s="23"/>
      <c r="D886" s="23"/>
      <c r="E886" s="23"/>
      <c r="F886" s="23"/>
      <c r="G886" s="23"/>
      <c r="H886" s="23"/>
      <c r="I886" s="44">
        <f>J882+J883+J884</f>
        <v>39.309999999999995</v>
      </c>
      <c r="J886" s="44"/>
      <c r="K886" s="24">
        <f>IF(Source!I750&lt;&gt;0, ROUND(I886/Source!I750, 2), 0)</f>
        <v>1965.5</v>
      </c>
      <c r="P886" s="22">
        <f>I886</f>
        <v>39.309999999999995</v>
      </c>
    </row>
    <row r="887" spans="1:22" ht="85.5" x14ac:dyDescent="0.2">
      <c r="A887" s="18">
        <v>95</v>
      </c>
      <c r="B887" s="18" t="str">
        <f>Source!F751</f>
        <v>1.21-2203-37-1/1</v>
      </c>
      <c r="C887" s="18" t="str">
        <f>Source!G751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887" s="19" t="str">
        <f>Source!H751</f>
        <v>шт.</v>
      </c>
      <c r="E887" s="9">
        <f>Source!I751</f>
        <v>2</v>
      </c>
      <c r="F887" s="21"/>
      <c r="G887" s="20"/>
      <c r="H887" s="9"/>
      <c r="I887" s="9"/>
      <c r="J887" s="21"/>
      <c r="K887" s="21"/>
      <c r="Q887">
        <f>ROUND((Source!BZ751/100)*ROUND((Source!AF751*Source!AV751)*Source!I751, 2), 2)</f>
        <v>472.23</v>
      </c>
      <c r="R887">
        <f>Source!X751</f>
        <v>472.23</v>
      </c>
      <c r="S887">
        <f>ROUND((Source!CA751/100)*ROUND((Source!AF751*Source!AV751)*Source!I751, 2), 2)</f>
        <v>67.459999999999994</v>
      </c>
      <c r="T887">
        <f>Source!Y751</f>
        <v>67.459999999999994</v>
      </c>
      <c r="U887">
        <f>ROUND((175/100)*ROUND((Source!AE751*Source!AV751)*Source!I751, 2), 2)</f>
        <v>0</v>
      </c>
      <c r="V887">
        <f>ROUND((108/100)*ROUND(Source!CS751*Source!I751, 2), 2)</f>
        <v>0</v>
      </c>
    </row>
    <row r="888" spans="1:22" ht="14.25" x14ac:dyDescent="0.2">
      <c r="A888" s="18"/>
      <c r="B888" s="18"/>
      <c r="C888" s="18" t="s">
        <v>1100</v>
      </c>
      <c r="D888" s="19"/>
      <c r="E888" s="9"/>
      <c r="F888" s="21">
        <f>Source!AO751</f>
        <v>337.31</v>
      </c>
      <c r="G888" s="20" t="str">
        <f>Source!DG751</f>
        <v/>
      </c>
      <c r="H888" s="9">
        <f>Source!AV751</f>
        <v>1</v>
      </c>
      <c r="I888" s="9">
        <f>IF(Source!BA751&lt;&gt; 0, Source!BA751, 1)</f>
        <v>1</v>
      </c>
      <c r="J888" s="21">
        <f>Source!S751</f>
        <v>674.62</v>
      </c>
      <c r="K888" s="21"/>
    </row>
    <row r="889" spans="1:22" ht="14.25" x14ac:dyDescent="0.2">
      <c r="A889" s="18"/>
      <c r="B889" s="18"/>
      <c r="C889" s="18" t="s">
        <v>1101</v>
      </c>
      <c r="D889" s="19"/>
      <c r="E889" s="9"/>
      <c r="F889" s="21">
        <f>Source!AL751</f>
        <v>1.57</v>
      </c>
      <c r="G889" s="20" t="str">
        <f>Source!DD751</f>
        <v/>
      </c>
      <c r="H889" s="9">
        <f>Source!AW751</f>
        <v>1</v>
      </c>
      <c r="I889" s="9">
        <f>IF(Source!BC751&lt;&gt; 0, Source!BC751, 1)</f>
        <v>1</v>
      </c>
      <c r="J889" s="21">
        <f>Source!P751</f>
        <v>3.14</v>
      </c>
      <c r="K889" s="21"/>
    </row>
    <row r="890" spans="1:22" ht="14.25" x14ac:dyDescent="0.2">
      <c r="A890" s="18"/>
      <c r="B890" s="18"/>
      <c r="C890" s="18" t="s">
        <v>1102</v>
      </c>
      <c r="D890" s="19" t="s">
        <v>1103</v>
      </c>
      <c r="E890" s="9">
        <f>Source!AT751</f>
        <v>70</v>
      </c>
      <c r="F890" s="21"/>
      <c r="G890" s="20"/>
      <c r="H890" s="9"/>
      <c r="I890" s="9"/>
      <c r="J890" s="21">
        <f>SUM(R887:R889)</f>
        <v>472.23</v>
      </c>
      <c r="K890" s="21"/>
    </row>
    <row r="891" spans="1:22" ht="14.25" x14ac:dyDescent="0.2">
      <c r="A891" s="18"/>
      <c r="B891" s="18"/>
      <c r="C891" s="18" t="s">
        <v>1104</v>
      </c>
      <c r="D891" s="19" t="s">
        <v>1103</v>
      </c>
      <c r="E891" s="9">
        <f>Source!AU751</f>
        <v>10</v>
      </c>
      <c r="F891" s="21"/>
      <c r="G891" s="20"/>
      <c r="H891" s="9"/>
      <c r="I891" s="9"/>
      <c r="J891" s="21">
        <f>SUM(T887:T890)</f>
        <v>67.459999999999994</v>
      </c>
      <c r="K891" s="21"/>
    </row>
    <row r="892" spans="1:22" ht="14.25" x14ac:dyDescent="0.2">
      <c r="A892" s="18"/>
      <c r="B892" s="18"/>
      <c r="C892" s="18" t="s">
        <v>1105</v>
      </c>
      <c r="D892" s="19" t="s">
        <v>1106</v>
      </c>
      <c r="E892" s="9">
        <f>Source!AQ751</f>
        <v>0.6</v>
      </c>
      <c r="F892" s="21"/>
      <c r="G892" s="20" t="str">
        <f>Source!DI751</f>
        <v/>
      </c>
      <c r="H892" s="9">
        <f>Source!AV751</f>
        <v>1</v>
      </c>
      <c r="I892" s="9"/>
      <c r="J892" s="21"/>
      <c r="K892" s="21">
        <f>Source!U751</f>
        <v>1.2</v>
      </c>
    </row>
    <row r="893" spans="1:22" ht="15" x14ac:dyDescent="0.25">
      <c r="A893" s="23"/>
      <c r="B893" s="23"/>
      <c r="C893" s="23"/>
      <c r="D893" s="23"/>
      <c r="E893" s="23"/>
      <c r="F893" s="23"/>
      <c r="G893" s="23"/>
      <c r="H893" s="23"/>
      <c r="I893" s="44">
        <f>J888+J889+J890+J891</f>
        <v>1217.45</v>
      </c>
      <c r="J893" s="44"/>
      <c r="K893" s="24">
        <f>IF(Source!I751&lt;&gt;0, ROUND(I893/Source!I751, 2), 0)</f>
        <v>608.73</v>
      </c>
      <c r="P893" s="22">
        <f>I893</f>
        <v>1217.45</v>
      </c>
    </row>
    <row r="894" spans="1:22" ht="42.75" x14ac:dyDescent="0.2">
      <c r="A894" s="18">
        <v>96</v>
      </c>
      <c r="B894" s="18" t="str">
        <f>Source!F754</f>
        <v>1.21-2203-14-2/1</v>
      </c>
      <c r="C894" s="18" t="str">
        <f>Source!G754</f>
        <v>Техническое обслуживание шкафа учета электроэнергии, с количеством счетчиков 2</v>
      </c>
      <c r="D894" s="19" t="str">
        <f>Source!H754</f>
        <v>шт.</v>
      </c>
      <c r="E894" s="9">
        <f>Source!I754</f>
        <v>1</v>
      </c>
      <c r="F894" s="21"/>
      <c r="G894" s="20"/>
      <c r="H894" s="9"/>
      <c r="I894" s="9"/>
      <c r="J894" s="21"/>
      <c r="K894" s="21"/>
      <c r="Q894">
        <f>ROUND((Source!BZ754/100)*ROUND((Source!AF754*Source!AV754)*Source!I754, 2), 2)</f>
        <v>168.05</v>
      </c>
      <c r="R894">
        <f>Source!X754</f>
        <v>168.05</v>
      </c>
      <c r="S894">
        <f>ROUND((Source!CA754/100)*ROUND((Source!AF754*Source!AV754)*Source!I754, 2), 2)</f>
        <v>24.01</v>
      </c>
      <c r="T894">
        <f>Source!Y754</f>
        <v>24.01</v>
      </c>
      <c r="U894">
        <f>ROUND((175/100)*ROUND((Source!AE754*Source!AV754)*Source!I754, 2), 2)</f>
        <v>37.590000000000003</v>
      </c>
      <c r="V894">
        <f>ROUND((108/100)*ROUND(Source!CS754*Source!I754, 2), 2)</f>
        <v>23.2</v>
      </c>
    </row>
    <row r="895" spans="1:22" ht="14.25" x14ac:dyDescent="0.2">
      <c r="A895" s="18"/>
      <c r="B895" s="18"/>
      <c r="C895" s="18" t="s">
        <v>1100</v>
      </c>
      <c r="D895" s="19"/>
      <c r="E895" s="9"/>
      <c r="F895" s="21">
        <f>Source!AO754</f>
        <v>240.07</v>
      </c>
      <c r="G895" s="20" t="str">
        <f>Source!DG754</f>
        <v/>
      </c>
      <c r="H895" s="9">
        <f>Source!AV754</f>
        <v>1</v>
      </c>
      <c r="I895" s="9">
        <f>IF(Source!BA754&lt;&gt; 0, Source!BA754, 1)</f>
        <v>1</v>
      </c>
      <c r="J895" s="21">
        <f>Source!S754</f>
        <v>240.07</v>
      </c>
      <c r="K895" s="21"/>
    </row>
    <row r="896" spans="1:22" ht="14.25" x14ac:dyDescent="0.2">
      <c r="A896" s="18"/>
      <c r="B896" s="18"/>
      <c r="C896" s="18" t="s">
        <v>1107</v>
      </c>
      <c r="D896" s="19"/>
      <c r="E896" s="9"/>
      <c r="F896" s="21">
        <f>Source!AM754</f>
        <v>33.880000000000003</v>
      </c>
      <c r="G896" s="20" t="str">
        <f>Source!DE754</f>
        <v/>
      </c>
      <c r="H896" s="9">
        <f>Source!AV754</f>
        <v>1</v>
      </c>
      <c r="I896" s="9">
        <f>IF(Source!BB754&lt;&gt; 0, Source!BB754, 1)</f>
        <v>1</v>
      </c>
      <c r="J896" s="21">
        <f>Source!Q754</f>
        <v>33.880000000000003</v>
      </c>
      <c r="K896" s="21"/>
    </row>
    <row r="897" spans="1:22" ht="14.25" x14ac:dyDescent="0.2">
      <c r="A897" s="18"/>
      <c r="B897" s="18"/>
      <c r="C897" s="18" t="s">
        <v>1108</v>
      </c>
      <c r="D897" s="19"/>
      <c r="E897" s="9"/>
      <c r="F897" s="21">
        <f>Source!AN754</f>
        <v>21.48</v>
      </c>
      <c r="G897" s="20" t="str">
        <f>Source!DF754</f>
        <v/>
      </c>
      <c r="H897" s="9">
        <f>Source!AV754</f>
        <v>1</v>
      </c>
      <c r="I897" s="9">
        <f>IF(Source!BS754&lt;&gt; 0, Source!BS754, 1)</f>
        <v>1</v>
      </c>
      <c r="J897" s="25">
        <f>Source!R754</f>
        <v>21.48</v>
      </c>
      <c r="K897" s="21"/>
    </row>
    <row r="898" spans="1:22" ht="14.25" x14ac:dyDescent="0.2">
      <c r="A898" s="18"/>
      <c r="B898" s="18"/>
      <c r="C898" s="18" t="s">
        <v>1101</v>
      </c>
      <c r="D898" s="19"/>
      <c r="E898" s="9"/>
      <c r="F898" s="21">
        <f>Source!AL754</f>
        <v>0.09</v>
      </c>
      <c r="G898" s="20" t="str">
        <f>Source!DD754</f>
        <v/>
      </c>
      <c r="H898" s="9">
        <f>Source!AW754</f>
        <v>1</v>
      </c>
      <c r="I898" s="9">
        <f>IF(Source!BC754&lt;&gt; 0, Source!BC754, 1)</f>
        <v>1</v>
      </c>
      <c r="J898" s="21">
        <f>Source!P754</f>
        <v>0.09</v>
      </c>
      <c r="K898" s="21"/>
    </row>
    <row r="899" spans="1:22" ht="14.25" x14ac:dyDescent="0.2">
      <c r="A899" s="18"/>
      <c r="B899" s="18"/>
      <c r="C899" s="18" t="s">
        <v>1102</v>
      </c>
      <c r="D899" s="19" t="s">
        <v>1103</v>
      </c>
      <c r="E899" s="9">
        <f>Source!AT754</f>
        <v>70</v>
      </c>
      <c r="F899" s="21"/>
      <c r="G899" s="20"/>
      <c r="H899" s="9"/>
      <c r="I899" s="9"/>
      <c r="J899" s="21">
        <f>SUM(R894:R898)</f>
        <v>168.05</v>
      </c>
      <c r="K899" s="21"/>
    </row>
    <row r="900" spans="1:22" ht="14.25" x14ac:dyDescent="0.2">
      <c r="A900" s="18"/>
      <c r="B900" s="18"/>
      <c r="C900" s="18" t="s">
        <v>1104</v>
      </c>
      <c r="D900" s="19" t="s">
        <v>1103</v>
      </c>
      <c r="E900" s="9">
        <f>Source!AU754</f>
        <v>10</v>
      </c>
      <c r="F900" s="21"/>
      <c r="G900" s="20"/>
      <c r="H900" s="9"/>
      <c r="I900" s="9"/>
      <c r="J900" s="21">
        <f>SUM(T894:T899)</f>
        <v>24.01</v>
      </c>
      <c r="K900" s="21"/>
    </row>
    <row r="901" spans="1:22" ht="14.25" x14ac:dyDescent="0.2">
      <c r="A901" s="18"/>
      <c r="B901" s="18"/>
      <c r="C901" s="18" t="s">
        <v>1109</v>
      </c>
      <c r="D901" s="19" t="s">
        <v>1103</v>
      </c>
      <c r="E901" s="9">
        <f>108</f>
        <v>108</v>
      </c>
      <c r="F901" s="21"/>
      <c r="G901" s="20"/>
      <c r="H901" s="9"/>
      <c r="I901" s="9"/>
      <c r="J901" s="21">
        <f>SUM(V894:V900)</f>
        <v>23.2</v>
      </c>
      <c r="K901" s="21"/>
    </row>
    <row r="902" spans="1:22" ht="14.25" x14ac:dyDescent="0.2">
      <c r="A902" s="18"/>
      <c r="B902" s="18"/>
      <c r="C902" s="18" t="s">
        <v>1105</v>
      </c>
      <c r="D902" s="19" t="s">
        <v>1106</v>
      </c>
      <c r="E902" s="9">
        <f>Source!AQ754</f>
        <v>0.45</v>
      </c>
      <c r="F902" s="21"/>
      <c r="G902" s="20" t="str">
        <f>Source!DI754</f>
        <v/>
      </c>
      <c r="H902" s="9">
        <f>Source!AV754</f>
        <v>1</v>
      </c>
      <c r="I902" s="9"/>
      <c r="J902" s="21"/>
      <c r="K902" s="21">
        <f>Source!U754</f>
        <v>0.45</v>
      </c>
    </row>
    <row r="903" spans="1:22" ht="15" x14ac:dyDescent="0.25">
      <c r="A903" s="23"/>
      <c r="B903" s="23"/>
      <c r="C903" s="23"/>
      <c r="D903" s="23"/>
      <c r="E903" s="23"/>
      <c r="F903" s="23"/>
      <c r="G903" s="23"/>
      <c r="H903" s="23"/>
      <c r="I903" s="44">
        <f>J895+J896+J898+J899+J900+J901</f>
        <v>489.29999999999995</v>
      </c>
      <c r="J903" s="44"/>
      <c r="K903" s="24">
        <f>IF(Source!I754&lt;&gt;0, ROUND(I903/Source!I754, 2), 0)</f>
        <v>489.3</v>
      </c>
      <c r="P903" s="22">
        <f>I903</f>
        <v>489.29999999999995</v>
      </c>
    </row>
    <row r="905" spans="1:22" ht="15" x14ac:dyDescent="0.25">
      <c r="B905" s="47" t="str">
        <f>Source!G755</f>
        <v>ВРУ-2</v>
      </c>
      <c r="C905" s="47"/>
      <c r="D905" s="47"/>
      <c r="E905" s="47"/>
      <c r="F905" s="47"/>
      <c r="G905" s="47"/>
      <c r="H905" s="47"/>
      <c r="I905" s="47"/>
      <c r="J905" s="47"/>
    </row>
    <row r="906" spans="1:22" ht="57" x14ac:dyDescent="0.2">
      <c r="A906" s="18">
        <v>97</v>
      </c>
      <c r="B906" s="18" t="str">
        <f>Source!F756</f>
        <v>1.21-2203-8-2/1</v>
      </c>
      <c r="C906" s="18" t="str">
        <f>Source!G756</f>
        <v>Техническое обслуживание ящика ввода распределительного с рубильником и предохранителями, номинальный ток 600 А (ВП2-1, ВП2-2)</v>
      </c>
      <c r="D906" s="19" t="str">
        <f>Source!H756</f>
        <v>шт.</v>
      </c>
      <c r="E906" s="9">
        <f>Source!I756</f>
        <v>2</v>
      </c>
      <c r="F906" s="21"/>
      <c r="G906" s="20"/>
      <c r="H906" s="9"/>
      <c r="I906" s="9"/>
      <c r="J906" s="21"/>
      <c r="K906" s="21"/>
      <c r="Q906">
        <f>ROUND((Source!BZ756/100)*ROUND((Source!AF756*Source!AV756)*Source!I756, 2), 2)</f>
        <v>7780.37</v>
      </c>
      <c r="R906">
        <f>Source!X756</f>
        <v>7780.37</v>
      </c>
      <c r="S906">
        <f>ROUND((Source!CA756/100)*ROUND((Source!AF756*Source!AV756)*Source!I756, 2), 2)</f>
        <v>1111.48</v>
      </c>
      <c r="T906">
        <f>Source!Y756</f>
        <v>1111.48</v>
      </c>
      <c r="U906">
        <f>ROUND((175/100)*ROUND((Source!AE756*Source!AV756)*Source!I756, 2), 2)</f>
        <v>0</v>
      </c>
      <c r="V906">
        <f>ROUND((108/100)*ROUND(Source!CS756*Source!I756, 2), 2)</f>
        <v>0</v>
      </c>
    </row>
    <row r="907" spans="1:22" x14ac:dyDescent="0.2">
      <c r="C907" s="28" t="str">
        <f>"Объем: "&amp;Source!I756&amp;"=1+"&amp;"1"</f>
        <v>Объем: 2=1+1</v>
      </c>
    </row>
    <row r="908" spans="1:22" ht="14.25" x14ac:dyDescent="0.2">
      <c r="A908" s="18"/>
      <c r="B908" s="18"/>
      <c r="C908" s="18" t="s">
        <v>1100</v>
      </c>
      <c r="D908" s="19"/>
      <c r="E908" s="9"/>
      <c r="F908" s="21">
        <f>Source!AO756</f>
        <v>5557.41</v>
      </c>
      <c r="G908" s="20" t="str">
        <f>Source!DG756</f>
        <v/>
      </c>
      <c r="H908" s="9">
        <f>Source!AV756</f>
        <v>1</v>
      </c>
      <c r="I908" s="9">
        <f>IF(Source!BA756&lt;&gt; 0, Source!BA756, 1)</f>
        <v>1</v>
      </c>
      <c r="J908" s="21">
        <f>Source!S756</f>
        <v>11114.82</v>
      </c>
      <c r="K908" s="21"/>
    </row>
    <row r="909" spans="1:22" ht="14.25" x14ac:dyDescent="0.2">
      <c r="A909" s="18"/>
      <c r="B909" s="18"/>
      <c r="C909" s="18" t="s">
        <v>1101</v>
      </c>
      <c r="D909" s="19"/>
      <c r="E909" s="9"/>
      <c r="F909" s="21">
        <f>Source!AL756</f>
        <v>77.08</v>
      </c>
      <c r="G909" s="20" t="str">
        <f>Source!DD756</f>
        <v/>
      </c>
      <c r="H909" s="9">
        <f>Source!AW756</f>
        <v>1</v>
      </c>
      <c r="I909" s="9">
        <f>IF(Source!BC756&lt;&gt; 0, Source!BC756, 1)</f>
        <v>1</v>
      </c>
      <c r="J909" s="21">
        <f>Source!P756</f>
        <v>154.16</v>
      </c>
      <c r="K909" s="21"/>
    </row>
    <row r="910" spans="1:22" ht="14.25" x14ac:dyDescent="0.2">
      <c r="A910" s="18"/>
      <c r="B910" s="18"/>
      <c r="C910" s="18" t="s">
        <v>1102</v>
      </c>
      <c r="D910" s="19" t="s">
        <v>1103</v>
      </c>
      <c r="E910" s="9">
        <f>Source!AT756</f>
        <v>70</v>
      </c>
      <c r="F910" s="21"/>
      <c r="G910" s="20"/>
      <c r="H910" s="9"/>
      <c r="I910" s="9"/>
      <c r="J910" s="21">
        <f>SUM(R906:R909)</f>
        <v>7780.37</v>
      </c>
      <c r="K910" s="21"/>
    </row>
    <row r="911" spans="1:22" ht="14.25" x14ac:dyDescent="0.2">
      <c r="A911" s="18"/>
      <c r="B911" s="18"/>
      <c r="C911" s="18" t="s">
        <v>1104</v>
      </c>
      <c r="D911" s="19" t="s">
        <v>1103</v>
      </c>
      <c r="E911" s="9">
        <f>Source!AU756</f>
        <v>10</v>
      </c>
      <c r="F911" s="21"/>
      <c r="G911" s="20"/>
      <c r="H911" s="9"/>
      <c r="I911" s="9"/>
      <c r="J911" s="21">
        <f>SUM(T906:T910)</f>
        <v>1111.48</v>
      </c>
      <c r="K911" s="21"/>
    </row>
    <row r="912" spans="1:22" ht="14.25" x14ac:dyDescent="0.2">
      <c r="A912" s="18"/>
      <c r="B912" s="18"/>
      <c r="C912" s="18" t="s">
        <v>1105</v>
      </c>
      <c r="D912" s="19" t="s">
        <v>1106</v>
      </c>
      <c r="E912" s="9">
        <f>Source!AQ756</f>
        <v>9</v>
      </c>
      <c r="F912" s="21"/>
      <c r="G912" s="20" t="str">
        <f>Source!DI756</f>
        <v/>
      </c>
      <c r="H912" s="9">
        <f>Source!AV756</f>
        <v>1</v>
      </c>
      <c r="I912" s="9"/>
      <c r="J912" s="21"/>
      <c r="K912" s="21">
        <f>Source!U756</f>
        <v>18</v>
      </c>
    </row>
    <row r="913" spans="1:22" ht="15" x14ac:dyDescent="0.25">
      <c r="A913" s="23"/>
      <c r="B913" s="23"/>
      <c r="C913" s="23"/>
      <c r="D913" s="23"/>
      <c r="E913" s="23"/>
      <c r="F913" s="23"/>
      <c r="G913" s="23"/>
      <c r="H913" s="23"/>
      <c r="I913" s="44">
        <f>J908+J909+J910+J911</f>
        <v>20160.829999999998</v>
      </c>
      <c r="J913" s="44"/>
      <c r="K913" s="24">
        <f>IF(Source!I756&lt;&gt;0, ROUND(I913/Source!I756, 2), 0)</f>
        <v>10080.42</v>
      </c>
      <c r="P913" s="22">
        <f>I913</f>
        <v>20160.829999999998</v>
      </c>
    </row>
    <row r="914" spans="1:22" ht="71.25" x14ac:dyDescent="0.2">
      <c r="A914" s="18">
        <v>98</v>
      </c>
      <c r="B914" s="18" t="str">
        <f>Source!F760</f>
        <v>1.21-2303-40-1/1</v>
      </c>
      <c r="C914" s="18" t="str">
        <f>Source!G760</f>
        <v>Техническое обслуживание измерителя мощности типа PM710MG на лицевой панели распределительного устройства - полугодовое</v>
      </c>
      <c r="D914" s="19" t="str">
        <f>Source!H760</f>
        <v>шт.</v>
      </c>
      <c r="E914" s="9">
        <f>Source!I760</f>
        <v>2</v>
      </c>
      <c r="F914" s="21"/>
      <c r="G914" s="20"/>
      <c r="H914" s="9"/>
      <c r="I914" s="9"/>
      <c r="J914" s="21"/>
      <c r="K914" s="21"/>
      <c r="Q914">
        <f>ROUND((Source!BZ760/100)*ROUND((Source!AF760*Source!AV760)*Source!I760, 2), 2)</f>
        <v>157.41999999999999</v>
      </c>
      <c r="R914">
        <f>Source!X760</f>
        <v>157.41999999999999</v>
      </c>
      <c r="S914">
        <f>ROUND((Source!CA760/100)*ROUND((Source!AF760*Source!AV760)*Source!I760, 2), 2)</f>
        <v>22.49</v>
      </c>
      <c r="T914">
        <f>Source!Y760</f>
        <v>22.49</v>
      </c>
      <c r="U914">
        <f>ROUND((175/100)*ROUND((Source!AE760*Source!AV760)*Source!I760, 2), 2)</f>
        <v>0</v>
      </c>
      <c r="V914">
        <f>ROUND((108/100)*ROUND(Source!CS760*Source!I760, 2), 2)</f>
        <v>0</v>
      </c>
    </row>
    <row r="915" spans="1:22" x14ac:dyDescent="0.2">
      <c r="C915" s="28" t="str">
        <f>"Объем: "&amp;Source!I760&amp;"=1+"&amp;"1"</f>
        <v>Объем: 2=1+1</v>
      </c>
    </row>
    <row r="916" spans="1:22" ht="14.25" x14ac:dyDescent="0.2">
      <c r="A916" s="18"/>
      <c r="B916" s="18"/>
      <c r="C916" s="18" t="s">
        <v>1100</v>
      </c>
      <c r="D916" s="19"/>
      <c r="E916" s="9"/>
      <c r="F916" s="21">
        <f>Source!AO760</f>
        <v>112.44</v>
      </c>
      <c r="G916" s="20" t="str">
        <f>Source!DG760</f>
        <v/>
      </c>
      <c r="H916" s="9">
        <f>Source!AV760</f>
        <v>1</v>
      </c>
      <c r="I916" s="9">
        <f>IF(Source!BA760&lt;&gt; 0, Source!BA760, 1)</f>
        <v>1</v>
      </c>
      <c r="J916" s="21">
        <f>Source!S760</f>
        <v>224.88</v>
      </c>
      <c r="K916" s="21"/>
    </row>
    <row r="917" spans="1:22" ht="14.25" x14ac:dyDescent="0.2">
      <c r="A917" s="18"/>
      <c r="B917" s="18"/>
      <c r="C917" s="18" t="s">
        <v>1101</v>
      </c>
      <c r="D917" s="19"/>
      <c r="E917" s="9"/>
      <c r="F917" s="21">
        <f>Source!AL760</f>
        <v>6.3</v>
      </c>
      <c r="G917" s="20" t="str">
        <f>Source!DD760</f>
        <v/>
      </c>
      <c r="H917" s="9">
        <f>Source!AW760</f>
        <v>1</v>
      </c>
      <c r="I917" s="9">
        <f>IF(Source!BC760&lt;&gt; 0, Source!BC760, 1)</f>
        <v>1</v>
      </c>
      <c r="J917" s="21">
        <f>Source!P760</f>
        <v>12.6</v>
      </c>
      <c r="K917" s="21"/>
    </row>
    <row r="918" spans="1:22" ht="14.25" x14ac:dyDescent="0.2">
      <c r="A918" s="18"/>
      <c r="B918" s="18"/>
      <c r="C918" s="18" t="s">
        <v>1102</v>
      </c>
      <c r="D918" s="19" t="s">
        <v>1103</v>
      </c>
      <c r="E918" s="9">
        <f>Source!AT760</f>
        <v>70</v>
      </c>
      <c r="F918" s="21"/>
      <c r="G918" s="20"/>
      <c r="H918" s="9"/>
      <c r="I918" s="9"/>
      <c r="J918" s="21">
        <f>SUM(R914:R917)</f>
        <v>157.41999999999999</v>
      </c>
      <c r="K918" s="21"/>
    </row>
    <row r="919" spans="1:22" ht="14.25" x14ac:dyDescent="0.2">
      <c r="A919" s="18"/>
      <c r="B919" s="18"/>
      <c r="C919" s="18" t="s">
        <v>1104</v>
      </c>
      <c r="D919" s="19" t="s">
        <v>1103</v>
      </c>
      <c r="E919" s="9">
        <f>Source!AU760</f>
        <v>10</v>
      </c>
      <c r="F919" s="21"/>
      <c r="G919" s="20"/>
      <c r="H919" s="9"/>
      <c r="I919" s="9"/>
      <c r="J919" s="21">
        <f>SUM(T914:T918)</f>
        <v>22.49</v>
      </c>
      <c r="K919" s="21"/>
    </row>
    <row r="920" spans="1:22" ht="14.25" x14ac:dyDescent="0.2">
      <c r="A920" s="18"/>
      <c r="B920" s="18"/>
      <c r="C920" s="18" t="s">
        <v>1105</v>
      </c>
      <c r="D920" s="19" t="s">
        <v>1106</v>
      </c>
      <c r="E920" s="9">
        <f>Source!AQ760</f>
        <v>0.2</v>
      </c>
      <c r="F920" s="21"/>
      <c r="G920" s="20" t="str">
        <f>Source!DI760</f>
        <v/>
      </c>
      <c r="H920" s="9">
        <f>Source!AV760</f>
        <v>1</v>
      </c>
      <c r="I920" s="9"/>
      <c r="J920" s="21"/>
      <c r="K920" s="21">
        <f>Source!U760</f>
        <v>0.4</v>
      </c>
    </row>
    <row r="921" spans="1:22" ht="15" x14ac:dyDescent="0.25">
      <c r="A921" s="23"/>
      <c r="B921" s="23"/>
      <c r="C921" s="23"/>
      <c r="D921" s="23"/>
      <c r="E921" s="23"/>
      <c r="F921" s="23"/>
      <c r="G921" s="23"/>
      <c r="H921" s="23"/>
      <c r="I921" s="44">
        <f>J916+J917+J918+J919</f>
        <v>417.39</v>
      </c>
      <c r="J921" s="44"/>
      <c r="K921" s="24">
        <f>IF(Source!I760&lt;&gt;0, ROUND(I921/Source!I760, 2), 0)</f>
        <v>208.7</v>
      </c>
      <c r="P921" s="22">
        <f>I921</f>
        <v>417.39</v>
      </c>
    </row>
    <row r="922" spans="1:22" ht="57" x14ac:dyDescent="0.2">
      <c r="A922" s="18">
        <v>99</v>
      </c>
      <c r="B922" s="18" t="str">
        <f>Source!F762</f>
        <v>1.21-2203-2-5/1</v>
      </c>
      <c r="C922" s="18" t="str">
        <f>Source!G762</f>
        <v>Техническое обслуживание силового распределительного пункта с установочными автоматами, число групп 12  ( РП2-1,РП2-2)</v>
      </c>
      <c r="D922" s="19" t="str">
        <f>Source!H762</f>
        <v>шт.</v>
      </c>
      <c r="E922" s="9">
        <f>Source!I762</f>
        <v>2</v>
      </c>
      <c r="F922" s="21"/>
      <c r="G922" s="20"/>
      <c r="H922" s="9"/>
      <c r="I922" s="9"/>
      <c r="J922" s="21"/>
      <c r="K922" s="21"/>
      <c r="Q922">
        <f>ROUND((Source!BZ762/100)*ROUND((Source!AF762*Source!AV762)*Source!I762, 2), 2)</f>
        <v>20747.66</v>
      </c>
      <c r="R922">
        <f>Source!X762</f>
        <v>20747.66</v>
      </c>
      <c r="S922">
        <f>ROUND((Source!CA762/100)*ROUND((Source!AF762*Source!AV762)*Source!I762, 2), 2)</f>
        <v>2963.95</v>
      </c>
      <c r="T922">
        <f>Source!Y762</f>
        <v>2963.95</v>
      </c>
      <c r="U922">
        <f>ROUND((175/100)*ROUND((Source!AE762*Source!AV762)*Source!I762, 2), 2)</f>
        <v>0</v>
      </c>
      <c r="V922">
        <f>ROUND((108/100)*ROUND(Source!CS762*Source!I762, 2), 2)</f>
        <v>0</v>
      </c>
    </row>
    <row r="923" spans="1:22" ht="14.25" x14ac:dyDescent="0.2">
      <c r="A923" s="18"/>
      <c r="B923" s="18"/>
      <c r="C923" s="18" t="s">
        <v>1100</v>
      </c>
      <c r="D923" s="19"/>
      <c r="E923" s="9"/>
      <c r="F923" s="21">
        <f>Source!AO762</f>
        <v>14819.76</v>
      </c>
      <c r="G923" s="20" t="str">
        <f>Source!DG762</f>
        <v/>
      </c>
      <c r="H923" s="9">
        <f>Source!AV762</f>
        <v>1</v>
      </c>
      <c r="I923" s="9">
        <f>IF(Source!BA762&lt;&gt; 0, Source!BA762, 1)</f>
        <v>1</v>
      </c>
      <c r="J923" s="21">
        <f>Source!S762</f>
        <v>29639.52</v>
      </c>
      <c r="K923" s="21"/>
    </row>
    <row r="924" spans="1:22" ht="14.25" x14ac:dyDescent="0.2">
      <c r="A924" s="18"/>
      <c r="B924" s="18"/>
      <c r="C924" s="18" t="s">
        <v>1101</v>
      </c>
      <c r="D924" s="19"/>
      <c r="E924" s="9"/>
      <c r="F924" s="21">
        <f>Source!AL762</f>
        <v>205.53</v>
      </c>
      <c r="G924" s="20" t="str">
        <f>Source!DD762</f>
        <v/>
      </c>
      <c r="H924" s="9">
        <f>Source!AW762</f>
        <v>1</v>
      </c>
      <c r="I924" s="9">
        <f>IF(Source!BC762&lt;&gt; 0, Source!BC762, 1)</f>
        <v>1</v>
      </c>
      <c r="J924" s="21">
        <f>Source!P762</f>
        <v>411.06</v>
      </c>
      <c r="K924" s="21"/>
    </row>
    <row r="925" spans="1:22" ht="14.25" x14ac:dyDescent="0.2">
      <c r="A925" s="18"/>
      <c r="B925" s="18"/>
      <c r="C925" s="18" t="s">
        <v>1102</v>
      </c>
      <c r="D925" s="19" t="s">
        <v>1103</v>
      </c>
      <c r="E925" s="9">
        <f>Source!AT762</f>
        <v>70</v>
      </c>
      <c r="F925" s="21"/>
      <c r="G925" s="20"/>
      <c r="H925" s="9"/>
      <c r="I925" s="9"/>
      <c r="J925" s="21">
        <f>SUM(R922:R924)</f>
        <v>20747.66</v>
      </c>
      <c r="K925" s="21"/>
    </row>
    <row r="926" spans="1:22" ht="14.25" x14ac:dyDescent="0.2">
      <c r="A926" s="18"/>
      <c r="B926" s="18"/>
      <c r="C926" s="18" t="s">
        <v>1104</v>
      </c>
      <c r="D926" s="19" t="s">
        <v>1103</v>
      </c>
      <c r="E926" s="9">
        <f>Source!AU762</f>
        <v>10</v>
      </c>
      <c r="F926" s="21"/>
      <c r="G926" s="20"/>
      <c r="H926" s="9"/>
      <c r="I926" s="9"/>
      <c r="J926" s="21">
        <f>SUM(T922:T925)</f>
        <v>2963.95</v>
      </c>
      <c r="K926" s="21"/>
    </row>
    <row r="927" spans="1:22" ht="14.25" x14ac:dyDescent="0.2">
      <c r="A927" s="18"/>
      <c r="B927" s="18"/>
      <c r="C927" s="18" t="s">
        <v>1105</v>
      </c>
      <c r="D927" s="19" t="s">
        <v>1106</v>
      </c>
      <c r="E927" s="9">
        <f>Source!AQ762</f>
        <v>24</v>
      </c>
      <c r="F927" s="21"/>
      <c r="G927" s="20" t="str">
        <f>Source!DI762</f>
        <v/>
      </c>
      <c r="H927" s="9">
        <f>Source!AV762</f>
        <v>1</v>
      </c>
      <c r="I927" s="9"/>
      <c r="J927" s="21"/>
      <c r="K927" s="21">
        <f>Source!U762</f>
        <v>48</v>
      </c>
    </row>
    <row r="928" spans="1:22" ht="15" x14ac:dyDescent="0.25">
      <c r="A928" s="23"/>
      <c r="B928" s="23"/>
      <c r="C928" s="23"/>
      <c r="D928" s="23"/>
      <c r="E928" s="23"/>
      <c r="F928" s="23"/>
      <c r="G928" s="23"/>
      <c r="H928" s="23"/>
      <c r="I928" s="44">
        <f>J923+J924+J925+J926</f>
        <v>53762.19</v>
      </c>
      <c r="J928" s="44"/>
      <c r="K928" s="24">
        <f>IF(Source!I762&lt;&gt;0, ROUND(I928/Source!I762, 2), 0)</f>
        <v>26881.1</v>
      </c>
      <c r="P928" s="22">
        <f>I928</f>
        <v>53762.19</v>
      </c>
    </row>
    <row r="929" spans="1:22" ht="57" x14ac:dyDescent="0.2">
      <c r="A929" s="18">
        <v>100</v>
      </c>
      <c r="B929" s="18" t="str">
        <f>Source!F766</f>
        <v>1.21-2103-9-3/1</v>
      </c>
      <c r="C929" s="18" t="str">
        <f>Source!G766</f>
        <v>Техническое обслуживание силовых сетей, проложенных по кирпичным и бетонным основаниям, провод сечением 4х1,5-6 мм2</v>
      </c>
      <c r="D929" s="19" t="str">
        <f>Source!H766</f>
        <v>100 м</v>
      </c>
      <c r="E929" s="9">
        <f>Source!I766</f>
        <v>0.02</v>
      </c>
      <c r="F929" s="21"/>
      <c r="G929" s="20"/>
      <c r="H929" s="9"/>
      <c r="I929" s="9"/>
      <c r="J929" s="21"/>
      <c r="K929" s="21"/>
      <c r="Q929">
        <f>ROUND((Source!BZ766/100)*ROUND((Source!AF766*Source!AV766)*Source!I766, 2), 2)</f>
        <v>84.08</v>
      </c>
      <c r="R929">
        <f>Source!X766</f>
        <v>84.08</v>
      </c>
      <c r="S929">
        <f>ROUND((Source!CA766/100)*ROUND((Source!AF766*Source!AV766)*Source!I766, 2), 2)</f>
        <v>12.01</v>
      </c>
      <c r="T929">
        <f>Source!Y766</f>
        <v>12.01</v>
      </c>
      <c r="U929">
        <f>ROUND((175/100)*ROUND((Source!AE766*Source!AV766)*Source!I766, 2), 2)</f>
        <v>0</v>
      </c>
      <c r="V929">
        <f>ROUND((108/100)*ROUND(Source!CS766*Source!I766, 2), 2)</f>
        <v>0</v>
      </c>
    </row>
    <row r="930" spans="1:22" x14ac:dyDescent="0.2">
      <c r="C930" s="28" t="str">
        <f>"Объем: "&amp;Source!I766&amp;"=(10+"&amp;"10)*"&amp;"0,1/"&amp;"100"</f>
        <v>Объем: 0,02=(10+10)*0,1/100</v>
      </c>
    </row>
    <row r="931" spans="1:22" ht="14.25" x14ac:dyDescent="0.2">
      <c r="A931" s="18"/>
      <c r="B931" s="18"/>
      <c r="C931" s="18" t="s">
        <v>1100</v>
      </c>
      <c r="D931" s="19"/>
      <c r="E931" s="9"/>
      <c r="F931" s="21">
        <f>Source!AO766</f>
        <v>6006.24</v>
      </c>
      <c r="G931" s="20" t="str">
        <f>Source!DG766</f>
        <v/>
      </c>
      <c r="H931" s="9">
        <f>Source!AV766</f>
        <v>1</v>
      </c>
      <c r="I931" s="9">
        <f>IF(Source!BA766&lt;&gt; 0, Source!BA766, 1)</f>
        <v>1</v>
      </c>
      <c r="J931" s="21">
        <f>Source!S766</f>
        <v>120.12</v>
      </c>
      <c r="K931" s="21"/>
    </row>
    <row r="932" spans="1:22" ht="14.25" x14ac:dyDescent="0.2">
      <c r="A932" s="18"/>
      <c r="B932" s="18"/>
      <c r="C932" s="18" t="s">
        <v>1101</v>
      </c>
      <c r="D932" s="19"/>
      <c r="E932" s="9"/>
      <c r="F932" s="21">
        <f>Source!AL766</f>
        <v>14.63</v>
      </c>
      <c r="G932" s="20" t="str">
        <f>Source!DD766</f>
        <v/>
      </c>
      <c r="H932" s="9">
        <f>Source!AW766</f>
        <v>1</v>
      </c>
      <c r="I932" s="9">
        <f>IF(Source!BC766&lt;&gt; 0, Source!BC766, 1)</f>
        <v>1</v>
      </c>
      <c r="J932" s="21">
        <f>Source!P766</f>
        <v>0.28999999999999998</v>
      </c>
      <c r="K932" s="21"/>
    </row>
    <row r="933" spans="1:22" ht="14.25" x14ac:dyDescent="0.2">
      <c r="A933" s="18"/>
      <c r="B933" s="18"/>
      <c r="C933" s="18" t="s">
        <v>1102</v>
      </c>
      <c r="D933" s="19" t="s">
        <v>1103</v>
      </c>
      <c r="E933" s="9">
        <f>Source!AT766</f>
        <v>70</v>
      </c>
      <c r="F933" s="21"/>
      <c r="G933" s="20"/>
      <c r="H933" s="9"/>
      <c r="I933" s="9"/>
      <c r="J933" s="21">
        <f>SUM(R929:R932)</f>
        <v>84.08</v>
      </c>
      <c r="K933" s="21"/>
    </row>
    <row r="934" spans="1:22" ht="14.25" x14ac:dyDescent="0.2">
      <c r="A934" s="18"/>
      <c r="B934" s="18"/>
      <c r="C934" s="18" t="s">
        <v>1104</v>
      </c>
      <c r="D934" s="19" t="s">
        <v>1103</v>
      </c>
      <c r="E934" s="9">
        <f>Source!AU766</f>
        <v>10</v>
      </c>
      <c r="F934" s="21"/>
      <c r="G934" s="20"/>
      <c r="H934" s="9"/>
      <c r="I934" s="9"/>
      <c r="J934" s="21">
        <f>SUM(T929:T933)</f>
        <v>12.01</v>
      </c>
      <c r="K934" s="21"/>
    </row>
    <row r="935" spans="1:22" ht="14.25" x14ac:dyDescent="0.2">
      <c r="A935" s="18"/>
      <c r="B935" s="18"/>
      <c r="C935" s="18" t="s">
        <v>1105</v>
      </c>
      <c r="D935" s="19" t="s">
        <v>1106</v>
      </c>
      <c r="E935" s="9">
        <f>Source!AQ766</f>
        <v>11.22</v>
      </c>
      <c r="F935" s="21"/>
      <c r="G935" s="20" t="str">
        <f>Source!DI766</f>
        <v/>
      </c>
      <c r="H935" s="9">
        <f>Source!AV766</f>
        <v>1</v>
      </c>
      <c r="I935" s="9"/>
      <c r="J935" s="21"/>
      <c r="K935" s="21">
        <f>Source!U766</f>
        <v>0.22440000000000002</v>
      </c>
    </row>
    <row r="936" spans="1:22" ht="15" x14ac:dyDescent="0.25">
      <c r="A936" s="23"/>
      <c r="B936" s="23"/>
      <c r="C936" s="23"/>
      <c r="D936" s="23"/>
      <c r="E936" s="23"/>
      <c r="F936" s="23"/>
      <c r="G936" s="23"/>
      <c r="H936" s="23"/>
      <c r="I936" s="44">
        <f>J931+J932+J933+J934</f>
        <v>216.5</v>
      </c>
      <c r="J936" s="44"/>
      <c r="K936" s="24">
        <f>IF(Source!I766&lt;&gt;0, ROUND(I936/Source!I766, 2), 0)</f>
        <v>10825</v>
      </c>
      <c r="P936" s="22">
        <f>I936</f>
        <v>216.5</v>
      </c>
    </row>
    <row r="937" spans="1:22" ht="71.25" x14ac:dyDescent="0.2">
      <c r="A937" s="18">
        <v>101</v>
      </c>
      <c r="B937" s="18" t="str">
        <f>Source!F767</f>
        <v>1.21-2103-9-4/1</v>
      </c>
      <c r="C937" s="18" t="str">
        <f>Source!G767</f>
        <v>Техническое обслуживание силовых сетей, проложенных по кирпичным и бетонным основаниям, добавлять на каждый следующий провод к поз. 21-2103-9-3</v>
      </c>
      <c r="D937" s="19" t="str">
        <f>Source!H767</f>
        <v>100 м</v>
      </c>
      <c r="E937" s="9">
        <f>Source!I767</f>
        <v>0.02</v>
      </c>
      <c r="F937" s="21"/>
      <c r="G937" s="20"/>
      <c r="H937" s="9"/>
      <c r="I937" s="9"/>
      <c r="J937" s="21"/>
      <c r="K937" s="21"/>
      <c r="Q937">
        <f>ROUND((Source!BZ767/100)*ROUND((Source!AF767*Source!AV767)*Source!I767, 2), 2)</f>
        <v>15.29</v>
      </c>
      <c r="R937">
        <f>Source!X767</f>
        <v>15.29</v>
      </c>
      <c r="S937">
        <f>ROUND((Source!CA767/100)*ROUND((Source!AF767*Source!AV767)*Source!I767, 2), 2)</f>
        <v>2.1800000000000002</v>
      </c>
      <c r="T937">
        <f>Source!Y767</f>
        <v>2.1800000000000002</v>
      </c>
      <c r="U937">
        <f>ROUND((175/100)*ROUND((Source!AE767*Source!AV767)*Source!I767, 2), 2)</f>
        <v>0</v>
      </c>
      <c r="V937">
        <f>ROUND((108/100)*ROUND(Source!CS767*Source!I767, 2), 2)</f>
        <v>0</v>
      </c>
    </row>
    <row r="938" spans="1:22" x14ac:dyDescent="0.2">
      <c r="C938" s="28" t="str">
        <f>"Объем: "&amp;Source!I767&amp;"=(10+"&amp;"10)*"&amp;"0,1/"&amp;"100"</f>
        <v>Объем: 0,02=(10+10)*0,1/100</v>
      </c>
    </row>
    <row r="939" spans="1:22" ht="14.25" x14ac:dyDescent="0.2">
      <c r="A939" s="18"/>
      <c r="B939" s="18"/>
      <c r="C939" s="18" t="s">
        <v>1100</v>
      </c>
      <c r="D939" s="19"/>
      <c r="E939" s="9"/>
      <c r="F939" s="21">
        <f>Source!AO767</f>
        <v>1092.04</v>
      </c>
      <c r="G939" s="20" t="str">
        <f>Source!DG767</f>
        <v/>
      </c>
      <c r="H939" s="9">
        <f>Source!AV767</f>
        <v>1</v>
      </c>
      <c r="I939" s="9">
        <f>IF(Source!BA767&lt;&gt; 0, Source!BA767, 1)</f>
        <v>1</v>
      </c>
      <c r="J939" s="21">
        <f>Source!S767</f>
        <v>21.84</v>
      </c>
      <c r="K939" s="21"/>
    </row>
    <row r="940" spans="1:22" ht="14.25" x14ac:dyDescent="0.2">
      <c r="A940" s="18"/>
      <c r="B940" s="18"/>
      <c r="C940" s="18" t="s">
        <v>1102</v>
      </c>
      <c r="D940" s="19" t="s">
        <v>1103</v>
      </c>
      <c r="E940" s="9">
        <f>Source!AT767</f>
        <v>70</v>
      </c>
      <c r="F940" s="21"/>
      <c r="G940" s="20"/>
      <c r="H940" s="9"/>
      <c r="I940" s="9"/>
      <c r="J940" s="21">
        <f>SUM(R937:R939)</f>
        <v>15.29</v>
      </c>
      <c r="K940" s="21"/>
    </row>
    <row r="941" spans="1:22" ht="14.25" x14ac:dyDescent="0.2">
      <c r="A941" s="18"/>
      <c r="B941" s="18"/>
      <c r="C941" s="18" t="s">
        <v>1104</v>
      </c>
      <c r="D941" s="19" t="s">
        <v>1103</v>
      </c>
      <c r="E941" s="9">
        <f>Source!AU767</f>
        <v>10</v>
      </c>
      <c r="F941" s="21"/>
      <c r="G941" s="20"/>
      <c r="H941" s="9"/>
      <c r="I941" s="9"/>
      <c r="J941" s="21">
        <f>SUM(T937:T940)</f>
        <v>2.1800000000000002</v>
      </c>
      <c r="K941" s="21"/>
    </row>
    <row r="942" spans="1:22" ht="14.25" x14ac:dyDescent="0.2">
      <c r="A942" s="18"/>
      <c r="B942" s="18"/>
      <c r="C942" s="18" t="s">
        <v>1105</v>
      </c>
      <c r="D942" s="19" t="s">
        <v>1106</v>
      </c>
      <c r="E942" s="9">
        <f>Source!AQ767</f>
        <v>2.04</v>
      </c>
      <c r="F942" s="21"/>
      <c r="G942" s="20" t="str">
        <f>Source!DI767</f>
        <v/>
      </c>
      <c r="H942" s="9">
        <f>Source!AV767</f>
        <v>1</v>
      </c>
      <c r="I942" s="9"/>
      <c r="J942" s="21"/>
      <c r="K942" s="21">
        <f>Source!U767</f>
        <v>4.0800000000000003E-2</v>
      </c>
    </row>
    <row r="943" spans="1:22" ht="15" x14ac:dyDescent="0.25">
      <c r="A943" s="23"/>
      <c r="B943" s="23"/>
      <c r="C943" s="23"/>
      <c r="D943" s="23"/>
      <c r="E943" s="23"/>
      <c r="F943" s="23"/>
      <c r="G943" s="23"/>
      <c r="H943" s="23"/>
      <c r="I943" s="44">
        <f>J939+J940+J941</f>
        <v>39.309999999999995</v>
      </c>
      <c r="J943" s="44"/>
      <c r="K943" s="24">
        <f>IF(Source!I767&lt;&gt;0, ROUND(I943/Source!I767, 2), 0)</f>
        <v>1965.5</v>
      </c>
      <c r="P943" s="22">
        <f>I943</f>
        <v>39.309999999999995</v>
      </c>
    </row>
    <row r="944" spans="1:22" ht="85.5" x14ac:dyDescent="0.2">
      <c r="A944" s="18">
        <v>102</v>
      </c>
      <c r="B944" s="18" t="str">
        <f>Source!F768</f>
        <v>1.21-2203-37-1/1</v>
      </c>
      <c r="C944" s="18" t="str">
        <f>Source!G768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944" s="19" t="str">
        <f>Source!H768</f>
        <v>шт.</v>
      </c>
      <c r="E944" s="9">
        <f>Source!I768</f>
        <v>2</v>
      </c>
      <c r="F944" s="21"/>
      <c r="G944" s="20"/>
      <c r="H944" s="9"/>
      <c r="I944" s="9"/>
      <c r="J944" s="21"/>
      <c r="K944" s="21"/>
      <c r="Q944">
        <f>ROUND((Source!BZ768/100)*ROUND((Source!AF768*Source!AV768)*Source!I768, 2), 2)</f>
        <v>472.23</v>
      </c>
      <c r="R944">
        <f>Source!X768</f>
        <v>472.23</v>
      </c>
      <c r="S944">
        <f>ROUND((Source!CA768/100)*ROUND((Source!AF768*Source!AV768)*Source!I768, 2), 2)</f>
        <v>67.459999999999994</v>
      </c>
      <c r="T944">
        <f>Source!Y768</f>
        <v>67.459999999999994</v>
      </c>
      <c r="U944">
        <f>ROUND((175/100)*ROUND((Source!AE768*Source!AV768)*Source!I768, 2), 2)</f>
        <v>0</v>
      </c>
      <c r="V944">
        <f>ROUND((108/100)*ROUND(Source!CS768*Source!I768, 2), 2)</f>
        <v>0</v>
      </c>
    </row>
    <row r="945" spans="1:22" ht="14.25" x14ac:dyDescent="0.2">
      <c r="A945" s="18"/>
      <c r="B945" s="18"/>
      <c r="C945" s="18" t="s">
        <v>1100</v>
      </c>
      <c r="D945" s="19"/>
      <c r="E945" s="9"/>
      <c r="F945" s="21">
        <f>Source!AO768</f>
        <v>337.31</v>
      </c>
      <c r="G945" s="20" t="str">
        <f>Source!DG768</f>
        <v/>
      </c>
      <c r="H945" s="9">
        <f>Source!AV768</f>
        <v>1</v>
      </c>
      <c r="I945" s="9">
        <f>IF(Source!BA768&lt;&gt; 0, Source!BA768, 1)</f>
        <v>1</v>
      </c>
      <c r="J945" s="21">
        <f>Source!S768</f>
        <v>674.62</v>
      </c>
      <c r="K945" s="21"/>
    </row>
    <row r="946" spans="1:22" ht="14.25" x14ac:dyDescent="0.2">
      <c r="A946" s="18"/>
      <c r="B946" s="18"/>
      <c r="C946" s="18" t="s">
        <v>1101</v>
      </c>
      <c r="D946" s="19"/>
      <c r="E946" s="9"/>
      <c r="F946" s="21">
        <f>Source!AL768</f>
        <v>1.57</v>
      </c>
      <c r="G946" s="20" t="str">
        <f>Source!DD768</f>
        <v/>
      </c>
      <c r="H946" s="9">
        <f>Source!AW768</f>
        <v>1</v>
      </c>
      <c r="I946" s="9">
        <f>IF(Source!BC768&lt;&gt; 0, Source!BC768, 1)</f>
        <v>1</v>
      </c>
      <c r="J946" s="21">
        <f>Source!P768</f>
        <v>3.14</v>
      </c>
      <c r="K946" s="21"/>
    </row>
    <row r="947" spans="1:22" ht="14.25" x14ac:dyDescent="0.2">
      <c r="A947" s="18"/>
      <c r="B947" s="18"/>
      <c r="C947" s="18" t="s">
        <v>1102</v>
      </c>
      <c r="D947" s="19" t="s">
        <v>1103</v>
      </c>
      <c r="E947" s="9">
        <f>Source!AT768</f>
        <v>70</v>
      </c>
      <c r="F947" s="21"/>
      <c r="G947" s="20"/>
      <c r="H947" s="9"/>
      <c r="I947" s="9"/>
      <c r="J947" s="21">
        <f>SUM(R944:R946)</f>
        <v>472.23</v>
      </c>
      <c r="K947" s="21"/>
    </row>
    <row r="948" spans="1:22" ht="14.25" x14ac:dyDescent="0.2">
      <c r="A948" s="18"/>
      <c r="B948" s="18"/>
      <c r="C948" s="18" t="s">
        <v>1104</v>
      </c>
      <c r="D948" s="19" t="s">
        <v>1103</v>
      </c>
      <c r="E948" s="9">
        <f>Source!AU768</f>
        <v>10</v>
      </c>
      <c r="F948" s="21"/>
      <c r="G948" s="20"/>
      <c r="H948" s="9"/>
      <c r="I948" s="9"/>
      <c r="J948" s="21">
        <f>SUM(T944:T947)</f>
        <v>67.459999999999994</v>
      </c>
      <c r="K948" s="21"/>
    </row>
    <row r="949" spans="1:22" ht="14.25" x14ac:dyDescent="0.2">
      <c r="A949" s="18"/>
      <c r="B949" s="18"/>
      <c r="C949" s="18" t="s">
        <v>1105</v>
      </c>
      <c r="D949" s="19" t="s">
        <v>1106</v>
      </c>
      <c r="E949" s="9">
        <f>Source!AQ768</f>
        <v>0.6</v>
      </c>
      <c r="F949" s="21"/>
      <c r="G949" s="20" t="str">
        <f>Source!DI768</f>
        <v/>
      </c>
      <c r="H949" s="9">
        <f>Source!AV768</f>
        <v>1</v>
      </c>
      <c r="I949" s="9"/>
      <c r="J949" s="21"/>
      <c r="K949" s="21">
        <f>Source!U768</f>
        <v>1.2</v>
      </c>
    </row>
    <row r="950" spans="1:22" ht="15" x14ac:dyDescent="0.25">
      <c r="A950" s="23"/>
      <c r="B950" s="23"/>
      <c r="C950" s="23"/>
      <c r="D950" s="23"/>
      <c r="E950" s="23"/>
      <c r="F950" s="23"/>
      <c r="G950" s="23"/>
      <c r="H950" s="23"/>
      <c r="I950" s="44">
        <f>J945+J946+J947+J948</f>
        <v>1217.45</v>
      </c>
      <c r="J950" s="44"/>
      <c r="K950" s="24">
        <f>IF(Source!I768&lt;&gt;0, ROUND(I950/Source!I768, 2), 0)</f>
        <v>608.73</v>
      </c>
      <c r="P950" s="22">
        <f>I950</f>
        <v>1217.45</v>
      </c>
    </row>
    <row r="951" spans="1:22" ht="42.75" x14ac:dyDescent="0.2">
      <c r="A951" s="18">
        <v>103</v>
      </c>
      <c r="B951" s="18" t="str">
        <f>Source!F771</f>
        <v>1.21-2203-14-2/1</v>
      </c>
      <c r="C951" s="18" t="str">
        <f>Source!G771</f>
        <v>Техническое обслуживание шкафа учета электроэнергии, с количеством счетчиков 2</v>
      </c>
      <c r="D951" s="19" t="str">
        <f>Source!H771</f>
        <v>шт.</v>
      </c>
      <c r="E951" s="9">
        <f>Source!I771</f>
        <v>1</v>
      </c>
      <c r="F951" s="21"/>
      <c r="G951" s="20"/>
      <c r="H951" s="9"/>
      <c r="I951" s="9"/>
      <c r="J951" s="21"/>
      <c r="K951" s="21"/>
      <c r="Q951">
        <f>ROUND((Source!BZ771/100)*ROUND((Source!AF771*Source!AV771)*Source!I771, 2), 2)</f>
        <v>168.05</v>
      </c>
      <c r="R951">
        <f>Source!X771</f>
        <v>168.05</v>
      </c>
      <c r="S951">
        <f>ROUND((Source!CA771/100)*ROUND((Source!AF771*Source!AV771)*Source!I771, 2), 2)</f>
        <v>24.01</v>
      </c>
      <c r="T951">
        <f>Source!Y771</f>
        <v>24.01</v>
      </c>
      <c r="U951">
        <f>ROUND((175/100)*ROUND((Source!AE771*Source!AV771)*Source!I771, 2), 2)</f>
        <v>37.590000000000003</v>
      </c>
      <c r="V951">
        <f>ROUND((108/100)*ROUND(Source!CS771*Source!I771, 2), 2)</f>
        <v>23.2</v>
      </c>
    </row>
    <row r="952" spans="1:22" ht="14.25" x14ac:dyDescent="0.2">
      <c r="A952" s="18"/>
      <c r="B952" s="18"/>
      <c r="C952" s="18" t="s">
        <v>1100</v>
      </c>
      <c r="D952" s="19"/>
      <c r="E952" s="9"/>
      <c r="F952" s="21">
        <f>Source!AO771</f>
        <v>240.07</v>
      </c>
      <c r="G952" s="20" t="str">
        <f>Source!DG771</f>
        <v/>
      </c>
      <c r="H952" s="9">
        <f>Source!AV771</f>
        <v>1</v>
      </c>
      <c r="I952" s="9">
        <f>IF(Source!BA771&lt;&gt; 0, Source!BA771, 1)</f>
        <v>1</v>
      </c>
      <c r="J952" s="21">
        <f>Source!S771</f>
        <v>240.07</v>
      </c>
      <c r="K952" s="21"/>
    </row>
    <row r="953" spans="1:22" ht="14.25" x14ac:dyDescent="0.2">
      <c r="A953" s="18"/>
      <c r="B953" s="18"/>
      <c r="C953" s="18" t="s">
        <v>1107</v>
      </c>
      <c r="D953" s="19"/>
      <c r="E953" s="9"/>
      <c r="F953" s="21">
        <f>Source!AM771</f>
        <v>33.880000000000003</v>
      </c>
      <c r="G953" s="20" t="str">
        <f>Source!DE771</f>
        <v/>
      </c>
      <c r="H953" s="9">
        <f>Source!AV771</f>
        <v>1</v>
      </c>
      <c r="I953" s="9">
        <f>IF(Source!BB771&lt;&gt; 0, Source!BB771, 1)</f>
        <v>1</v>
      </c>
      <c r="J953" s="21">
        <f>Source!Q771</f>
        <v>33.880000000000003</v>
      </c>
      <c r="K953" s="21"/>
    </row>
    <row r="954" spans="1:22" ht="14.25" x14ac:dyDescent="0.2">
      <c r="A954" s="18"/>
      <c r="B954" s="18"/>
      <c r="C954" s="18" t="s">
        <v>1108</v>
      </c>
      <c r="D954" s="19"/>
      <c r="E954" s="9"/>
      <c r="F954" s="21">
        <f>Source!AN771</f>
        <v>21.48</v>
      </c>
      <c r="G954" s="20" t="str">
        <f>Source!DF771</f>
        <v/>
      </c>
      <c r="H954" s="9">
        <f>Source!AV771</f>
        <v>1</v>
      </c>
      <c r="I954" s="9">
        <f>IF(Source!BS771&lt;&gt; 0, Source!BS771, 1)</f>
        <v>1</v>
      </c>
      <c r="J954" s="25">
        <f>Source!R771</f>
        <v>21.48</v>
      </c>
      <c r="K954" s="21"/>
    </row>
    <row r="955" spans="1:22" ht="14.25" x14ac:dyDescent="0.2">
      <c r="A955" s="18"/>
      <c r="B955" s="18"/>
      <c r="C955" s="18" t="s">
        <v>1101</v>
      </c>
      <c r="D955" s="19"/>
      <c r="E955" s="9"/>
      <c r="F955" s="21">
        <f>Source!AL771</f>
        <v>0.09</v>
      </c>
      <c r="G955" s="20" t="str">
        <f>Source!DD771</f>
        <v/>
      </c>
      <c r="H955" s="9">
        <f>Source!AW771</f>
        <v>1</v>
      </c>
      <c r="I955" s="9">
        <f>IF(Source!BC771&lt;&gt; 0, Source!BC771, 1)</f>
        <v>1</v>
      </c>
      <c r="J955" s="21">
        <f>Source!P771</f>
        <v>0.09</v>
      </c>
      <c r="K955" s="21"/>
    </row>
    <row r="956" spans="1:22" ht="14.25" x14ac:dyDescent="0.2">
      <c r="A956" s="18"/>
      <c r="B956" s="18"/>
      <c r="C956" s="18" t="s">
        <v>1102</v>
      </c>
      <c r="D956" s="19" t="s">
        <v>1103</v>
      </c>
      <c r="E956" s="9">
        <f>Source!AT771</f>
        <v>70</v>
      </c>
      <c r="F956" s="21"/>
      <c r="G956" s="20"/>
      <c r="H956" s="9"/>
      <c r="I956" s="9"/>
      <c r="J956" s="21">
        <f>SUM(R951:R955)</f>
        <v>168.05</v>
      </c>
      <c r="K956" s="21"/>
    </row>
    <row r="957" spans="1:22" ht="14.25" x14ac:dyDescent="0.2">
      <c r="A957" s="18"/>
      <c r="B957" s="18"/>
      <c r="C957" s="18" t="s">
        <v>1104</v>
      </c>
      <c r="D957" s="19" t="s">
        <v>1103</v>
      </c>
      <c r="E957" s="9">
        <f>Source!AU771</f>
        <v>10</v>
      </c>
      <c r="F957" s="21"/>
      <c r="G957" s="20"/>
      <c r="H957" s="9"/>
      <c r="I957" s="9"/>
      <c r="J957" s="21">
        <f>SUM(T951:T956)</f>
        <v>24.01</v>
      </c>
      <c r="K957" s="21"/>
    </row>
    <row r="958" spans="1:22" ht="14.25" x14ac:dyDescent="0.2">
      <c r="A958" s="18"/>
      <c r="B958" s="18"/>
      <c r="C958" s="18" t="s">
        <v>1109</v>
      </c>
      <c r="D958" s="19" t="s">
        <v>1103</v>
      </c>
      <c r="E958" s="9">
        <f>108</f>
        <v>108</v>
      </c>
      <c r="F958" s="21"/>
      <c r="G958" s="20"/>
      <c r="H958" s="9"/>
      <c r="I958" s="9"/>
      <c r="J958" s="21">
        <f>SUM(V951:V957)</f>
        <v>23.2</v>
      </c>
      <c r="K958" s="21"/>
    </row>
    <row r="959" spans="1:22" ht="14.25" x14ac:dyDescent="0.2">
      <c r="A959" s="18"/>
      <c r="B959" s="18"/>
      <c r="C959" s="18" t="s">
        <v>1105</v>
      </c>
      <c r="D959" s="19" t="s">
        <v>1106</v>
      </c>
      <c r="E959" s="9">
        <f>Source!AQ771</f>
        <v>0.45</v>
      </c>
      <c r="F959" s="21"/>
      <c r="G959" s="20" t="str">
        <f>Source!DI771</f>
        <v/>
      </c>
      <c r="H959" s="9">
        <f>Source!AV771</f>
        <v>1</v>
      </c>
      <c r="I959" s="9"/>
      <c r="J959" s="21"/>
      <c r="K959" s="21">
        <f>Source!U771</f>
        <v>0.45</v>
      </c>
    </row>
    <row r="960" spans="1:22" ht="15" x14ac:dyDescent="0.25">
      <c r="A960" s="23"/>
      <c r="B960" s="23"/>
      <c r="C960" s="23"/>
      <c r="D960" s="23"/>
      <c r="E960" s="23"/>
      <c r="F960" s="23"/>
      <c r="G960" s="23"/>
      <c r="H960" s="23"/>
      <c r="I960" s="44">
        <f>J952+J953+J955+J956+J957+J958</f>
        <v>489.29999999999995</v>
      </c>
      <c r="J960" s="44"/>
      <c r="K960" s="24">
        <f>IF(Source!I771&lt;&gt;0, ROUND(I960/Source!I771, 2), 0)</f>
        <v>489.3</v>
      </c>
      <c r="P960" s="22">
        <f>I960</f>
        <v>489.29999999999995</v>
      </c>
    </row>
    <row r="962" spans="1:22" ht="15" x14ac:dyDescent="0.25">
      <c r="B962" s="47" t="str">
        <f>Source!G772</f>
        <v>ВРУ-3</v>
      </c>
      <c r="C962" s="47"/>
      <c r="D962" s="47"/>
      <c r="E962" s="47"/>
      <c r="F962" s="47"/>
      <c r="G962" s="47"/>
      <c r="H962" s="47"/>
      <c r="I962" s="47"/>
      <c r="J962" s="47"/>
    </row>
    <row r="963" spans="1:22" ht="57" x14ac:dyDescent="0.2">
      <c r="A963" s="18">
        <v>104</v>
      </c>
      <c r="B963" s="18" t="str">
        <f>Source!F773</f>
        <v>1.21-2203-8-2/1</v>
      </c>
      <c r="C963" s="18" t="str">
        <f>Source!G773</f>
        <v>Техническое обслуживание ящика ввода распределительного с рубильником и предохранителями, номинальный ток 600 А (ВП3-1, ВП3-2)</v>
      </c>
      <c r="D963" s="19" t="str">
        <f>Source!H773</f>
        <v>шт.</v>
      </c>
      <c r="E963" s="9">
        <f>Source!I773</f>
        <v>2</v>
      </c>
      <c r="F963" s="21"/>
      <c r="G963" s="20"/>
      <c r="H963" s="9"/>
      <c r="I963" s="9"/>
      <c r="J963" s="21"/>
      <c r="K963" s="21"/>
      <c r="Q963">
        <f>ROUND((Source!BZ773/100)*ROUND((Source!AF773*Source!AV773)*Source!I773, 2), 2)</f>
        <v>7780.37</v>
      </c>
      <c r="R963">
        <f>Source!X773</f>
        <v>7780.37</v>
      </c>
      <c r="S963">
        <f>ROUND((Source!CA773/100)*ROUND((Source!AF773*Source!AV773)*Source!I773, 2), 2)</f>
        <v>1111.48</v>
      </c>
      <c r="T963">
        <f>Source!Y773</f>
        <v>1111.48</v>
      </c>
      <c r="U963">
        <f>ROUND((175/100)*ROUND((Source!AE773*Source!AV773)*Source!I773, 2), 2)</f>
        <v>0</v>
      </c>
      <c r="V963">
        <f>ROUND((108/100)*ROUND(Source!CS773*Source!I773, 2), 2)</f>
        <v>0</v>
      </c>
    </row>
    <row r="964" spans="1:22" x14ac:dyDescent="0.2">
      <c r="C964" s="28" t="str">
        <f>"Объем: "&amp;Source!I773&amp;"=1+"&amp;"1"</f>
        <v>Объем: 2=1+1</v>
      </c>
    </row>
    <row r="965" spans="1:22" ht="14.25" x14ac:dyDescent="0.2">
      <c r="A965" s="18"/>
      <c r="B965" s="18"/>
      <c r="C965" s="18" t="s">
        <v>1100</v>
      </c>
      <c r="D965" s="19"/>
      <c r="E965" s="9"/>
      <c r="F965" s="21">
        <f>Source!AO773</f>
        <v>5557.41</v>
      </c>
      <c r="G965" s="20" t="str">
        <f>Source!DG773</f>
        <v/>
      </c>
      <c r="H965" s="9">
        <f>Source!AV773</f>
        <v>1</v>
      </c>
      <c r="I965" s="9">
        <f>IF(Source!BA773&lt;&gt; 0, Source!BA773, 1)</f>
        <v>1</v>
      </c>
      <c r="J965" s="21">
        <f>Source!S773</f>
        <v>11114.82</v>
      </c>
      <c r="K965" s="21"/>
    </row>
    <row r="966" spans="1:22" ht="14.25" x14ac:dyDescent="0.2">
      <c r="A966" s="18"/>
      <c r="B966" s="18"/>
      <c r="C966" s="18" t="s">
        <v>1101</v>
      </c>
      <c r="D966" s="19"/>
      <c r="E966" s="9"/>
      <c r="F966" s="21">
        <f>Source!AL773</f>
        <v>77.08</v>
      </c>
      <c r="G966" s="20" t="str">
        <f>Source!DD773</f>
        <v/>
      </c>
      <c r="H966" s="9">
        <f>Source!AW773</f>
        <v>1</v>
      </c>
      <c r="I966" s="9">
        <f>IF(Source!BC773&lt;&gt; 0, Source!BC773, 1)</f>
        <v>1</v>
      </c>
      <c r="J966" s="21">
        <f>Source!P773</f>
        <v>154.16</v>
      </c>
      <c r="K966" s="21"/>
    </row>
    <row r="967" spans="1:22" ht="14.25" x14ac:dyDescent="0.2">
      <c r="A967" s="18"/>
      <c r="B967" s="18"/>
      <c r="C967" s="18" t="s">
        <v>1102</v>
      </c>
      <c r="D967" s="19" t="s">
        <v>1103</v>
      </c>
      <c r="E967" s="9">
        <f>Source!AT773</f>
        <v>70</v>
      </c>
      <c r="F967" s="21"/>
      <c r="G967" s="20"/>
      <c r="H967" s="9"/>
      <c r="I967" s="9"/>
      <c r="J967" s="21">
        <f>SUM(R963:R966)</f>
        <v>7780.37</v>
      </c>
      <c r="K967" s="21"/>
    </row>
    <row r="968" spans="1:22" ht="14.25" x14ac:dyDescent="0.2">
      <c r="A968" s="18"/>
      <c r="B968" s="18"/>
      <c r="C968" s="18" t="s">
        <v>1104</v>
      </c>
      <c r="D968" s="19" t="s">
        <v>1103</v>
      </c>
      <c r="E968" s="9">
        <f>Source!AU773</f>
        <v>10</v>
      </c>
      <c r="F968" s="21"/>
      <c r="G968" s="20"/>
      <c r="H968" s="9"/>
      <c r="I968" s="9"/>
      <c r="J968" s="21">
        <f>SUM(T963:T967)</f>
        <v>1111.48</v>
      </c>
      <c r="K968" s="21"/>
    </row>
    <row r="969" spans="1:22" ht="14.25" x14ac:dyDescent="0.2">
      <c r="A969" s="18"/>
      <c r="B969" s="18"/>
      <c r="C969" s="18" t="s">
        <v>1105</v>
      </c>
      <c r="D969" s="19" t="s">
        <v>1106</v>
      </c>
      <c r="E969" s="9">
        <f>Source!AQ773</f>
        <v>9</v>
      </c>
      <c r="F969" s="21"/>
      <c r="G969" s="20" t="str">
        <f>Source!DI773</f>
        <v/>
      </c>
      <c r="H969" s="9">
        <f>Source!AV773</f>
        <v>1</v>
      </c>
      <c r="I969" s="9"/>
      <c r="J969" s="21"/>
      <c r="K969" s="21">
        <f>Source!U773</f>
        <v>18</v>
      </c>
    </row>
    <row r="970" spans="1:22" ht="15" x14ac:dyDescent="0.25">
      <c r="A970" s="23"/>
      <c r="B970" s="23"/>
      <c r="C970" s="23"/>
      <c r="D970" s="23"/>
      <c r="E970" s="23"/>
      <c r="F970" s="23"/>
      <c r="G970" s="23"/>
      <c r="H970" s="23"/>
      <c r="I970" s="44">
        <f>J965+J966+J967+J968</f>
        <v>20160.829999999998</v>
      </c>
      <c r="J970" s="44"/>
      <c r="K970" s="24">
        <f>IF(Source!I773&lt;&gt;0, ROUND(I970/Source!I773, 2), 0)</f>
        <v>10080.42</v>
      </c>
      <c r="P970" s="22">
        <f>I970</f>
        <v>20160.829999999998</v>
      </c>
    </row>
    <row r="971" spans="1:22" ht="71.25" x14ac:dyDescent="0.2">
      <c r="A971" s="18">
        <v>105</v>
      </c>
      <c r="B971" s="18" t="str">
        <f>Source!F777</f>
        <v>1.21-2303-40-1/1</v>
      </c>
      <c r="C971" s="18" t="str">
        <f>Source!G777</f>
        <v>Техническое обслуживание измерителя мощности типа PM710MG на лицевой панели распределительного устройства - полугодовое</v>
      </c>
      <c r="D971" s="19" t="str">
        <f>Source!H777</f>
        <v>шт.</v>
      </c>
      <c r="E971" s="9">
        <f>Source!I777</f>
        <v>2</v>
      </c>
      <c r="F971" s="21"/>
      <c r="G971" s="20"/>
      <c r="H971" s="9"/>
      <c r="I971" s="9"/>
      <c r="J971" s="21"/>
      <c r="K971" s="21"/>
      <c r="Q971">
        <f>ROUND((Source!BZ777/100)*ROUND((Source!AF777*Source!AV777)*Source!I777, 2), 2)</f>
        <v>157.41999999999999</v>
      </c>
      <c r="R971">
        <f>Source!X777</f>
        <v>157.41999999999999</v>
      </c>
      <c r="S971">
        <f>ROUND((Source!CA777/100)*ROUND((Source!AF777*Source!AV777)*Source!I777, 2), 2)</f>
        <v>22.49</v>
      </c>
      <c r="T971">
        <f>Source!Y777</f>
        <v>22.49</v>
      </c>
      <c r="U971">
        <f>ROUND((175/100)*ROUND((Source!AE777*Source!AV777)*Source!I777, 2), 2)</f>
        <v>0</v>
      </c>
      <c r="V971">
        <f>ROUND((108/100)*ROUND(Source!CS777*Source!I777, 2), 2)</f>
        <v>0</v>
      </c>
    </row>
    <row r="972" spans="1:22" x14ac:dyDescent="0.2">
      <c r="C972" s="28" t="str">
        <f>"Объем: "&amp;Source!I777&amp;"=1+"&amp;"1"</f>
        <v>Объем: 2=1+1</v>
      </c>
    </row>
    <row r="973" spans="1:22" ht="14.25" x14ac:dyDescent="0.2">
      <c r="A973" s="18"/>
      <c r="B973" s="18"/>
      <c r="C973" s="18" t="s">
        <v>1100</v>
      </c>
      <c r="D973" s="19"/>
      <c r="E973" s="9"/>
      <c r="F973" s="21">
        <f>Source!AO777</f>
        <v>112.44</v>
      </c>
      <c r="G973" s="20" t="str">
        <f>Source!DG777</f>
        <v/>
      </c>
      <c r="H973" s="9">
        <f>Source!AV777</f>
        <v>1</v>
      </c>
      <c r="I973" s="9">
        <f>IF(Source!BA777&lt;&gt; 0, Source!BA777, 1)</f>
        <v>1</v>
      </c>
      <c r="J973" s="21">
        <f>Source!S777</f>
        <v>224.88</v>
      </c>
      <c r="K973" s="21"/>
    </row>
    <row r="974" spans="1:22" ht="14.25" x14ac:dyDescent="0.2">
      <c r="A974" s="18"/>
      <c r="B974" s="18"/>
      <c r="C974" s="18" t="s">
        <v>1101</v>
      </c>
      <c r="D974" s="19"/>
      <c r="E974" s="9"/>
      <c r="F974" s="21">
        <f>Source!AL777</f>
        <v>6.3</v>
      </c>
      <c r="G974" s="20" t="str">
        <f>Source!DD777</f>
        <v/>
      </c>
      <c r="H974" s="9">
        <f>Source!AW777</f>
        <v>1</v>
      </c>
      <c r="I974" s="9">
        <f>IF(Source!BC777&lt;&gt; 0, Source!BC777, 1)</f>
        <v>1</v>
      </c>
      <c r="J974" s="21">
        <f>Source!P777</f>
        <v>12.6</v>
      </c>
      <c r="K974" s="21"/>
    </row>
    <row r="975" spans="1:22" ht="14.25" x14ac:dyDescent="0.2">
      <c r="A975" s="18"/>
      <c r="B975" s="18"/>
      <c r="C975" s="18" t="s">
        <v>1102</v>
      </c>
      <c r="D975" s="19" t="s">
        <v>1103</v>
      </c>
      <c r="E975" s="9">
        <f>Source!AT777</f>
        <v>70</v>
      </c>
      <c r="F975" s="21"/>
      <c r="G975" s="20"/>
      <c r="H975" s="9"/>
      <c r="I975" s="9"/>
      <c r="J975" s="21">
        <f>SUM(R971:R974)</f>
        <v>157.41999999999999</v>
      </c>
      <c r="K975" s="21"/>
    </row>
    <row r="976" spans="1:22" ht="14.25" x14ac:dyDescent="0.2">
      <c r="A976" s="18"/>
      <c r="B976" s="18"/>
      <c r="C976" s="18" t="s">
        <v>1104</v>
      </c>
      <c r="D976" s="19" t="s">
        <v>1103</v>
      </c>
      <c r="E976" s="9">
        <f>Source!AU777</f>
        <v>10</v>
      </c>
      <c r="F976" s="21"/>
      <c r="G976" s="20"/>
      <c r="H976" s="9"/>
      <c r="I976" s="9"/>
      <c r="J976" s="21">
        <f>SUM(T971:T975)</f>
        <v>22.49</v>
      </c>
      <c r="K976" s="21"/>
    </row>
    <row r="977" spans="1:22" ht="14.25" x14ac:dyDescent="0.2">
      <c r="A977" s="18"/>
      <c r="B977" s="18"/>
      <c r="C977" s="18" t="s">
        <v>1105</v>
      </c>
      <c r="D977" s="19" t="s">
        <v>1106</v>
      </c>
      <c r="E977" s="9">
        <f>Source!AQ777</f>
        <v>0.2</v>
      </c>
      <c r="F977" s="21"/>
      <c r="G977" s="20" t="str">
        <f>Source!DI777</f>
        <v/>
      </c>
      <c r="H977" s="9">
        <f>Source!AV777</f>
        <v>1</v>
      </c>
      <c r="I977" s="9"/>
      <c r="J977" s="21"/>
      <c r="K977" s="21">
        <f>Source!U777</f>
        <v>0.4</v>
      </c>
    </row>
    <row r="978" spans="1:22" ht="15" x14ac:dyDescent="0.25">
      <c r="A978" s="23"/>
      <c r="B978" s="23"/>
      <c r="C978" s="23"/>
      <c r="D978" s="23"/>
      <c r="E978" s="23"/>
      <c r="F978" s="23"/>
      <c r="G978" s="23"/>
      <c r="H978" s="23"/>
      <c r="I978" s="44">
        <f>J973+J974+J975+J976</f>
        <v>417.39</v>
      </c>
      <c r="J978" s="44"/>
      <c r="K978" s="24">
        <f>IF(Source!I777&lt;&gt;0, ROUND(I978/Source!I777, 2), 0)</f>
        <v>208.7</v>
      </c>
      <c r="P978" s="22">
        <f>I978</f>
        <v>417.39</v>
      </c>
    </row>
    <row r="979" spans="1:22" ht="57" x14ac:dyDescent="0.2">
      <c r="A979" s="18">
        <v>106</v>
      </c>
      <c r="B979" s="18" t="str">
        <f>Source!F779</f>
        <v>1.21-2203-2-4/1</v>
      </c>
      <c r="C979" s="18" t="str">
        <f>Source!G779</f>
        <v>Техническое обслуживание силового распределительного пункта с установочными автоматами, число групп 10  ( РП3-2,ППУ-3)</v>
      </c>
      <c r="D979" s="19" t="str">
        <f>Source!H779</f>
        <v>шт.</v>
      </c>
      <c r="E979" s="9">
        <f>Source!I779</f>
        <v>1</v>
      </c>
      <c r="F979" s="21"/>
      <c r="G979" s="20"/>
      <c r="H979" s="9"/>
      <c r="I979" s="9"/>
      <c r="J979" s="21"/>
      <c r="K979" s="21"/>
      <c r="Q979">
        <f>ROUND((Source!BZ779/100)*ROUND((Source!AF779*Source!AV779)*Source!I779, 2), 2)</f>
        <v>7780.37</v>
      </c>
      <c r="R979">
        <f>Source!X779</f>
        <v>7780.37</v>
      </c>
      <c r="S979">
        <f>ROUND((Source!CA779/100)*ROUND((Source!AF779*Source!AV779)*Source!I779, 2), 2)</f>
        <v>1111.48</v>
      </c>
      <c r="T979">
        <f>Source!Y779</f>
        <v>1111.48</v>
      </c>
      <c r="U979">
        <f>ROUND((175/100)*ROUND((Source!AE779*Source!AV779)*Source!I779, 2), 2)</f>
        <v>0</v>
      </c>
      <c r="V979">
        <f>ROUND((108/100)*ROUND(Source!CS779*Source!I779, 2), 2)</f>
        <v>0</v>
      </c>
    </row>
    <row r="980" spans="1:22" ht="14.25" x14ac:dyDescent="0.2">
      <c r="A980" s="18"/>
      <c r="B980" s="18"/>
      <c r="C980" s="18" t="s">
        <v>1100</v>
      </c>
      <c r="D980" s="19"/>
      <c r="E980" s="9"/>
      <c r="F980" s="21">
        <f>Source!AO779</f>
        <v>11114.82</v>
      </c>
      <c r="G980" s="20" t="str">
        <f>Source!DG779</f>
        <v/>
      </c>
      <c r="H980" s="9">
        <f>Source!AV779</f>
        <v>1</v>
      </c>
      <c r="I980" s="9">
        <f>IF(Source!BA779&lt;&gt; 0, Source!BA779, 1)</f>
        <v>1</v>
      </c>
      <c r="J980" s="21">
        <f>Source!S779</f>
        <v>11114.82</v>
      </c>
      <c r="K980" s="21"/>
    </row>
    <row r="981" spans="1:22" ht="14.25" x14ac:dyDescent="0.2">
      <c r="A981" s="18"/>
      <c r="B981" s="18"/>
      <c r="C981" s="18" t="s">
        <v>1101</v>
      </c>
      <c r="D981" s="19"/>
      <c r="E981" s="9"/>
      <c r="F981" s="21">
        <f>Source!AL779</f>
        <v>154.13999999999999</v>
      </c>
      <c r="G981" s="20" t="str">
        <f>Source!DD779</f>
        <v/>
      </c>
      <c r="H981" s="9">
        <f>Source!AW779</f>
        <v>1</v>
      </c>
      <c r="I981" s="9">
        <f>IF(Source!BC779&lt;&gt; 0, Source!BC779, 1)</f>
        <v>1</v>
      </c>
      <c r="J981" s="21">
        <f>Source!P779</f>
        <v>154.13999999999999</v>
      </c>
      <c r="K981" s="21"/>
    </row>
    <row r="982" spans="1:22" ht="14.25" x14ac:dyDescent="0.2">
      <c r="A982" s="18"/>
      <c r="B982" s="18"/>
      <c r="C982" s="18" t="s">
        <v>1102</v>
      </c>
      <c r="D982" s="19" t="s">
        <v>1103</v>
      </c>
      <c r="E982" s="9">
        <f>Source!AT779</f>
        <v>70</v>
      </c>
      <c r="F982" s="21"/>
      <c r="G982" s="20"/>
      <c r="H982" s="9"/>
      <c r="I982" s="9"/>
      <c r="J982" s="21">
        <f>SUM(R979:R981)</f>
        <v>7780.37</v>
      </c>
      <c r="K982" s="21"/>
    </row>
    <row r="983" spans="1:22" ht="14.25" x14ac:dyDescent="0.2">
      <c r="A983" s="18"/>
      <c r="B983" s="18"/>
      <c r="C983" s="18" t="s">
        <v>1104</v>
      </c>
      <c r="D983" s="19" t="s">
        <v>1103</v>
      </c>
      <c r="E983" s="9">
        <f>Source!AU779</f>
        <v>10</v>
      </c>
      <c r="F983" s="21"/>
      <c r="G983" s="20"/>
      <c r="H983" s="9"/>
      <c r="I983" s="9"/>
      <c r="J983" s="21">
        <f>SUM(T979:T982)</f>
        <v>1111.48</v>
      </c>
      <c r="K983" s="21"/>
    </row>
    <row r="984" spans="1:22" ht="14.25" x14ac:dyDescent="0.2">
      <c r="A984" s="18"/>
      <c r="B984" s="18"/>
      <c r="C984" s="18" t="s">
        <v>1105</v>
      </c>
      <c r="D984" s="19" t="s">
        <v>1106</v>
      </c>
      <c r="E984" s="9">
        <f>Source!AQ779</f>
        <v>18</v>
      </c>
      <c r="F984" s="21"/>
      <c r="G984" s="20" t="str">
        <f>Source!DI779</f>
        <v/>
      </c>
      <c r="H984" s="9">
        <f>Source!AV779</f>
        <v>1</v>
      </c>
      <c r="I984" s="9"/>
      <c r="J984" s="21"/>
      <c r="K984" s="21">
        <f>Source!U779</f>
        <v>18</v>
      </c>
    </row>
    <row r="985" spans="1:22" ht="15" x14ac:dyDescent="0.25">
      <c r="A985" s="23"/>
      <c r="B985" s="23"/>
      <c r="C985" s="23"/>
      <c r="D985" s="23"/>
      <c r="E985" s="23"/>
      <c r="F985" s="23"/>
      <c r="G985" s="23"/>
      <c r="H985" s="23"/>
      <c r="I985" s="44">
        <f>J980+J981+J982+J983</f>
        <v>20160.809999999998</v>
      </c>
      <c r="J985" s="44"/>
      <c r="K985" s="24">
        <f>IF(Source!I779&lt;&gt;0, ROUND(I985/Source!I779, 2), 0)</f>
        <v>20160.810000000001</v>
      </c>
      <c r="P985" s="22">
        <f>I985</f>
        <v>20160.809999999998</v>
      </c>
    </row>
    <row r="986" spans="1:22" ht="57" x14ac:dyDescent="0.2">
      <c r="A986" s="18">
        <v>107</v>
      </c>
      <c r="B986" s="18" t="str">
        <f>Source!F781</f>
        <v>1.21-2203-2-3/1</v>
      </c>
      <c r="C986" s="18" t="str">
        <f>Source!G781</f>
        <v>Техническое обслуживание силового распределительного пункта с установочными автоматами, число групп 8 / РП3-2</v>
      </c>
      <c r="D986" s="19" t="str">
        <f>Source!H781</f>
        <v>шт.</v>
      </c>
      <c r="E986" s="9">
        <f>Source!I781</f>
        <v>2</v>
      </c>
      <c r="F986" s="21"/>
      <c r="G986" s="20"/>
      <c r="H986" s="9"/>
      <c r="I986" s="9"/>
      <c r="J986" s="21"/>
      <c r="K986" s="21"/>
      <c r="Q986">
        <f>ROUND((Source!BZ781/100)*ROUND((Source!AF781*Source!AV781)*Source!I781, 2), 2)</f>
        <v>12967.29</v>
      </c>
      <c r="R986">
        <f>Source!X781</f>
        <v>12967.29</v>
      </c>
      <c r="S986">
        <f>ROUND((Source!CA781/100)*ROUND((Source!AF781*Source!AV781)*Source!I781, 2), 2)</f>
        <v>1852.47</v>
      </c>
      <c r="T986">
        <f>Source!Y781</f>
        <v>1852.47</v>
      </c>
      <c r="U986">
        <f>ROUND((175/100)*ROUND((Source!AE781*Source!AV781)*Source!I781, 2), 2)</f>
        <v>0</v>
      </c>
      <c r="V986">
        <f>ROUND((108/100)*ROUND(Source!CS781*Source!I781, 2), 2)</f>
        <v>0</v>
      </c>
    </row>
    <row r="987" spans="1:22" ht="14.25" x14ac:dyDescent="0.2">
      <c r="A987" s="18"/>
      <c r="B987" s="18"/>
      <c r="C987" s="18" t="s">
        <v>1100</v>
      </c>
      <c r="D987" s="19"/>
      <c r="E987" s="9"/>
      <c r="F987" s="21">
        <f>Source!AO781</f>
        <v>9262.35</v>
      </c>
      <c r="G987" s="20" t="str">
        <f>Source!DG781</f>
        <v/>
      </c>
      <c r="H987" s="9">
        <f>Source!AV781</f>
        <v>1</v>
      </c>
      <c r="I987" s="9">
        <f>IF(Source!BA781&lt;&gt; 0, Source!BA781, 1)</f>
        <v>1</v>
      </c>
      <c r="J987" s="21">
        <f>Source!S781</f>
        <v>18524.7</v>
      </c>
      <c r="K987" s="21"/>
    </row>
    <row r="988" spans="1:22" ht="14.25" x14ac:dyDescent="0.2">
      <c r="A988" s="18"/>
      <c r="B988" s="18"/>
      <c r="C988" s="18" t="s">
        <v>1101</v>
      </c>
      <c r="D988" s="19"/>
      <c r="E988" s="9"/>
      <c r="F988" s="21">
        <f>Source!AL781</f>
        <v>128.44999999999999</v>
      </c>
      <c r="G988" s="20" t="str">
        <f>Source!DD781</f>
        <v/>
      </c>
      <c r="H988" s="9">
        <f>Source!AW781</f>
        <v>1</v>
      </c>
      <c r="I988" s="9">
        <f>IF(Source!BC781&lt;&gt; 0, Source!BC781, 1)</f>
        <v>1</v>
      </c>
      <c r="J988" s="21">
        <f>Source!P781</f>
        <v>256.89999999999998</v>
      </c>
      <c r="K988" s="21"/>
    </row>
    <row r="989" spans="1:22" ht="14.25" x14ac:dyDescent="0.2">
      <c r="A989" s="18"/>
      <c r="B989" s="18"/>
      <c r="C989" s="18" t="s">
        <v>1102</v>
      </c>
      <c r="D989" s="19" t="s">
        <v>1103</v>
      </c>
      <c r="E989" s="9">
        <f>Source!AT781</f>
        <v>70</v>
      </c>
      <c r="F989" s="21"/>
      <c r="G989" s="20"/>
      <c r="H989" s="9"/>
      <c r="I989" s="9"/>
      <c r="J989" s="21">
        <f>SUM(R986:R988)</f>
        <v>12967.29</v>
      </c>
      <c r="K989" s="21"/>
    </row>
    <row r="990" spans="1:22" ht="14.25" x14ac:dyDescent="0.2">
      <c r="A990" s="18"/>
      <c r="B990" s="18"/>
      <c r="C990" s="18" t="s">
        <v>1104</v>
      </c>
      <c r="D990" s="19" t="s">
        <v>1103</v>
      </c>
      <c r="E990" s="9">
        <f>Source!AU781</f>
        <v>10</v>
      </c>
      <c r="F990" s="21"/>
      <c r="G990" s="20"/>
      <c r="H990" s="9"/>
      <c r="I990" s="9"/>
      <c r="J990" s="21">
        <f>SUM(T986:T989)</f>
        <v>1852.47</v>
      </c>
      <c r="K990" s="21"/>
    </row>
    <row r="991" spans="1:22" ht="14.25" x14ac:dyDescent="0.2">
      <c r="A991" s="18"/>
      <c r="B991" s="18"/>
      <c r="C991" s="18" t="s">
        <v>1105</v>
      </c>
      <c r="D991" s="19" t="s">
        <v>1106</v>
      </c>
      <c r="E991" s="9">
        <f>Source!AQ781</f>
        <v>15</v>
      </c>
      <c r="F991" s="21"/>
      <c r="G991" s="20" t="str">
        <f>Source!DI781</f>
        <v/>
      </c>
      <c r="H991" s="9">
        <f>Source!AV781</f>
        <v>1</v>
      </c>
      <c r="I991" s="9"/>
      <c r="J991" s="21"/>
      <c r="K991" s="21">
        <f>Source!U781</f>
        <v>30</v>
      </c>
    </row>
    <row r="992" spans="1:22" ht="15" x14ac:dyDescent="0.25">
      <c r="A992" s="23"/>
      <c r="B992" s="23"/>
      <c r="C992" s="23"/>
      <c r="D992" s="23"/>
      <c r="E992" s="23"/>
      <c r="F992" s="23"/>
      <c r="G992" s="23"/>
      <c r="H992" s="23"/>
      <c r="I992" s="44">
        <f>J987+J988+J989+J990</f>
        <v>33601.360000000001</v>
      </c>
      <c r="J992" s="44"/>
      <c r="K992" s="24">
        <f>IF(Source!I781&lt;&gt;0, ROUND(I992/Source!I781, 2), 0)</f>
        <v>16800.68</v>
      </c>
      <c r="P992" s="22">
        <f>I992</f>
        <v>33601.360000000001</v>
      </c>
    </row>
    <row r="993" spans="1:22" ht="42.75" x14ac:dyDescent="0.2">
      <c r="A993" s="18">
        <v>108</v>
      </c>
      <c r="B993" s="18" t="str">
        <f>Source!F783</f>
        <v>1.21-2303-32-1/1</v>
      </c>
      <c r="C993" s="18" t="str">
        <f>Source!G783</f>
        <v>Техническое обслуживание быстродействующего автоматического ввода резерва (БАВР) / АВР3</v>
      </c>
      <c r="D993" s="19" t="str">
        <f>Source!H783</f>
        <v>шт.</v>
      </c>
      <c r="E993" s="9">
        <f>Source!I783</f>
        <v>1</v>
      </c>
      <c r="F993" s="21"/>
      <c r="G993" s="20"/>
      <c r="H993" s="9"/>
      <c r="I993" s="9"/>
      <c r="J993" s="21"/>
      <c r="K993" s="21"/>
      <c r="Q993">
        <f>ROUND((Source!BZ783/100)*ROUND((Source!AF783*Source!AV783)*Source!I783, 2), 2)</f>
        <v>1202.17</v>
      </c>
      <c r="R993">
        <f>Source!X783</f>
        <v>1202.17</v>
      </c>
      <c r="S993">
        <f>ROUND((Source!CA783/100)*ROUND((Source!AF783*Source!AV783)*Source!I783, 2), 2)</f>
        <v>171.74</v>
      </c>
      <c r="T993">
        <f>Source!Y783</f>
        <v>171.74</v>
      </c>
      <c r="U993">
        <f>ROUND((175/100)*ROUND((Source!AE783*Source!AV783)*Source!I783, 2), 2)</f>
        <v>0</v>
      </c>
      <c r="V993">
        <f>ROUND((108/100)*ROUND(Source!CS783*Source!I783, 2), 2)</f>
        <v>0</v>
      </c>
    </row>
    <row r="994" spans="1:22" ht="14.25" x14ac:dyDescent="0.2">
      <c r="A994" s="18"/>
      <c r="B994" s="18"/>
      <c r="C994" s="18" t="s">
        <v>1100</v>
      </c>
      <c r="D994" s="19"/>
      <c r="E994" s="9"/>
      <c r="F994" s="21">
        <f>Source!AO783</f>
        <v>1717.38</v>
      </c>
      <c r="G994" s="20" t="str">
        <f>Source!DG783</f>
        <v/>
      </c>
      <c r="H994" s="9">
        <f>Source!AV783</f>
        <v>1</v>
      </c>
      <c r="I994" s="9">
        <f>IF(Source!BA783&lt;&gt; 0, Source!BA783, 1)</f>
        <v>1</v>
      </c>
      <c r="J994" s="21">
        <f>Source!S783</f>
        <v>1717.38</v>
      </c>
      <c r="K994" s="21"/>
    </row>
    <row r="995" spans="1:22" ht="14.25" x14ac:dyDescent="0.2">
      <c r="A995" s="18"/>
      <c r="B995" s="18"/>
      <c r="C995" s="18" t="s">
        <v>1101</v>
      </c>
      <c r="D995" s="19"/>
      <c r="E995" s="9"/>
      <c r="F995" s="21">
        <f>Source!AL783</f>
        <v>1206.82</v>
      </c>
      <c r="G995" s="20" t="str">
        <f>Source!DD783</f>
        <v/>
      </c>
      <c r="H995" s="9">
        <f>Source!AW783</f>
        <v>1</v>
      </c>
      <c r="I995" s="9">
        <f>IF(Source!BC783&lt;&gt; 0, Source!BC783, 1)</f>
        <v>1</v>
      </c>
      <c r="J995" s="21">
        <f>Source!P783</f>
        <v>1206.82</v>
      </c>
      <c r="K995" s="21"/>
    </row>
    <row r="996" spans="1:22" ht="14.25" x14ac:dyDescent="0.2">
      <c r="A996" s="18"/>
      <c r="B996" s="18"/>
      <c r="C996" s="18" t="s">
        <v>1102</v>
      </c>
      <c r="D996" s="19" t="s">
        <v>1103</v>
      </c>
      <c r="E996" s="9">
        <f>Source!AT783</f>
        <v>70</v>
      </c>
      <c r="F996" s="21"/>
      <c r="G996" s="20"/>
      <c r="H996" s="9"/>
      <c r="I996" s="9"/>
      <c r="J996" s="21">
        <f>SUM(R993:R995)</f>
        <v>1202.17</v>
      </c>
      <c r="K996" s="21"/>
    </row>
    <row r="997" spans="1:22" ht="14.25" x14ac:dyDescent="0.2">
      <c r="A997" s="18"/>
      <c r="B997" s="18"/>
      <c r="C997" s="18" t="s">
        <v>1104</v>
      </c>
      <c r="D997" s="19" t="s">
        <v>1103</v>
      </c>
      <c r="E997" s="9">
        <f>Source!AU783</f>
        <v>10</v>
      </c>
      <c r="F997" s="21"/>
      <c r="G997" s="20"/>
      <c r="H997" s="9"/>
      <c r="I997" s="9"/>
      <c r="J997" s="21">
        <f>SUM(T993:T996)</f>
        <v>171.74</v>
      </c>
      <c r="K997" s="21"/>
    </row>
    <row r="998" spans="1:22" ht="14.25" x14ac:dyDescent="0.2">
      <c r="A998" s="18"/>
      <c r="B998" s="18"/>
      <c r="C998" s="18" t="s">
        <v>1105</v>
      </c>
      <c r="D998" s="19" t="s">
        <v>1106</v>
      </c>
      <c r="E998" s="9">
        <f>Source!AQ783</f>
        <v>2.42</v>
      </c>
      <c r="F998" s="21"/>
      <c r="G998" s="20" t="str">
        <f>Source!DI783</f>
        <v/>
      </c>
      <c r="H998" s="9">
        <f>Source!AV783</f>
        <v>1</v>
      </c>
      <c r="I998" s="9"/>
      <c r="J998" s="21"/>
      <c r="K998" s="21">
        <f>Source!U783</f>
        <v>2.42</v>
      </c>
    </row>
    <row r="999" spans="1:22" ht="15" x14ac:dyDescent="0.25">
      <c r="A999" s="23"/>
      <c r="B999" s="23"/>
      <c r="C999" s="23"/>
      <c r="D999" s="23"/>
      <c r="E999" s="23"/>
      <c r="F999" s="23"/>
      <c r="G999" s="23"/>
      <c r="H999" s="23"/>
      <c r="I999" s="44">
        <f>J994+J995+J996+J997</f>
        <v>4298.1099999999997</v>
      </c>
      <c r="J999" s="44"/>
      <c r="K999" s="24">
        <f>IF(Source!I783&lt;&gt;0, ROUND(I999/Source!I783, 2), 0)</f>
        <v>4298.1099999999997</v>
      </c>
      <c r="P999" s="22">
        <f>I999</f>
        <v>4298.1099999999997</v>
      </c>
    </row>
    <row r="1000" spans="1:22" ht="71.25" x14ac:dyDescent="0.2">
      <c r="A1000" s="18">
        <v>109</v>
      </c>
      <c r="B1000" s="18" t="str">
        <f>Source!F786</f>
        <v>1.21-2303-40-1/1</v>
      </c>
      <c r="C1000" s="18" t="str">
        <f>Source!G786</f>
        <v>Техническое обслуживание измерителя мощности типа PM710MG на лицевой панели распределительного устройства - полугодовое</v>
      </c>
      <c r="D1000" s="19" t="str">
        <f>Source!H786</f>
        <v>шт.</v>
      </c>
      <c r="E1000" s="9">
        <f>Source!I786</f>
        <v>1</v>
      </c>
      <c r="F1000" s="21"/>
      <c r="G1000" s="20"/>
      <c r="H1000" s="9"/>
      <c r="I1000" s="9"/>
      <c r="J1000" s="21"/>
      <c r="K1000" s="21"/>
      <c r="Q1000">
        <f>ROUND((Source!BZ786/100)*ROUND((Source!AF786*Source!AV786)*Source!I786, 2), 2)</f>
        <v>78.709999999999994</v>
      </c>
      <c r="R1000">
        <f>Source!X786</f>
        <v>78.709999999999994</v>
      </c>
      <c r="S1000">
        <f>ROUND((Source!CA786/100)*ROUND((Source!AF786*Source!AV786)*Source!I786, 2), 2)</f>
        <v>11.24</v>
      </c>
      <c r="T1000">
        <f>Source!Y786</f>
        <v>11.24</v>
      </c>
      <c r="U1000">
        <f>ROUND((175/100)*ROUND((Source!AE786*Source!AV786)*Source!I786, 2), 2)</f>
        <v>0</v>
      </c>
      <c r="V1000">
        <f>ROUND((108/100)*ROUND(Source!CS786*Source!I786, 2), 2)</f>
        <v>0</v>
      </c>
    </row>
    <row r="1001" spans="1:22" ht="14.25" x14ac:dyDescent="0.2">
      <c r="A1001" s="18"/>
      <c r="B1001" s="18"/>
      <c r="C1001" s="18" t="s">
        <v>1100</v>
      </c>
      <c r="D1001" s="19"/>
      <c r="E1001" s="9"/>
      <c r="F1001" s="21">
        <f>Source!AO786</f>
        <v>112.44</v>
      </c>
      <c r="G1001" s="20" t="str">
        <f>Source!DG786</f>
        <v/>
      </c>
      <c r="H1001" s="9">
        <f>Source!AV786</f>
        <v>1</v>
      </c>
      <c r="I1001" s="9">
        <f>IF(Source!BA786&lt;&gt; 0, Source!BA786, 1)</f>
        <v>1</v>
      </c>
      <c r="J1001" s="21">
        <f>Source!S786</f>
        <v>112.44</v>
      </c>
      <c r="K1001" s="21"/>
    </row>
    <row r="1002" spans="1:22" ht="14.25" x14ac:dyDescent="0.2">
      <c r="A1002" s="18"/>
      <c r="B1002" s="18"/>
      <c r="C1002" s="18" t="s">
        <v>1101</v>
      </c>
      <c r="D1002" s="19"/>
      <c r="E1002" s="9"/>
      <c r="F1002" s="21">
        <f>Source!AL786</f>
        <v>6.3</v>
      </c>
      <c r="G1002" s="20" t="str">
        <f>Source!DD786</f>
        <v/>
      </c>
      <c r="H1002" s="9">
        <f>Source!AW786</f>
        <v>1</v>
      </c>
      <c r="I1002" s="9">
        <f>IF(Source!BC786&lt;&gt; 0, Source!BC786, 1)</f>
        <v>1</v>
      </c>
      <c r="J1002" s="21">
        <f>Source!P786</f>
        <v>6.3</v>
      </c>
      <c r="K1002" s="21"/>
    </row>
    <row r="1003" spans="1:22" ht="14.25" x14ac:dyDescent="0.2">
      <c r="A1003" s="18"/>
      <c r="B1003" s="18"/>
      <c r="C1003" s="18" t="s">
        <v>1102</v>
      </c>
      <c r="D1003" s="19" t="s">
        <v>1103</v>
      </c>
      <c r="E1003" s="9">
        <f>Source!AT786</f>
        <v>70</v>
      </c>
      <c r="F1003" s="21"/>
      <c r="G1003" s="20"/>
      <c r="H1003" s="9"/>
      <c r="I1003" s="9"/>
      <c r="J1003" s="21">
        <f>SUM(R1000:R1002)</f>
        <v>78.709999999999994</v>
      </c>
      <c r="K1003" s="21"/>
    </row>
    <row r="1004" spans="1:22" ht="14.25" x14ac:dyDescent="0.2">
      <c r="A1004" s="18"/>
      <c r="B1004" s="18"/>
      <c r="C1004" s="18" t="s">
        <v>1104</v>
      </c>
      <c r="D1004" s="19" t="s">
        <v>1103</v>
      </c>
      <c r="E1004" s="9">
        <f>Source!AU786</f>
        <v>10</v>
      </c>
      <c r="F1004" s="21"/>
      <c r="G1004" s="20"/>
      <c r="H1004" s="9"/>
      <c r="I1004" s="9"/>
      <c r="J1004" s="21">
        <f>SUM(T1000:T1003)</f>
        <v>11.24</v>
      </c>
      <c r="K1004" s="21"/>
    </row>
    <row r="1005" spans="1:22" ht="14.25" x14ac:dyDescent="0.2">
      <c r="A1005" s="18"/>
      <c r="B1005" s="18"/>
      <c r="C1005" s="18" t="s">
        <v>1105</v>
      </c>
      <c r="D1005" s="19" t="s">
        <v>1106</v>
      </c>
      <c r="E1005" s="9">
        <f>Source!AQ786</f>
        <v>0.2</v>
      </c>
      <c r="F1005" s="21"/>
      <c r="G1005" s="20" t="str">
        <f>Source!DI786</f>
        <v/>
      </c>
      <c r="H1005" s="9">
        <f>Source!AV786</f>
        <v>1</v>
      </c>
      <c r="I1005" s="9"/>
      <c r="J1005" s="21"/>
      <c r="K1005" s="21">
        <f>Source!U786</f>
        <v>0.2</v>
      </c>
    </row>
    <row r="1006" spans="1:22" ht="15" x14ac:dyDescent="0.25">
      <c r="A1006" s="23"/>
      <c r="B1006" s="23"/>
      <c r="C1006" s="23"/>
      <c r="D1006" s="23"/>
      <c r="E1006" s="23"/>
      <c r="F1006" s="23"/>
      <c r="G1006" s="23"/>
      <c r="H1006" s="23"/>
      <c r="I1006" s="44">
        <f>J1001+J1002+J1003+J1004</f>
        <v>208.69</v>
      </c>
      <c r="J1006" s="44"/>
      <c r="K1006" s="24">
        <f>IF(Source!I786&lt;&gt;0, ROUND(I1006/Source!I786, 2), 0)</f>
        <v>208.69</v>
      </c>
      <c r="P1006" s="22">
        <f>I1006</f>
        <v>208.69</v>
      </c>
    </row>
    <row r="1007" spans="1:22" ht="57" x14ac:dyDescent="0.2">
      <c r="A1007" s="18">
        <v>110</v>
      </c>
      <c r="B1007" s="18" t="str">
        <f>Source!F790</f>
        <v>1.21-2103-9-3/1</v>
      </c>
      <c r="C1007" s="18" t="str">
        <f>Source!G790</f>
        <v>Техническое обслуживание силовых сетей, проложенных по кирпичным и бетонным основаниям, провод сечением 4х1,5-6 мм2 / 10х2,5</v>
      </c>
      <c r="D1007" s="19" t="str">
        <f>Source!H790</f>
        <v>100 м</v>
      </c>
      <c r="E1007" s="9">
        <f>Source!I790</f>
        <v>6.0000000000000001E-3</v>
      </c>
      <c r="F1007" s="21"/>
      <c r="G1007" s="20"/>
      <c r="H1007" s="9"/>
      <c r="I1007" s="9"/>
      <c r="J1007" s="21"/>
      <c r="K1007" s="21"/>
      <c r="Q1007">
        <f>ROUND((Source!BZ790/100)*ROUND((Source!AF790*Source!AV790)*Source!I790, 2), 2)</f>
        <v>25.23</v>
      </c>
      <c r="R1007">
        <f>Source!X790</f>
        <v>25.23</v>
      </c>
      <c r="S1007">
        <f>ROUND((Source!CA790/100)*ROUND((Source!AF790*Source!AV790)*Source!I790, 2), 2)</f>
        <v>3.6</v>
      </c>
      <c r="T1007">
        <f>Source!Y790</f>
        <v>3.6</v>
      </c>
      <c r="U1007">
        <f>ROUND((175/100)*ROUND((Source!AE790*Source!AV790)*Source!I790, 2), 2)</f>
        <v>0</v>
      </c>
      <c r="V1007">
        <f>ROUND((108/100)*ROUND(Source!CS790*Source!I790, 2), 2)</f>
        <v>0</v>
      </c>
    </row>
    <row r="1008" spans="1:22" x14ac:dyDescent="0.2">
      <c r="C1008" s="28" t="str">
        <f>"Объем: "&amp;Source!I790&amp;"=(10+"&amp;"10+"&amp;"10)*"&amp;"0,2*"&amp;"0,1/"&amp;"100"</f>
        <v>Объем: 0,006=(10+10+10)*0,2*0,1/100</v>
      </c>
    </row>
    <row r="1009" spans="1:22" ht="14.25" x14ac:dyDescent="0.2">
      <c r="A1009" s="18"/>
      <c r="B1009" s="18"/>
      <c r="C1009" s="18" t="s">
        <v>1100</v>
      </c>
      <c r="D1009" s="19"/>
      <c r="E1009" s="9"/>
      <c r="F1009" s="21">
        <f>Source!AO790</f>
        <v>6006.24</v>
      </c>
      <c r="G1009" s="20" t="str">
        <f>Source!DG790</f>
        <v/>
      </c>
      <c r="H1009" s="9">
        <f>Source!AV790</f>
        <v>1</v>
      </c>
      <c r="I1009" s="9">
        <f>IF(Source!BA790&lt;&gt; 0, Source!BA790, 1)</f>
        <v>1</v>
      </c>
      <c r="J1009" s="21">
        <f>Source!S790</f>
        <v>36.04</v>
      </c>
      <c r="K1009" s="21"/>
    </row>
    <row r="1010" spans="1:22" ht="14.25" x14ac:dyDescent="0.2">
      <c r="A1010" s="18"/>
      <c r="B1010" s="18"/>
      <c r="C1010" s="18" t="s">
        <v>1101</v>
      </c>
      <c r="D1010" s="19"/>
      <c r="E1010" s="9"/>
      <c r="F1010" s="21">
        <f>Source!AL790</f>
        <v>14.63</v>
      </c>
      <c r="G1010" s="20" t="str">
        <f>Source!DD790</f>
        <v/>
      </c>
      <c r="H1010" s="9">
        <f>Source!AW790</f>
        <v>1</v>
      </c>
      <c r="I1010" s="9">
        <f>IF(Source!BC790&lt;&gt; 0, Source!BC790, 1)</f>
        <v>1</v>
      </c>
      <c r="J1010" s="21">
        <f>Source!P790</f>
        <v>0.09</v>
      </c>
      <c r="K1010" s="21"/>
    </row>
    <row r="1011" spans="1:22" ht="14.25" x14ac:dyDescent="0.2">
      <c r="A1011" s="18"/>
      <c r="B1011" s="18"/>
      <c r="C1011" s="18" t="s">
        <v>1102</v>
      </c>
      <c r="D1011" s="19" t="s">
        <v>1103</v>
      </c>
      <c r="E1011" s="9">
        <f>Source!AT790</f>
        <v>70</v>
      </c>
      <c r="F1011" s="21"/>
      <c r="G1011" s="20"/>
      <c r="H1011" s="9"/>
      <c r="I1011" s="9"/>
      <c r="J1011" s="21">
        <f>SUM(R1007:R1010)</f>
        <v>25.23</v>
      </c>
      <c r="K1011" s="21"/>
    </row>
    <row r="1012" spans="1:22" ht="14.25" x14ac:dyDescent="0.2">
      <c r="A1012" s="18"/>
      <c r="B1012" s="18"/>
      <c r="C1012" s="18" t="s">
        <v>1104</v>
      </c>
      <c r="D1012" s="19" t="s">
        <v>1103</v>
      </c>
      <c r="E1012" s="9">
        <f>Source!AU790</f>
        <v>10</v>
      </c>
      <c r="F1012" s="21"/>
      <c r="G1012" s="20"/>
      <c r="H1012" s="9"/>
      <c r="I1012" s="9"/>
      <c r="J1012" s="21">
        <f>SUM(T1007:T1011)</f>
        <v>3.6</v>
      </c>
      <c r="K1012" s="21"/>
    </row>
    <row r="1013" spans="1:22" ht="14.25" x14ac:dyDescent="0.2">
      <c r="A1013" s="18"/>
      <c r="B1013" s="18"/>
      <c r="C1013" s="18" t="s">
        <v>1105</v>
      </c>
      <c r="D1013" s="19" t="s">
        <v>1106</v>
      </c>
      <c r="E1013" s="9">
        <f>Source!AQ790</f>
        <v>11.22</v>
      </c>
      <c r="F1013" s="21"/>
      <c r="G1013" s="20" t="str">
        <f>Source!DI790</f>
        <v/>
      </c>
      <c r="H1013" s="9">
        <f>Source!AV790</f>
        <v>1</v>
      </c>
      <c r="I1013" s="9"/>
      <c r="J1013" s="21"/>
      <c r="K1013" s="21">
        <f>Source!U790</f>
        <v>6.7320000000000005E-2</v>
      </c>
    </row>
    <row r="1014" spans="1:22" ht="15" x14ac:dyDescent="0.25">
      <c r="A1014" s="23"/>
      <c r="B1014" s="23"/>
      <c r="C1014" s="23"/>
      <c r="D1014" s="23"/>
      <c r="E1014" s="23"/>
      <c r="F1014" s="23"/>
      <c r="G1014" s="23"/>
      <c r="H1014" s="23"/>
      <c r="I1014" s="44">
        <f>J1009+J1010+J1011+J1012</f>
        <v>64.959999999999994</v>
      </c>
      <c r="J1014" s="44"/>
      <c r="K1014" s="24">
        <f>IF(Source!I790&lt;&gt;0, ROUND(I1014/Source!I790, 2), 0)</f>
        <v>10826.67</v>
      </c>
      <c r="P1014" s="22">
        <f>I1014</f>
        <v>64.959999999999994</v>
      </c>
    </row>
    <row r="1015" spans="1:22" ht="71.25" x14ac:dyDescent="0.2">
      <c r="A1015" s="18">
        <v>111</v>
      </c>
      <c r="B1015" s="18" t="str">
        <f>Source!F791</f>
        <v>1.21-2103-9-4/1</v>
      </c>
      <c r="C1015" s="18" t="str">
        <f>Source!G791</f>
        <v>Техническое обслуживание силовых сетей, проложенных по кирпичным и бетонным основаниям, добавлять на каждый следующий провод к поз. 21-2103-9-3</v>
      </c>
      <c r="D1015" s="19" t="str">
        <f>Source!H791</f>
        <v>100 м</v>
      </c>
      <c r="E1015" s="9">
        <f>Source!I791</f>
        <v>6.0000000000000001E-3</v>
      </c>
      <c r="F1015" s="21"/>
      <c r="G1015" s="20"/>
      <c r="H1015" s="9"/>
      <c r="I1015" s="9"/>
      <c r="J1015" s="21"/>
      <c r="K1015" s="21"/>
      <c r="Q1015">
        <f>ROUND((Source!BZ791/100)*ROUND((Source!AF791*Source!AV791)*Source!I791, 2), 2)</f>
        <v>4.59</v>
      </c>
      <c r="R1015">
        <f>Source!X791</f>
        <v>4.59</v>
      </c>
      <c r="S1015">
        <f>ROUND((Source!CA791/100)*ROUND((Source!AF791*Source!AV791)*Source!I791, 2), 2)</f>
        <v>0.66</v>
      </c>
      <c r="T1015">
        <f>Source!Y791</f>
        <v>0.66</v>
      </c>
      <c r="U1015">
        <f>ROUND((175/100)*ROUND((Source!AE791*Source!AV791)*Source!I791, 2), 2)</f>
        <v>0</v>
      </c>
      <c r="V1015">
        <f>ROUND((108/100)*ROUND(Source!CS791*Source!I791, 2), 2)</f>
        <v>0</v>
      </c>
    </row>
    <row r="1016" spans="1:22" x14ac:dyDescent="0.2">
      <c r="C1016" s="28" t="str">
        <f>"Объем: "&amp;Source!I791&amp;"=(10+"&amp;"10+"&amp;"10)*"&amp;"0,2*"&amp;"0,1/"&amp;"100"</f>
        <v>Объем: 0,006=(10+10+10)*0,2*0,1/100</v>
      </c>
    </row>
    <row r="1017" spans="1:22" ht="14.25" x14ac:dyDescent="0.2">
      <c r="A1017" s="18"/>
      <c r="B1017" s="18"/>
      <c r="C1017" s="18" t="s">
        <v>1100</v>
      </c>
      <c r="D1017" s="19"/>
      <c r="E1017" s="9"/>
      <c r="F1017" s="21">
        <f>Source!AO791</f>
        <v>1092.04</v>
      </c>
      <c r="G1017" s="20" t="str">
        <f>Source!DG791</f>
        <v/>
      </c>
      <c r="H1017" s="9">
        <f>Source!AV791</f>
        <v>1</v>
      </c>
      <c r="I1017" s="9">
        <f>IF(Source!BA791&lt;&gt; 0, Source!BA791, 1)</f>
        <v>1</v>
      </c>
      <c r="J1017" s="21">
        <f>Source!S791</f>
        <v>6.55</v>
      </c>
      <c r="K1017" s="21"/>
    </row>
    <row r="1018" spans="1:22" ht="14.25" x14ac:dyDescent="0.2">
      <c r="A1018" s="18"/>
      <c r="B1018" s="18"/>
      <c r="C1018" s="18" t="s">
        <v>1102</v>
      </c>
      <c r="D1018" s="19" t="s">
        <v>1103</v>
      </c>
      <c r="E1018" s="9">
        <f>Source!AT791</f>
        <v>70</v>
      </c>
      <c r="F1018" s="21"/>
      <c r="G1018" s="20"/>
      <c r="H1018" s="9"/>
      <c r="I1018" s="9"/>
      <c r="J1018" s="21">
        <f>SUM(R1015:R1017)</f>
        <v>4.59</v>
      </c>
      <c r="K1018" s="21"/>
    </row>
    <row r="1019" spans="1:22" ht="14.25" x14ac:dyDescent="0.2">
      <c r="A1019" s="18"/>
      <c r="B1019" s="18"/>
      <c r="C1019" s="18" t="s">
        <v>1104</v>
      </c>
      <c r="D1019" s="19" t="s">
        <v>1103</v>
      </c>
      <c r="E1019" s="9">
        <f>Source!AU791</f>
        <v>10</v>
      </c>
      <c r="F1019" s="21"/>
      <c r="G1019" s="20"/>
      <c r="H1019" s="9"/>
      <c r="I1019" s="9"/>
      <c r="J1019" s="21">
        <f>SUM(T1015:T1018)</f>
        <v>0.66</v>
      </c>
      <c r="K1019" s="21"/>
    </row>
    <row r="1020" spans="1:22" ht="14.25" x14ac:dyDescent="0.2">
      <c r="A1020" s="18"/>
      <c r="B1020" s="18"/>
      <c r="C1020" s="18" t="s">
        <v>1105</v>
      </c>
      <c r="D1020" s="19" t="s">
        <v>1106</v>
      </c>
      <c r="E1020" s="9">
        <f>Source!AQ791</f>
        <v>2.04</v>
      </c>
      <c r="F1020" s="21"/>
      <c r="G1020" s="20" t="str">
        <f>Source!DI791</f>
        <v/>
      </c>
      <c r="H1020" s="9">
        <f>Source!AV791</f>
        <v>1</v>
      </c>
      <c r="I1020" s="9"/>
      <c r="J1020" s="21"/>
      <c r="K1020" s="21">
        <f>Source!U791</f>
        <v>1.2240000000000001E-2</v>
      </c>
    </row>
    <row r="1021" spans="1:22" ht="15" x14ac:dyDescent="0.25">
      <c r="A1021" s="23"/>
      <c r="B1021" s="23"/>
      <c r="C1021" s="23"/>
      <c r="D1021" s="23"/>
      <c r="E1021" s="23"/>
      <c r="F1021" s="23"/>
      <c r="G1021" s="23"/>
      <c r="H1021" s="23"/>
      <c r="I1021" s="44">
        <f>J1017+J1018+J1019</f>
        <v>11.8</v>
      </c>
      <c r="J1021" s="44"/>
      <c r="K1021" s="24">
        <f>IF(Source!I791&lt;&gt;0, ROUND(I1021/Source!I791, 2), 0)</f>
        <v>1966.67</v>
      </c>
      <c r="P1021" s="22">
        <f>I1021</f>
        <v>11.8</v>
      </c>
    </row>
    <row r="1022" spans="1:22" ht="85.5" x14ac:dyDescent="0.2">
      <c r="A1022" s="18">
        <v>112</v>
      </c>
      <c r="B1022" s="18" t="str">
        <f>Source!F792</f>
        <v>1.21-2203-37-1/1</v>
      </c>
      <c r="C1022" s="18" t="str">
        <f>Source!G792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1022" s="19" t="str">
        <f>Source!H792</f>
        <v>шт.</v>
      </c>
      <c r="E1022" s="9">
        <f>Source!I792</f>
        <v>2</v>
      </c>
      <c r="F1022" s="21"/>
      <c r="G1022" s="20"/>
      <c r="H1022" s="9"/>
      <c r="I1022" s="9"/>
      <c r="J1022" s="21"/>
      <c r="K1022" s="21"/>
      <c r="Q1022">
        <f>ROUND((Source!BZ792/100)*ROUND((Source!AF792*Source!AV792)*Source!I792, 2), 2)</f>
        <v>472.23</v>
      </c>
      <c r="R1022">
        <f>Source!X792</f>
        <v>472.23</v>
      </c>
      <c r="S1022">
        <f>ROUND((Source!CA792/100)*ROUND((Source!AF792*Source!AV792)*Source!I792, 2), 2)</f>
        <v>67.459999999999994</v>
      </c>
      <c r="T1022">
        <f>Source!Y792</f>
        <v>67.459999999999994</v>
      </c>
      <c r="U1022">
        <f>ROUND((175/100)*ROUND((Source!AE792*Source!AV792)*Source!I792, 2), 2)</f>
        <v>0</v>
      </c>
      <c r="V1022">
        <f>ROUND((108/100)*ROUND(Source!CS792*Source!I792, 2), 2)</f>
        <v>0</v>
      </c>
    </row>
    <row r="1023" spans="1:22" ht="14.25" x14ac:dyDescent="0.2">
      <c r="A1023" s="18"/>
      <c r="B1023" s="18"/>
      <c r="C1023" s="18" t="s">
        <v>1100</v>
      </c>
      <c r="D1023" s="19"/>
      <c r="E1023" s="9"/>
      <c r="F1023" s="21">
        <f>Source!AO792</f>
        <v>337.31</v>
      </c>
      <c r="G1023" s="20" t="str">
        <f>Source!DG792</f>
        <v/>
      </c>
      <c r="H1023" s="9">
        <f>Source!AV792</f>
        <v>1</v>
      </c>
      <c r="I1023" s="9">
        <f>IF(Source!BA792&lt;&gt; 0, Source!BA792, 1)</f>
        <v>1</v>
      </c>
      <c r="J1023" s="21">
        <f>Source!S792</f>
        <v>674.62</v>
      </c>
      <c r="K1023" s="21"/>
    </row>
    <row r="1024" spans="1:22" ht="14.25" x14ac:dyDescent="0.2">
      <c r="A1024" s="18"/>
      <c r="B1024" s="18"/>
      <c r="C1024" s="18" t="s">
        <v>1101</v>
      </c>
      <c r="D1024" s="19"/>
      <c r="E1024" s="9"/>
      <c r="F1024" s="21">
        <f>Source!AL792</f>
        <v>1.57</v>
      </c>
      <c r="G1024" s="20" t="str">
        <f>Source!DD792</f>
        <v/>
      </c>
      <c r="H1024" s="9">
        <f>Source!AW792</f>
        <v>1</v>
      </c>
      <c r="I1024" s="9">
        <f>IF(Source!BC792&lt;&gt; 0, Source!BC792, 1)</f>
        <v>1</v>
      </c>
      <c r="J1024" s="21">
        <f>Source!P792</f>
        <v>3.14</v>
      </c>
      <c r="K1024" s="21"/>
    </row>
    <row r="1025" spans="1:22" ht="14.25" x14ac:dyDescent="0.2">
      <c r="A1025" s="18"/>
      <c r="B1025" s="18"/>
      <c r="C1025" s="18" t="s">
        <v>1102</v>
      </c>
      <c r="D1025" s="19" t="s">
        <v>1103</v>
      </c>
      <c r="E1025" s="9">
        <f>Source!AT792</f>
        <v>70</v>
      </c>
      <c r="F1025" s="21"/>
      <c r="G1025" s="20"/>
      <c r="H1025" s="9"/>
      <c r="I1025" s="9"/>
      <c r="J1025" s="21">
        <f>SUM(R1022:R1024)</f>
        <v>472.23</v>
      </c>
      <c r="K1025" s="21"/>
    </row>
    <row r="1026" spans="1:22" ht="14.25" x14ac:dyDescent="0.2">
      <c r="A1026" s="18"/>
      <c r="B1026" s="18"/>
      <c r="C1026" s="18" t="s">
        <v>1104</v>
      </c>
      <c r="D1026" s="19" t="s">
        <v>1103</v>
      </c>
      <c r="E1026" s="9">
        <f>Source!AU792</f>
        <v>10</v>
      </c>
      <c r="F1026" s="21"/>
      <c r="G1026" s="20"/>
      <c r="H1026" s="9"/>
      <c r="I1026" s="9"/>
      <c r="J1026" s="21">
        <f>SUM(T1022:T1025)</f>
        <v>67.459999999999994</v>
      </c>
      <c r="K1026" s="21"/>
    </row>
    <row r="1027" spans="1:22" ht="14.25" x14ac:dyDescent="0.2">
      <c r="A1027" s="18"/>
      <c r="B1027" s="18"/>
      <c r="C1027" s="18" t="s">
        <v>1105</v>
      </c>
      <c r="D1027" s="19" t="s">
        <v>1106</v>
      </c>
      <c r="E1027" s="9">
        <f>Source!AQ792</f>
        <v>0.6</v>
      </c>
      <c r="F1027" s="21"/>
      <c r="G1027" s="20" t="str">
        <f>Source!DI792</f>
        <v/>
      </c>
      <c r="H1027" s="9">
        <f>Source!AV792</f>
        <v>1</v>
      </c>
      <c r="I1027" s="9"/>
      <c r="J1027" s="21"/>
      <c r="K1027" s="21">
        <f>Source!U792</f>
        <v>1.2</v>
      </c>
    </row>
    <row r="1028" spans="1:22" ht="15" x14ac:dyDescent="0.25">
      <c r="A1028" s="23"/>
      <c r="B1028" s="23"/>
      <c r="C1028" s="23"/>
      <c r="D1028" s="23"/>
      <c r="E1028" s="23"/>
      <c r="F1028" s="23"/>
      <c r="G1028" s="23"/>
      <c r="H1028" s="23"/>
      <c r="I1028" s="44">
        <f>J1023+J1024+J1025+J1026</f>
        <v>1217.45</v>
      </c>
      <c r="J1028" s="44"/>
      <c r="K1028" s="24">
        <f>IF(Source!I792&lt;&gt;0, ROUND(I1028/Source!I792, 2), 0)</f>
        <v>608.73</v>
      </c>
      <c r="P1028" s="22">
        <f>I1028</f>
        <v>1217.45</v>
      </c>
    </row>
    <row r="1029" spans="1:22" ht="42.75" x14ac:dyDescent="0.2">
      <c r="A1029" s="18">
        <v>113</v>
      </c>
      <c r="B1029" s="18" t="str">
        <f>Source!F795</f>
        <v>1.21-2203-14-1/1</v>
      </c>
      <c r="C1029" s="18" t="str">
        <f>Source!G795</f>
        <v>Техническое обслуживание шкафа учета электроэнергии, с количеством счетчиков 1</v>
      </c>
      <c r="D1029" s="19" t="str">
        <f>Source!H795</f>
        <v>шт.</v>
      </c>
      <c r="E1029" s="9">
        <f>Source!I795</f>
        <v>2</v>
      </c>
      <c r="F1029" s="21"/>
      <c r="G1029" s="20"/>
      <c r="H1029" s="9"/>
      <c r="I1029" s="9"/>
      <c r="J1029" s="21"/>
      <c r="K1029" s="21"/>
      <c r="Q1029">
        <f>ROUND((Source!BZ795/100)*ROUND((Source!AF795*Source!AV795)*Source!I795, 2), 2)</f>
        <v>186.21</v>
      </c>
      <c r="R1029">
        <f>Source!X795</f>
        <v>186.21</v>
      </c>
      <c r="S1029">
        <f>ROUND((Source!CA795/100)*ROUND((Source!AF795*Source!AV795)*Source!I795, 2), 2)</f>
        <v>26.6</v>
      </c>
      <c r="T1029">
        <f>Source!Y795</f>
        <v>26.6</v>
      </c>
      <c r="U1029">
        <f>ROUND((175/100)*ROUND((Source!AE795*Source!AV795)*Source!I795, 2), 2)</f>
        <v>37.590000000000003</v>
      </c>
      <c r="V1029">
        <f>ROUND((108/100)*ROUND(Source!CS795*Source!I795, 2), 2)</f>
        <v>23.2</v>
      </c>
    </row>
    <row r="1030" spans="1:22" ht="14.25" x14ac:dyDescent="0.2">
      <c r="A1030" s="18"/>
      <c r="B1030" s="18"/>
      <c r="C1030" s="18" t="s">
        <v>1100</v>
      </c>
      <c r="D1030" s="19"/>
      <c r="E1030" s="9"/>
      <c r="F1030" s="21">
        <f>Source!AO795</f>
        <v>133.01</v>
      </c>
      <c r="G1030" s="20" t="str">
        <f>Source!DG795</f>
        <v/>
      </c>
      <c r="H1030" s="9">
        <f>Source!AV795</f>
        <v>1</v>
      </c>
      <c r="I1030" s="9">
        <f>IF(Source!BA795&lt;&gt; 0, Source!BA795, 1)</f>
        <v>1</v>
      </c>
      <c r="J1030" s="21">
        <f>Source!S795</f>
        <v>266.02</v>
      </c>
      <c r="K1030" s="21"/>
    </row>
    <row r="1031" spans="1:22" ht="14.25" x14ac:dyDescent="0.2">
      <c r="A1031" s="18"/>
      <c r="B1031" s="18"/>
      <c r="C1031" s="18" t="s">
        <v>1107</v>
      </c>
      <c r="D1031" s="19"/>
      <c r="E1031" s="9"/>
      <c r="F1031" s="21">
        <f>Source!AM795</f>
        <v>16.940000000000001</v>
      </c>
      <c r="G1031" s="20" t="str">
        <f>Source!DE795</f>
        <v/>
      </c>
      <c r="H1031" s="9">
        <f>Source!AV795</f>
        <v>1</v>
      </c>
      <c r="I1031" s="9">
        <f>IF(Source!BB795&lt;&gt; 0, Source!BB795, 1)</f>
        <v>1</v>
      </c>
      <c r="J1031" s="21">
        <f>Source!Q795</f>
        <v>33.880000000000003</v>
      </c>
      <c r="K1031" s="21"/>
    </row>
    <row r="1032" spans="1:22" ht="14.25" x14ac:dyDescent="0.2">
      <c r="A1032" s="18"/>
      <c r="B1032" s="18"/>
      <c r="C1032" s="18" t="s">
        <v>1108</v>
      </c>
      <c r="D1032" s="19"/>
      <c r="E1032" s="9"/>
      <c r="F1032" s="21">
        <f>Source!AN795</f>
        <v>10.74</v>
      </c>
      <c r="G1032" s="20" t="str">
        <f>Source!DF795</f>
        <v/>
      </c>
      <c r="H1032" s="9">
        <f>Source!AV795</f>
        <v>1</v>
      </c>
      <c r="I1032" s="9">
        <f>IF(Source!BS795&lt;&gt; 0, Source!BS795, 1)</f>
        <v>1</v>
      </c>
      <c r="J1032" s="25">
        <f>Source!R795</f>
        <v>21.48</v>
      </c>
      <c r="K1032" s="21"/>
    </row>
    <row r="1033" spans="1:22" ht="14.25" x14ac:dyDescent="0.2">
      <c r="A1033" s="18"/>
      <c r="B1033" s="18"/>
      <c r="C1033" s="18" t="s">
        <v>1101</v>
      </c>
      <c r="D1033" s="19"/>
      <c r="E1033" s="9"/>
      <c r="F1033" s="21">
        <f>Source!AL795</f>
        <v>0.06</v>
      </c>
      <c r="G1033" s="20" t="str">
        <f>Source!DD795</f>
        <v/>
      </c>
      <c r="H1033" s="9">
        <f>Source!AW795</f>
        <v>1</v>
      </c>
      <c r="I1033" s="9">
        <f>IF(Source!BC795&lt;&gt; 0, Source!BC795, 1)</f>
        <v>1</v>
      </c>
      <c r="J1033" s="21">
        <f>Source!P795</f>
        <v>0.12</v>
      </c>
      <c r="K1033" s="21"/>
    </row>
    <row r="1034" spans="1:22" ht="14.25" x14ac:dyDescent="0.2">
      <c r="A1034" s="18"/>
      <c r="B1034" s="18"/>
      <c r="C1034" s="18" t="s">
        <v>1102</v>
      </c>
      <c r="D1034" s="19" t="s">
        <v>1103</v>
      </c>
      <c r="E1034" s="9">
        <f>Source!AT795</f>
        <v>70</v>
      </c>
      <c r="F1034" s="21"/>
      <c r="G1034" s="20"/>
      <c r="H1034" s="9"/>
      <c r="I1034" s="9"/>
      <c r="J1034" s="21">
        <f>SUM(R1029:R1033)</f>
        <v>186.21</v>
      </c>
      <c r="K1034" s="21"/>
    </row>
    <row r="1035" spans="1:22" ht="14.25" x14ac:dyDescent="0.2">
      <c r="A1035" s="18"/>
      <c r="B1035" s="18"/>
      <c r="C1035" s="18" t="s">
        <v>1104</v>
      </c>
      <c r="D1035" s="19" t="s">
        <v>1103</v>
      </c>
      <c r="E1035" s="9">
        <f>Source!AU795</f>
        <v>10</v>
      </c>
      <c r="F1035" s="21"/>
      <c r="G1035" s="20"/>
      <c r="H1035" s="9"/>
      <c r="I1035" s="9"/>
      <c r="J1035" s="21">
        <f>SUM(T1029:T1034)</f>
        <v>26.6</v>
      </c>
      <c r="K1035" s="21"/>
    </row>
    <row r="1036" spans="1:22" ht="14.25" x14ac:dyDescent="0.2">
      <c r="A1036" s="18"/>
      <c r="B1036" s="18"/>
      <c r="C1036" s="18" t="s">
        <v>1109</v>
      </c>
      <c r="D1036" s="19" t="s">
        <v>1103</v>
      </c>
      <c r="E1036" s="9">
        <f>108</f>
        <v>108</v>
      </c>
      <c r="F1036" s="21"/>
      <c r="G1036" s="20"/>
      <c r="H1036" s="9"/>
      <c r="I1036" s="9"/>
      <c r="J1036" s="21">
        <f>SUM(V1029:V1035)</f>
        <v>23.2</v>
      </c>
      <c r="K1036" s="21"/>
    </row>
    <row r="1037" spans="1:22" ht="14.25" x14ac:dyDescent="0.2">
      <c r="A1037" s="18"/>
      <c r="B1037" s="18"/>
      <c r="C1037" s="18" t="s">
        <v>1105</v>
      </c>
      <c r="D1037" s="19" t="s">
        <v>1106</v>
      </c>
      <c r="E1037" s="9">
        <f>Source!AQ795</f>
        <v>0.25</v>
      </c>
      <c r="F1037" s="21"/>
      <c r="G1037" s="20" t="str">
        <f>Source!DI795</f>
        <v/>
      </c>
      <c r="H1037" s="9">
        <f>Source!AV795</f>
        <v>1</v>
      </c>
      <c r="I1037" s="9"/>
      <c r="J1037" s="21"/>
      <c r="K1037" s="21">
        <f>Source!U795</f>
        <v>0.5</v>
      </c>
    </row>
    <row r="1038" spans="1:22" ht="15" x14ac:dyDescent="0.25">
      <c r="A1038" s="23"/>
      <c r="B1038" s="23"/>
      <c r="C1038" s="23"/>
      <c r="D1038" s="23"/>
      <c r="E1038" s="23"/>
      <c r="F1038" s="23"/>
      <c r="G1038" s="23"/>
      <c r="H1038" s="23"/>
      <c r="I1038" s="44">
        <f>J1030+J1031+J1033+J1034+J1035+J1036</f>
        <v>536.03000000000009</v>
      </c>
      <c r="J1038" s="44"/>
      <c r="K1038" s="24">
        <f>IF(Source!I795&lt;&gt;0, ROUND(I1038/Source!I795, 2), 0)</f>
        <v>268.02</v>
      </c>
      <c r="P1038" s="22">
        <f>I1038</f>
        <v>536.03000000000009</v>
      </c>
    </row>
    <row r="1040" spans="1:22" ht="15" x14ac:dyDescent="0.25">
      <c r="B1040" s="47" t="str">
        <f>Source!G796</f>
        <v>ВРУ-4</v>
      </c>
      <c r="C1040" s="47"/>
      <c r="D1040" s="47"/>
      <c r="E1040" s="47"/>
      <c r="F1040" s="47"/>
      <c r="G1040" s="47"/>
      <c r="H1040" s="47"/>
      <c r="I1040" s="47"/>
      <c r="J1040" s="47"/>
    </row>
    <row r="1041" spans="1:22" ht="57" x14ac:dyDescent="0.2">
      <c r="A1041" s="18">
        <v>114</v>
      </c>
      <c r="B1041" s="18" t="str">
        <f>Source!F797</f>
        <v>1.21-2203-8-2/1</v>
      </c>
      <c r="C1041" s="18" t="str">
        <f>Source!G797</f>
        <v>Техническое обслуживание ящика ввода распределительного с рубильником и предохранителями, номинальный ток 600 А (ВП4)</v>
      </c>
      <c r="D1041" s="19" t="str">
        <f>Source!H797</f>
        <v>шт.</v>
      </c>
      <c r="E1041" s="9">
        <f>Source!I797</f>
        <v>1</v>
      </c>
      <c r="F1041" s="21"/>
      <c r="G1041" s="20"/>
      <c r="H1041" s="9"/>
      <c r="I1041" s="9"/>
      <c r="J1041" s="21"/>
      <c r="K1041" s="21"/>
      <c r="Q1041">
        <f>ROUND((Source!BZ797/100)*ROUND((Source!AF797*Source!AV797)*Source!I797, 2), 2)</f>
        <v>3890.19</v>
      </c>
      <c r="R1041">
        <f>Source!X797</f>
        <v>3890.19</v>
      </c>
      <c r="S1041">
        <f>ROUND((Source!CA797/100)*ROUND((Source!AF797*Source!AV797)*Source!I797, 2), 2)</f>
        <v>555.74</v>
      </c>
      <c r="T1041">
        <f>Source!Y797</f>
        <v>555.74</v>
      </c>
      <c r="U1041">
        <f>ROUND((175/100)*ROUND((Source!AE797*Source!AV797)*Source!I797, 2), 2)</f>
        <v>0</v>
      </c>
      <c r="V1041">
        <f>ROUND((108/100)*ROUND(Source!CS797*Source!I797, 2), 2)</f>
        <v>0</v>
      </c>
    </row>
    <row r="1042" spans="1:22" ht="14.25" x14ac:dyDescent="0.2">
      <c r="A1042" s="18"/>
      <c r="B1042" s="18"/>
      <c r="C1042" s="18" t="s">
        <v>1100</v>
      </c>
      <c r="D1042" s="19"/>
      <c r="E1042" s="9"/>
      <c r="F1042" s="21">
        <f>Source!AO797</f>
        <v>5557.41</v>
      </c>
      <c r="G1042" s="20" t="str">
        <f>Source!DG797</f>
        <v/>
      </c>
      <c r="H1042" s="9">
        <f>Source!AV797</f>
        <v>1</v>
      </c>
      <c r="I1042" s="9">
        <f>IF(Source!BA797&lt;&gt; 0, Source!BA797, 1)</f>
        <v>1</v>
      </c>
      <c r="J1042" s="21">
        <f>Source!S797</f>
        <v>5557.41</v>
      </c>
      <c r="K1042" s="21"/>
    </row>
    <row r="1043" spans="1:22" ht="14.25" x14ac:dyDescent="0.2">
      <c r="A1043" s="18"/>
      <c r="B1043" s="18"/>
      <c r="C1043" s="18" t="s">
        <v>1101</v>
      </c>
      <c r="D1043" s="19"/>
      <c r="E1043" s="9"/>
      <c r="F1043" s="21">
        <f>Source!AL797</f>
        <v>77.08</v>
      </c>
      <c r="G1043" s="20" t="str">
        <f>Source!DD797</f>
        <v/>
      </c>
      <c r="H1043" s="9">
        <f>Source!AW797</f>
        <v>1</v>
      </c>
      <c r="I1043" s="9">
        <f>IF(Source!BC797&lt;&gt; 0, Source!BC797, 1)</f>
        <v>1</v>
      </c>
      <c r="J1043" s="21">
        <f>Source!P797</f>
        <v>77.08</v>
      </c>
      <c r="K1043" s="21"/>
    </row>
    <row r="1044" spans="1:22" ht="14.25" x14ac:dyDescent="0.2">
      <c r="A1044" s="18"/>
      <c r="B1044" s="18"/>
      <c r="C1044" s="18" t="s">
        <v>1102</v>
      </c>
      <c r="D1044" s="19" t="s">
        <v>1103</v>
      </c>
      <c r="E1044" s="9">
        <f>Source!AT797</f>
        <v>70</v>
      </c>
      <c r="F1044" s="21"/>
      <c r="G1044" s="20"/>
      <c r="H1044" s="9"/>
      <c r="I1044" s="9"/>
      <c r="J1044" s="21">
        <f>SUM(R1041:R1043)</f>
        <v>3890.19</v>
      </c>
      <c r="K1044" s="21"/>
    </row>
    <row r="1045" spans="1:22" ht="14.25" x14ac:dyDescent="0.2">
      <c r="A1045" s="18"/>
      <c r="B1045" s="18"/>
      <c r="C1045" s="18" t="s">
        <v>1104</v>
      </c>
      <c r="D1045" s="19" t="s">
        <v>1103</v>
      </c>
      <c r="E1045" s="9">
        <f>Source!AU797</f>
        <v>10</v>
      </c>
      <c r="F1045" s="21"/>
      <c r="G1045" s="20"/>
      <c r="H1045" s="9"/>
      <c r="I1045" s="9"/>
      <c r="J1045" s="21">
        <f>SUM(T1041:T1044)</f>
        <v>555.74</v>
      </c>
      <c r="K1045" s="21"/>
    </row>
    <row r="1046" spans="1:22" ht="14.25" x14ac:dyDescent="0.2">
      <c r="A1046" s="18"/>
      <c r="B1046" s="18"/>
      <c r="C1046" s="18" t="s">
        <v>1105</v>
      </c>
      <c r="D1046" s="19" t="s">
        <v>1106</v>
      </c>
      <c r="E1046" s="9">
        <f>Source!AQ797</f>
        <v>9</v>
      </c>
      <c r="F1046" s="21"/>
      <c r="G1046" s="20" t="str">
        <f>Source!DI797</f>
        <v/>
      </c>
      <c r="H1046" s="9">
        <f>Source!AV797</f>
        <v>1</v>
      </c>
      <c r="I1046" s="9"/>
      <c r="J1046" s="21"/>
      <c r="K1046" s="21">
        <f>Source!U797</f>
        <v>9</v>
      </c>
    </row>
    <row r="1047" spans="1:22" ht="15" x14ac:dyDescent="0.25">
      <c r="A1047" s="23"/>
      <c r="B1047" s="23"/>
      <c r="C1047" s="23"/>
      <c r="D1047" s="23"/>
      <c r="E1047" s="23"/>
      <c r="F1047" s="23"/>
      <c r="G1047" s="23"/>
      <c r="H1047" s="23"/>
      <c r="I1047" s="44">
        <f>J1042+J1043+J1044+J1045</f>
        <v>10080.42</v>
      </c>
      <c r="J1047" s="44"/>
      <c r="K1047" s="24">
        <f>IF(Source!I797&lt;&gt;0, ROUND(I1047/Source!I797, 2), 0)</f>
        <v>10080.42</v>
      </c>
      <c r="P1047" s="22">
        <f>I1047</f>
        <v>10080.42</v>
      </c>
    </row>
    <row r="1048" spans="1:22" ht="71.25" x14ac:dyDescent="0.2">
      <c r="A1048" s="18">
        <v>115</v>
      </c>
      <c r="B1048" s="18" t="str">
        <f>Source!F801</f>
        <v>1.21-2303-40-1/1</v>
      </c>
      <c r="C1048" s="18" t="str">
        <f>Source!G801</f>
        <v>Техническое обслуживание измерителя мощности типа PM710MG на лицевой панели распределительного устройства - полугодовое</v>
      </c>
      <c r="D1048" s="19" t="str">
        <f>Source!H801</f>
        <v>шт.</v>
      </c>
      <c r="E1048" s="9">
        <f>Source!I801</f>
        <v>1</v>
      </c>
      <c r="F1048" s="21"/>
      <c r="G1048" s="20"/>
      <c r="H1048" s="9"/>
      <c r="I1048" s="9"/>
      <c r="J1048" s="21"/>
      <c r="K1048" s="21"/>
      <c r="Q1048">
        <f>ROUND((Source!BZ801/100)*ROUND((Source!AF801*Source!AV801)*Source!I801, 2), 2)</f>
        <v>78.709999999999994</v>
      </c>
      <c r="R1048">
        <f>Source!X801</f>
        <v>78.709999999999994</v>
      </c>
      <c r="S1048">
        <f>ROUND((Source!CA801/100)*ROUND((Source!AF801*Source!AV801)*Source!I801, 2), 2)</f>
        <v>11.24</v>
      </c>
      <c r="T1048">
        <f>Source!Y801</f>
        <v>11.24</v>
      </c>
      <c r="U1048">
        <f>ROUND((175/100)*ROUND((Source!AE801*Source!AV801)*Source!I801, 2), 2)</f>
        <v>0</v>
      </c>
      <c r="V1048">
        <f>ROUND((108/100)*ROUND(Source!CS801*Source!I801, 2), 2)</f>
        <v>0</v>
      </c>
    </row>
    <row r="1049" spans="1:22" ht="14.25" x14ac:dyDescent="0.2">
      <c r="A1049" s="18"/>
      <c r="B1049" s="18"/>
      <c r="C1049" s="18" t="s">
        <v>1100</v>
      </c>
      <c r="D1049" s="19"/>
      <c r="E1049" s="9"/>
      <c r="F1049" s="21">
        <f>Source!AO801</f>
        <v>112.44</v>
      </c>
      <c r="G1049" s="20" t="str">
        <f>Source!DG801</f>
        <v/>
      </c>
      <c r="H1049" s="9">
        <f>Source!AV801</f>
        <v>1</v>
      </c>
      <c r="I1049" s="9">
        <f>IF(Source!BA801&lt;&gt; 0, Source!BA801, 1)</f>
        <v>1</v>
      </c>
      <c r="J1049" s="21">
        <f>Source!S801</f>
        <v>112.44</v>
      </c>
      <c r="K1049" s="21"/>
    </row>
    <row r="1050" spans="1:22" ht="14.25" x14ac:dyDescent="0.2">
      <c r="A1050" s="18"/>
      <c r="B1050" s="18"/>
      <c r="C1050" s="18" t="s">
        <v>1101</v>
      </c>
      <c r="D1050" s="19"/>
      <c r="E1050" s="9"/>
      <c r="F1050" s="21">
        <f>Source!AL801</f>
        <v>6.3</v>
      </c>
      <c r="G1050" s="20" t="str">
        <f>Source!DD801</f>
        <v/>
      </c>
      <c r="H1050" s="9">
        <f>Source!AW801</f>
        <v>1</v>
      </c>
      <c r="I1050" s="9">
        <f>IF(Source!BC801&lt;&gt; 0, Source!BC801, 1)</f>
        <v>1</v>
      </c>
      <c r="J1050" s="21">
        <f>Source!P801</f>
        <v>6.3</v>
      </c>
      <c r="K1050" s="21"/>
    </row>
    <row r="1051" spans="1:22" ht="14.25" x14ac:dyDescent="0.2">
      <c r="A1051" s="18"/>
      <c r="B1051" s="18"/>
      <c r="C1051" s="18" t="s">
        <v>1102</v>
      </c>
      <c r="D1051" s="19" t="s">
        <v>1103</v>
      </c>
      <c r="E1051" s="9">
        <f>Source!AT801</f>
        <v>70</v>
      </c>
      <c r="F1051" s="21"/>
      <c r="G1051" s="20"/>
      <c r="H1051" s="9"/>
      <c r="I1051" s="9"/>
      <c r="J1051" s="21">
        <f>SUM(R1048:R1050)</f>
        <v>78.709999999999994</v>
      </c>
      <c r="K1051" s="21"/>
    </row>
    <row r="1052" spans="1:22" ht="14.25" x14ac:dyDescent="0.2">
      <c r="A1052" s="18"/>
      <c r="B1052" s="18"/>
      <c r="C1052" s="18" t="s">
        <v>1104</v>
      </c>
      <c r="D1052" s="19" t="s">
        <v>1103</v>
      </c>
      <c r="E1052" s="9">
        <f>Source!AU801</f>
        <v>10</v>
      </c>
      <c r="F1052" s="21"/>
      <c r="G1052" s="20"/>
      <c r="H1052" s="9"/>
      <c r="I1052" s="9"/>
      <c r="J1052" s="21">
        <f>SUM(T1048:T1051)</f>
        <v>11.24</v>
      </c>
      <c r="K1052" s="21"/>
    </row>
    <row r="1053" spans="1:22" ht="14.25" x14ac:dyDescent="0.2">
      <c r="A1053" s="18"/>
      <c r="B1053" s="18"/>
      <c r="C1053" s="18" t="s">
        <v>1105</v>
      </c>
      <c r="D1053" s="19" t="s">
        <v>1106</v>
      </c>
      <c r="E1053" s="9">
        <f>Source!AQ801</f>
        <v>0.2</v>
      </c>
      <c r="F1053" s="21"/>
      <c r="G1053" s="20" t="str">
        <f>Source!DI801</f>
        <v/>
      </c>
      <c r="H1053" s="9">
        <f>Source!AV801</f>
        <v>1</v>
      </c>
      <c r="I1053" s="9"/>
      <c r="J1053" s="21"/>
      <c r="K1053" s="21">
        <f>Source!U801</f>
        <v>0.2</v>
      </c>
    </row>
    <row r="1054" spans="1:22" ht="15" x14ac:dyDescent="0.25">
      <c r="A1054" s="23"/>
      <c r="B1054" s="23"/>
      <c r="C1054" s="23"/>
      <c r="D1054" s="23"/>
      <c r="E1054" s="23"/>
      <c r="F1054" s="23"/>
      <c r="G1054" s="23"/>
      <c r="H1054" s="23"/>
      <c r="I1054" s="44">
        <f>J1049+J1050+J1051+J1052</f>
        <v>208.69</v>
      </c>
      <c r="J1054" s="44"/>
      <c r="K1054" s="24">
        <f>IF(Source!I801&lt;&gt;0, ROUND(I1054/Source!I801, 2), 0)</f>
        <v>208.69</v>
      </c>
      <c r="P1054" s="22">
        <f>I1054</f>
        <v>208.69</v>
      </c>
    </row>
    <row r="1055" spans="1:22" ht="57" x14ac:dyDescent="0.2">
      <c r="A1055" s="18">
        <v>116</v>
      </c>
      <c r="B1055" s="18" t="str">
        <f>Source!F805</f>
        <v>1.21-2103-9-3/1</v>
      </c>
      <c r="C1055" s="18" t="str">
        <f>Source!G805</f>
        <v>Техническое обслуживание силовых сетей, проложенных по кирпичным и бетонным основаниям, провод сечением 4х1,5-6 мм2 / 10х2,5</v>
      </c>
      <c r="D1055" s="19" t="str">
        <f>Source!H805</f>
        <v>100 м</v>
      </c>
      <c r="E1055" s="9">
        <f>Source!I805</f>
        <v>2E-3</v>
      </c>
      <c r="F1055" s="21"/>
      <c r="G1055" s="20"/>
      <c r="H1055" s="9"/>
      <c r="I1055" s="9"/>
      <c r="J1055" s="21"/>
      <c r="K1055" s="21"/>
      <c r="Q1055">
        <f>ROUND((Source!BZ805/100)*ROUND((Source!AF805*Source!AV805)*Source!I805, 2), 2)</f>
        <v>8.41</v>
      </c>
      <c r="R1055">
        <f>Source!X805</f>
        <v>8.41</v>
      </c>
      <c r="S1055">
        <f>ROUND((Source!CA805/100)*ROUND((Source!AF805*Source!AV805)*Source!I805, 2), 2)</f>
        <v>1.2</v>
      </c>
      <c r="T1055">
        <f>Source!Y805</f>
        <v>1.2</v>
      </c>
      <c r="U1055">
        <f>ROUND((175/100)*ROUND((Source!AE805*Source!AV805)*Source!I805, 2), 2)</f>
        <v>0</v>
      </c>
      <c r="V1055">
        <f>ROUND((108/100)*ROUND(Source!CS805*Source!I805, 2), 2)</f>
        <v>0</v>
      </c>
    </row>
    <row r="1056" spans="1:22" x14ac:dyDescent="0.2">
      <c r="C1056" s="28" t="str">
        <f>"Объем: "&amp;Source!I805&amp;"=10*"&amp;"0,2*"&amp;"0,1/"&amp;"100"</f>
        <v>Объем: 0,002=10*0,2*0,1/100</v>
      </c>
    </row>
    <row r="1057" spans="1:22" ht="14.25" x14ac:dyDescent="0.2">
      <c r="A1057" s="18"/>
      <c r="B1057" s="18"/>
      <c r="C1057" s="18" t="s">
        <v>1100</v>
      </c>
      <c r="D1057" s="19"/>
      <c r="E1057" s="9"/>
      <c r="F1057" s="21">
        <f>Source!AO805</f>
        <v>6006.24</v>
      </c>
      <c r="G1057" s="20" t="str">
        <f>Source!DG805</f>
        <v/>
      </c>
      <c r="H1057" s="9">
        <f>Source!AV805</f>
        <v>1</v>
      </c>
      <c r="I1057" s="9">
        <f>IF(Source!BA805&lt;&gt; 0, Source!BA805, 1)</f>
        <v>1</v>
      </c>
      <c r="J1057" s="21">
        <f>Source!S805</f>
        <v>12.01</v>
      </c>
      <c r="K1057" s="21"/>
    </row>
    <row r="1058" spans="1:22" ht="14.25" x14ac:dyDescent="0.2">
      <c r="A1058" s="18"/>
      <c r="B1058" s="18"/>
      <c r="C1058" s="18" t="s">
        <v>1101</v>
      </c>
      <c r="D1058" s="19"/>
      <c r="E1058" s="9"/>
      <c r="F1058" s="21">
        <f>Source!AL805</f>
        <v>14.63</v>
      </c>
      <c r="G1058" s="20" t="str">
        <f>Source!DD805</f>
        <v/>
      </c>
      <c r="H1058" s="9">
        <f>Source!AW805</f>
        <v>1</v>
      </c>
      <c r="I1058" s="9">
        <f>IF(Source!BC805&lt;&gt; 0, Source!BC805, 1)</f>
        <v>1</v>
      </c>
      <c r="J1058" s="21">
        <f>Source!P805</f>
        <v>0.03</v>
      </c>
      <c r="K1058" s="21"/>
    </row>
    <row r="1059" spans="1:22" ht="14.25" x14ac:dyDescent="0.2">
      <c r="A1059" s="18"/>
      <c r="B1059" s="18"/>
      <c r="C1059" s="18" t="s">
        <v>1102</v>
      </c>
      <c r="D1059" s="19" t="s">
        <v>1103</v>
      </c>
      <c r="E1059" s="9">
        <f>Source!AT805</f>
        <v>70</v>
      </c>
      <c r="F1059" s="21"/>
      <c r="G1059" s="20"/>
      <c r="H1059" s="9"/>
      <c r="I1059" s="9"/>
      <c r="J1059" s="21">
        <f>SUM(R1055:R1058)</f>
        <v>8.41</v>
      </c>
      <c r="K1059" s="21"/>
    </row>
    <row r="1060" spans="1:22" ht="14.25" x14ac:dyDescent="0.2">
      <c r="A1060" s="18"/>
      <c r="B1060" s="18"/>
      <c r="C1060" s="18" t="s">
        <v>1104</v>
      </c>
      <c r="D1060" s="19" t="s">
        <v>1103</v>
      </c>
      <c r="E1060" s="9">
        <f>Source!AU805</f>
        <v>10</v>
      </c>
      <c r="F1060" s="21"/>
      <c r="G1060" s="20"/>
      <c r="H1060" s="9"/>
      <c r="I1060" s="9"/>
      <c r="J1060" s="21">
        <f>SUM(T1055:T1059)</f>
        <v>1.2</v>
      </c>
      <c r="K1060" s="21"/>
    </row>
    <row r="1061" spans="1:22" ht="14.25" x14ac:dyDescent="0.2">
      <c r="A1061" s="18"/>
      <c r="B1061" s="18"/>
      <c r="C1061" s="18" t="s">
        <v>1105</v>
      </c>
      <c r="D1061" s="19" t="s">
        <v>1106</v>
      </c>
      <c r="E1061" s="9">
        <f>Source!AQ805</f>
        <v>11.22</v>
      </c>
      <c r="F1061" s="21"/>
      <c r="G1061" s="20" t="str">
        <f>Source!DI805</f>
        <v/>
      </c>
      <c r="H1061" s="9">
        <f>Source!AV805</f>
        <v>1</v>
      </c>
      <c r="I1061" s="9"/>
      <c r="J1061" s="21"/>
      <c r="K1061" s="21">
        <f>Source!U805</f>
        <v>2.2440000000000002E-2</v>
      </c>
    </row>
    <row r="1062" spans="1:22" ht="15" x14ac:dyDescent="0.25">
      <c r="A1062" s="23"/>
      <c r="B1062" s="23"/>
      <c r="C1062" s="23"/>
      <c r="D1062" s="23"/>
      <c r="E1062" s="23"/>
      <c r="F1062" s="23"/>
      <c r="G1062" s="23"/>
      <c r="H1062" s="23"/>
      <c r="I1062" s="44">
        <f>J1057+J1058+J1059+J1060</f>
        <v>21.65</v>
      </c>
      <c r="J1062" s="44"/>
      <c r="K1062" s="24">
        <f>IF(Source!I805&lt;&gt;0, ROUND(I1062/Source!I805, 2), 0)</f>
        <v>10825</v>
      </c>
      <c r="P1062" s="22">
        <f>I1062</f>
        <v>21.65</v>
      </c>
    </row>
    <row r="1063" spans="1:22" ht="71.25" x14ac:dyDescent="0.2">
      <c r="A1063" s="18">
        <v>117</v>
      </c>
      <c r="B1063" s="18" t="str">
        <f>Source!F806</f>
        <v>1.21-2103-9-4/1</v>
      </c>
      <c r="C1063" s="18" t="str">
        <f>Source!G806</f>
        <v>Техническое обслуживание силовых сетей, проложенных по кирпичным и бетонным основаниям, добавлять на каждый следующий провод к поз. 21-2103-9-3</v>
      </c>
      <c r="D1063" s="19" t="str">
        <f>Source!H806</f>
        <v>100 м</v>
      </c>
      <c r="E1063" s="9">
        <f>Source!I806</f>
        <v>2E-3</v>
      </c>
      <c r="F1063" s="21"/>
      <c r="G1063" s="20"/>
      <c r="H1063" s="9"/>
      <c r="I1063" s="9"/>
      <c r="J1063" s="21"/>
      <c r="K1063" s="21"/>
      <c r="Q1063">
        <f>ROUND((Source!BZ806/100)*ROUND((Source!AF806*Source!AV806)*Source!I806, 2), 2)</f>
        <v>1.53</v>
      </c>
      <c r="R1063">
        <f>Source!X806</f>
        <v>1.53</v>
      </c>
      <c r="S1063">
        <f>ROUND((Source!CA806/100)*ROUND((Source!AF806*Source!AV806)*Source!I806, 2), 2)</f>
        <v>0.22</v>
      </c>
      <c r="T1063">
        <f>Source!Y806</f>
        <v>0.22</v>
      </c>
      <c r="U1063">
        <f>ROUND((175/100)*ROUND((Source!AE806*Source!AV806)*Source!I806, 2), 2)</f>
        <v>0</v>
      </c>
      <c r="V1063">
        <f>ROUND((108/100)*ROUND(Source!CS806*Source!I806, 2), 2)</f>
        <v>0</v>
      </c>
    </row>
    <row r="1064" spans="1:22" x14ac:dyDescent="0.2">
      <c r="C1064" s="28" t="str">
        <f>"Объем: "&amp;Source!I806&amp;"=10*"&amp;"0,2*"&amp;"0,1/"&amp;"100"</f>
        <v>Объем: 0,002=10*0,2*0,1/100</v>
      </c>
    </row>
    <row r="1065" spans="1:22" ht="14.25" x14ac:dyDescent="0.2">
      <c r="A1065" s="18"/>
      <c r="B1065" s="18"/>
      <c r="C1065" s="18" t="s">
        <v>1100</v>
      </c>
      <c r="D1065" s="19"/>
      <c r="E1065" s="9"/>
      <c r="F1065" s="21">
        <f>Source!AO806</f>
        <v>1092.04</v>
      </c>
      <c r="G1065" s="20" t="str">
        <f>Source!DG806</f>
        <v/>
      </c>
      <c r="H1065" s="9">
        <f>Source!AV806</f>
        <v>1</v>
      </c>
      <c r="I1065" s="9">
        <f>IF(Source!BA806&lt;&gt; 0, Source!BA806, 1)</f>
        <v>1</v>
      </c>
      <c r="J1065" s="21">
        <f>Source!S806</f>
        <v>2.1800000000000002</v>
      </c>
      <c r="K1065" s="21"/>
    </row>
    <row r="1066" spans="1:22" ht="14.25" x14ac:dyDescent="0.2">
      <c r="A1066" s="18"/>
      <c r="B1066" s="18"/>
      <c r="C1066" s="18" t="s">
        <v>1102</v>
      </c>
      <c r="D1066" s="19" t="s">
        <v>1103</v>
      </c>
      <c r="E1066" s="9">
        <f>Source!AT806</f>
        <v>70</v>
      </c>
      <c r="F1066" s="21"/>
      <c r="G1066" s="20"/>
      <c r="H1066" s="9"/>
      <c r="I1066" s="9"/>
      <c r="J1066" s="21">
        <f>SUM(R1063:R1065)</f>
        <v>1.53</v>
      </c>
      <c r="K1066" s="21"/>
    </row>
    <row r="1067" spans="1:22" ht="14.25" x14ac:dyDescent="0.2">
      <c r="A1067" s="18"/>
      <c r="B1067" s="18"/>
      <c r="C1067" s="18" t="s">
        <v>1104</v>
      </c>
      <c r="D1067" s="19" t="s">
        <v>1103</v>
      </c>
      <c r="E1067" s="9">
        <f>Source!AU806</f>
        <v>10</v>
      </c>
      <c r="F1067" s="21"/>
      <c r="G1067" s="20"/>
      <c r="H1067" s="9"/>
      <c r="I1067" s="9"/>
      <c r="J1067" s="21">
        <f>SUM(T1063:T1066)</f>
        <v>0.22</v>
      </c>
      <c r="K1067" s="21"/>
    </row>
    <row r="1068" spans="1:22" ht="14.25" x14ac:dyDescent="0.2">
      <c r="A1068" s="18"/>
      <c r="B1068" s="18"/>
      <c r="C1068" s="18" t="s">
        <v>1105</v>
      </c>
      <c r="D1068" s="19" t="s">
        <v>1106</v>
      </c>
      <c r="E1068" s="9">
        <f>Source!AQ806</f>
        <v>2.04</v>
      </c>
      <c r="F1068" s="21"/>
      <c r="G1068" s="20" t="str">
        <f>Source!DI806</f>
        <v/>
      </c>
      <c r="H1068" s="9">
        <f>Source!AV806</f>
        <v>1</v>
      </c>
      <c r="I1068" s="9"/>
      <c r="J1068" s="21"/>
      <c r="K1068" s="21">
        <f>Source!U806</f>
        <v>4.0800000000000003E-3</v>
      </c>
    </row>
    <row r="1069" spans="1:22" ht="15" x14ac:dyDescent="0.25">
      <c r="A1069" s="23"/>
      <c r="B1069" s="23"/>
      <c r="C1069" s="23"/>
      <c r="D1069" s="23"/>
      <c r="E1069" s="23"/>
      <c r="F1069" s="23"/>
      <c r="G1069" s="23"/>
      <c r="H1069" s="23"/>
      <c r="I1069" s="44">
        <f>J1065+J1066+J1067</f>
        <v>3.93</v>
      </c>
      <c r="J1069" s="44"/>
      <c r="K1069" s="24">
        <f>IF(Source!I806&lt;&gt;0, ROUND(I1069/Source!I806, 2), 0)</f>
        <v>1965</v>
      </c>
      <c r="P1069" s="22">
        <f>I1069</f>
        <v>3.93</v>
      </c>
    </row>
    <row r="1070" spans="1:22" ht="85.5" x14ac:dyDescent="0.2">
      <c r="A1070" s="18">
        <v>118</v>
      </c>
      <c r="B1070" s="18" t="str">
        <f>Source!F807</f>
        <v>1.21-2203-37-1/1</v>
      </c>
      <c r="C1070" s="18" t="str">
        <f>Source!G807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1070" s="19" t="str">
        <f>Source!H807</f>
        <v>шт.</v>
      </c>
      <c r="E1070" s="9">
        <f>Source!I807</f>
        <v>1</v>
      </c>
      <c r="F1070" s="21"/>
      <c r="G1070" s="20"/>
      <c r="H1070" s="9"/>
      <c r="I1070" s="9"/>
      <c r="J1070" s="21"/>
      <c r="K1070" s="21"/>
      <c r="Q1070">
        <f>ROUND((Source!BZ807/100)*ROUND((Source!AF807*Source!AV807)*Source!I807, 2), 2)</f>
        <v>236.12</v>
      </c>
      <c r="R1070">
        <f>Source!X807</f>
        <v>236.12</v>
      </c>
      <c r="S1070">
        <f>ROUND((Source!CA807/100)*ROUND((Source!AF807*Source!AV807)*Source!I807, 2), 2)</f>
        <v>33.729999999999997</v>
      </c>
      <c r="T1070">
        <f>Source!Y807</f>
        <v>33.729999999999997</v>
      </c>
      <c r="U1070">
        <f>ROUND((175/100)*ROUND((Source!AE807*Source!AV807)*Source!I807, 2), 2)</f>
        <v>0</v>
      </c>
      <c r="V1070">
        <f>ROUND((108/100)*ROUND(Source!CS807*Source!I807, 2), 2)</f>
        <v>0</v>
      </c>
    </row>
    <row r="1071" spans="1:22" ht="14.25" x14ac:dyDescent="0.2">
      <c r="A1071" s="18"/>
      <c r="B1071" s="18"/>
      <c r="C1071" s="18" t="s">
        <v>1100</v>
      </c>
      <c r="D1071" s="19"/>
      <c r="E1071" s="9"/>
      <c r="F1071" s="21">
        <f>Source!AO807</f>
        <v>337.31</v>
      </c>
      <c r="G1071" s="20" t="str">
        <f>Source!DG807</f>
        <v/>
      </c>
      <c r="H1071" s="9">
        <f>Source!AV807</f>
        <v>1</v>
      </c>
      <c r="I1071" s="9">
        <f>IF(Source!BA807&lt;&gt; 0, Source!BA807, 1)</f>
        <v>1</v>
      </c>
      <c r="J1071" s="21">
        <f>Source!S807</f>
        <v>337.31</v>
      </c>
      <c r="K1071" s="21"/>
    </row>
    <row r="1072" spans="1:22" ht="14.25" x14ac:dyDescent="0.2">
      <c r="A1072" s="18"/>
      <c r="B1072" s="18"/>
      <c r="C1072" s="18" t="s">
        <v>1101</v>
      </c>
      <c r="D1072" s="19"/>
      <c r="E1072" s="9"/>
      <c r="F1072" s="21">
        <f>Source!AL807</f>
        <v>1.57</v>
      </c>
      <c r="G1072" s="20" t="str">
        <f>Source!DD807</f>
        <v/>
      </c>
      <c r="H1072" s="9">
        <f>Source!AW807</f>
        <v>1</v>
      </c>
      <c r="I1072" s="9">
        <f>IF(Source!BC807&lt;&gt; 0, Source!BC807, 1)</f>
        <v>1</v>
      </c>
      <c r="J1072" s="21">
        <f>Source!P807</f>
        <v>1.57</v>
      </c>
      <c r="K1072" s="21"/>
    </row>
    <row r="1073" spans="1:22" ht="14.25" x14ac:dyDescent="0.2">
      <c r="A1073" s="18"/>
      <c r="B1073" s="18"/>
      <c r="C1073" s="18" t="s">
        <v>1102</v>
      </c>
      <c r="D1073" s="19" t="s">
        <v>1103</v>
      </c>
      <c r="E1073" s="9">
        <f>Source!AT807</f>
        <v>70</v>
      </c>
      <c r="F1073" s="21"/>
      <c r="G1073" s="20"/>
      <c r="H1073" s="9"/>
      <c r="I1073" s="9"/>
      <c r="J1073" s="21">
        <f>SUM(R1070:R1072)</f>
        <v>236.12</v>
      </c>
      <c r="K1073" s="21"/>
    </row>
    <row r="1074" spans="1:22" ht="14.25" x14ac:dyDescent="0.2">
      <c r="A1074" s="18"/>
      <c r="B1074" s="18"/>
      <c r="C1074" s="18" t="s">
        <v>1104</v>
      </c>
      <c r="D1074" s="19" t="s">
        <v>1103</v>
      </c>
      <c r="E1074" s="9">
        <f>Source!AU807</f>
        <v>10</v>
      </c>
      <c r="F1074" s="21"/>
      <c r="G1074" s="20"/>
      <c r="H1074" s="9"/>
      <c r="I1074" s="9"/>
      <c r="J1074" s="21">
        <f>SUM(T1070:T1073)</f>
        <v>33.729999999999997</v>
      </c>
      <c r="K1074" s="21"/>
    </row>
    <row r="1075" spans="1:22" ht="14.25" x14ac:dyDescent="0.2">
      <c r="A1075" s="18"/>
      <c r="B1075" s="18"/>
      <c r="C1075" s="18" t="s">
        <v>1105</v>
      </c>
      <c r="D1075" s="19" t="s">
        <v>1106</v>
      </c>
      <c r="E1075" s="9">
        <f>Source!AQ807</f>
        <v>0.6</v>
      </c>
      <c r="F1075" s="21"/>
      <c r="G1075" s="20" t="str">
        <f>Source!DI807</f>
        <v/>
      </c>
      <c r="H1075" s="9">
        <f>Source!AV807</f>
        <v>1</v>
      </c>
      <c r="I1075" s="9"/>
      <c r="J1075" s="21"/>
      <c r="K1075" s="21">
        <f>Source!U807</f>
        <v>0.6</v>
      </c>
    </row>
    <row r="1076" spans="1:22" ht="15" x14ac:dyDescent="0.25">
      <c r="A1076" s="23"/>
      <c r="B1076" s="23"/>
      <c r="C1076" s="23"/>
      <c r="D1076" s="23"/>
      <c r="E1076" s="23"/>
      <c r="F1076" s="23"/>
      <c r="G1076" s="23"/>
      <c r="H1076" s="23"/>
      <c r="I1076" s="44">
        <f>J1071+J1072+J1073+J1074</f>
        <v>608.73</v>
      </c>
      <c r="J1076" s="44"/>
      <c r="K1076" s="24">
        <f>IF(Source!I807&lt;&gt;0, ROUND(I1076/Source!I807, 2), 0)</f>
        <v>608.73</v>
      </c>
      <c r="P1076" s="22">
        <f>I1076</f>
        <v>608.73</v>
      </c>
    </row>
    <row r="1077" spans="1:22" ht="42.75" x14ac:dyDescent="0.2">
      <c r="A1077" s="18">
        <v>119</v>
      </c>
      <c r="B1077" s="18" t="str">
        <f>Source!F810</f>
        <v>1.21-2203-14-1/1</v>
      </c>
      <c r="C1077" s="18" t="str">
        <f>Source!G810</f>
        <v>Техническое обслуживание шкафа учета электроэнергии, с количеством счетчиков 2</v>
      </c>
      <c r="D1077" s="19" t="str">
        <f>Source!H810</f>
        <v>шт.</v>
      </c>
      <c r="E1077" s="9">
        <f>Source!I810</f>
        <v>1</v>
      </c>
      <c r="F1077" s="21"/>
      <c r="G1077" s="20"/>
      <c r="H1077" s="9"/>
      <c r="I1077" s="9"/>
      <c r="J1077" s="21"/>
      <c r="K1077" s="21"/>
      <c r="Q1077">
        <f>ROUND((Source!BZ810/100)*ROUND((Source!AF810*Source!AV810)*Source!I810, 2), 2)</f>
        <v>93.11</v>
      </c>
      <c r="R1077">
        <f>Source!X810</f>
        <v>93.11</v>
      </c>
      <c r="S1077">
        <f>ROUND((Source!CA810/100)*ROUND((Source!AF810*Source!AV810)*Source!I810, 2), 2)</f>
        <v>13.3</v>
      </c>
      <c r="T1077">
        <f>Source!Y810</f>
        <v>13.3</v>
      </c>
      <c r="U1077">
        <f>ROUND((175/100)*ROUND((Source!AE810*Source!AV810)*Source!I810, 2), 2)</f>
        <v>18.8</v>
      </c>
      <c r="V1077">
        <f>ROUND((108/100)*ROUND(Source!CS810*Source!I810, 2), 2)</f>
        <v>11.6</v>
      </c>
    </row>
    <row r="1078" spans="1:22" ht="14.25" x14ac:dyDescent="0.2">
      <c r="A1078" s="18"/>
      <c r="B1078" s="18"/>
      <c r="C1078" s="18" t="s">
        <v>1100</v>
      </c>
      <c r="D1078" s="19"/>
      <c r="E1078" s="9"/>
      <c r="F1078" s="21">
        <f>Source!AO810</f>
        <v>133.01</v>
      </c>
      <c r="G1078" s="20" t="str">
        <f>Source!DG810</f>
        <v/>
      </c>
      <c r="H1078" s="9">
        <f>Source!AV810</f>
        <v>1</v>
      </c>
      <c r="I1078" s="9">
        <f>IF(Source!BA810&lt;&gt; 0, Source!BA810, 1)</f>
        <v>1</v>
      </c>
      <c r="J1078" s="21">
        <f>Source!S810</f>
        <v>133.01</v>
      </c>
      <c r="K1078" s="21"/>
    </row>
    <row r="1079" spans="1:22" ht="14.25" x14ac:dyDescent="0.2">
      <c r="A1079" s="18"/>
      <c r="B1079" s="18"/>
      <c r="C1079" s="18" t="s">
        <v>1107</v>
      </c>
      <c r="D1079" s="19"/>
      <c r="E1079" s="9"/>
      <c r="F1079" s="21">
        <f>Source!AM810</f>
        <v>16.940000000000001</v>
      </c>
      <c r="G1079" s="20" t="str">
        <f>Source!DE810</f>
        <v/>
      </c>
      <c r="H1079" s="9">
        <f>Source!AV810</f>
        <v>1</v>
      </c>
      <c r="I1079" s="9">
        <f>IF(Source!BB810&lt;&gt; 0, Source!BB810, 1)</f>
        <v>1</v>
      </c>
      <c r="J1079" s="21">
        <f>Source!Q810</f>
        <v>16.940000000000001</v>
      </c>
      <c r="K1079" s="21"/>
    </row>
    <row r="1080" spans="1:22" ht="14.25" x14ac:dyDescent="0.2">
      <c r="A1080" s="18"/>
      <c r="B1080" s="18"/>
      <c r="C1080" s="18" t="s">
        <v>1108</v>
      </c>
      <c r="D1080" s="19"/>
      <c r="E1080" s="9"/>
      <c r="F1080" s="21">
        <f>Source!AN810</f>
        <v>10.74</v>
      </c>
      <c r="G1080" s="20" t="str">
        <f>Source!DF810</f>
        <v/>
      </c>
      <c r="H1080" s="9">
        <f>Source!AV810</f>
        <v>1</v>
      </c>
      <c r="I1080" s="9">
        <f>IF(Source!BS810&lt;&gt; 0, Source!BS810, 1)</f>
        <v>1</v>
      </c>
      <c r="J1080" s="25">
        <f>Source!R810</f>
        <v>10.74</v>
      </c>
      <c r="K1080" s="21"/>
    </row>
    <row r="1081" spans="1:22" ht="14.25" x14ac:dyDescent="0.2">
      <c r="A1081" s="18"/>
      <c r="B1081" s="18"/>
      <c r="C1081" s="18" t="s">
        <v>1101</v>
      </c>
      <c r="D1081" s="19"/>
      <c r="E1081" s="9"/>
      <c r="F1081" s="21">
        <f>Source!AL810</f>
        <v>0.06</v>
      </c>
      <c r="G1081" s="20" t="str">
        <f>Source!DD810</f>
        <v/>
      </c>
      <c r="H1081" s="9">
        <f>Source!AW810</f>
        <v>1</v>
      </c>
      <c r="I1081" s="9">
        <f>IF(Source!BC810&lt;&gt; 0, Source!BC810, 1)</f>
        <v>1</v>
      </c>
      <c r="J1081" s="21">
        <f>Source!P810</f>
        <v>0.06</v>
      </c>
      <c r="K1081" s="21"/>
    </row>
    <row r="1082" spans="1:22" ht="14.25" x14ac:dyDescent="0.2">
      <c r="A1082" s="18"/>
      <c r="B1082" s="18"/>
      <c r="C1082" s="18" t="s">
        <v>1102</v>
      </c>
      <c r="D1082" s="19" t="s">
        <v>1103</v>
      </c>
      <c r="E1082" s="9">
        <f>Source!AT810</f>
        <v>70</v>
      </c>
      <c r="F1082" s="21"/>
      <c r="G1082" s="20"/>
      <c r="H1082" s="9"/>
      <c r="I1082" s="9"/>
      <c r="J1082" s="21">
        <f>SUM(R1077:R1081)</f>
        <v>93.11</v>
      </c>
      <c r="K1082" s="21"/>
    </row>
    <row r="1083" spans="1:22" ht="14.25" x14ac:dyDescent="0.2">
      <c r="A1083" s="18"/>
      <c r="B1083" s="18"/>
      <c r="C1083" s="18" t="s">
        <v>1104</v>
      </c>
      <c r="D1083" s="19" t="s">
        <v>1103</v>
      </c>
      <c r="E1083" s="9">
        <f>Source!AU810</f>
        <v>10</v>
      </c>
      <c r="F1083" s="21"/>
      <c r="G1083" s="20"/>
      <c r="H1083" s="9"/>
      <c r="I1083" s="9"/>
      <c r="J1083" s="21">
        <f>SUM(T1077:T1082)</f>
        <v>13.3</v>
      </c>
      <c r="K1083" s="21"/>
    </row>
    <row r="1084" spans="1:22" ht="14.25" x14ac:dyDescent="0.2">
      <c r="A1084" s="18"/>
      <c r="B1084" s="18"/>
      <c r="C1084" s="18" t="s">
        <v>1109</v>
      </c>
      <c r="D1084" s="19" t="s">
        <v>1103</v>
      </c>
      <c r="E1084" s="9">
        <f>108</f>
        <v>108</v>
      </c>
      <c r="F1084" s="21"/>
      <c r="G1084" s="20"/>
      <c r="H1084" s="9"/>
      <c r="I1084" s="9"/>
      <c r="J1084" s="21">
        <f>SUM(V1077:V1083)</f>
        <v>11.6</v>
      </c>
      <c r="K1084" s="21"/>
    </row>
    <row r="1085" spans="1:22" ht="14.25" x14ac:dyDescent="0.2">
      <c r="A1085" s="18"/>
      <c r="B1085" s="18"/>
      <c r="C1085" s="18" t="s">
        <v>1105</v>
      </c>
      <c r="D1085" s="19" t="s">
        <v>1106</v>
      </c>
      <c r="E1085" s="9">
        <f>Source!AQ810</f>
        <v>0.25</v>
      </c>
      <c r="F1085" s="21"/>
      <c r="G1085" s="20" t="str">
        <f>Source!DI810</f>
        <v/>
      </c>
      <c r="H1085" s="9">
        <f>Source!AV810</f>
        <v>1</v>
      </c>
      <c r="I1085" s="9"/>
      <c r="J1085" s="21"/>
      <c r="K1085" s="21">
        <f>Source!U810</f>
        <v>0.25</v>
      </c>
    </row>
    <row r="1086" spans="1:22" ht="15" x14ac:dyDescent="0.25">
      <c r="A1086" s="23"/>
      <c r="B1086" s="23"/>
      <c r="C1086" s="23"/>
      <c r="D1086" s="23"/>
      <c r="E1086" s="23"/>
      <c r="F1086" s="23"/>
      <c r="G1086" s="23"/>
      <c r="H1086" s="23"/>
      <c r="I1086" s="44">
        <f>J1078+J1079+J1081+J1082+J1083+J1084</f>
        <v>268.02000000000004</v>
      </c>
      <c r="J1086" s="44"/>
      <c r="K1086" s="24">
        <f>IF(Source!I810&lt;&gt;0, ROUND(I1086/Source!I810, 2), 0)</f>
        <v>268.02</v>
      </c>
      <c r="P1086" s="22">
        <f>I1086</f>
        <v>268.02000000000004</v>
      </c>
    </row>
    <row r="1088" spans="1:22" ht="15" customHeight="1" x14ac:dyDescent="0.25">
      <c r="B1088" s="47" t="str">
        <f>Source!G811</f>
        <v>Щитовое оборудование</v>
      </c>
      <c r="C1088" s="47"/>
      <c r="D1088" s="47"/>
      <c r="E1088" s="47"/>
      <c r="F1088" s="47"/>
      <c r="G1088" s="47"/>
      <c r="H1088" s="47"/>
      <c r="I1088" s="47"/>
      <c r="J1088" s="47"/>
    </row>
    <row r="1089" spans="1:22" ht="57" x14ac:dyDescent="0.2">
      <c r="A1089" s="18">
        <v>120</v>
      </c>
      <c r="B1089" s="18" t="str">
        <f>Source!F812</f>
        <v>1.20-2203-1-1/1</v>
      </c>
      <c r="C1089" s="18" t="str">
        <f>Source!G812</f>
        <v>Техническое обслуживание щита осветительного группового с установочными автоматами, число групп 2 / ЩАО2-4</v>
      </c>
      <c r="D1089" s="19" t="str">
        <f>Source!H812</f>
        <v>шт.</v>
      </c>
      <c r="E1089" s="9">
        <f>Source!I812</f>
        <v>1</v>
      </c>
      <c r="F1089" s="21"/>
      <c r="G1089" s="20"/>
      <c r="H1089" s="9"/>
      <c r="I1089" s="9"/>
      <c r="J1089" s="21"/>
      <c r="K1089" s="21"/>
      <c r="Q1089">
        <f>ROUND((Source!BZ812/100)*ROUND((Source!AF812*Source!AV812)*Source!I812, 2), 2)</f>
        <v>1296.73</v>
      </c>
      <c r="R1089">
        <f>Source!X812</f>
        <v>1296.73</v>
      </c>
      <c r="S1089">
        <f>ROUND((Source!CA812/100)*ROUND((Source!AF812*Source!AV812)*Source!I812, 2), 2)</f>
        <v>185.25</v>
      </c>
      <c r="T1089">
        <f>Source!Y812</f>
        <v>185.25</v>
      </c>
      <c r="U1089">
        <f>ROUND((175/100)*ROUND((Source!AE812*Source!AV812)*Source!I812, 2), 2)</f>
        <v>0</v>
      </c>
      <c r="V1089">
        <f>ROUND((108/100)*ROUND(Source!CS812*Source!I812, 2), 2)</f>
        <v>0</v>
      </c>
    </row>
    <row r="1090" spans="1:22" ht="14.25" x14ac:dyDescent="0.2">
      <c r="A1090" s="18"/>
      <c r="B1090" s="18"/>
      <c r="C1090" s="18" t="s">
        <v>1100</v>
      </c>
      <c r="D1090" s="19"/>
      <c r="E1090" s="9"/>
      <c r="F1090" s="21">
        <f>Source!AO812</f>
        <v>1852.47</v>
      </c>
      <c r="G1090" s="20" t="str">
        <f>Source!DG812</f>
        <v/>
      </c>
      <c r="H1090" s="9">
        <f>Source!AV812</f>
        <v>1</v>
      </c>
      <c r="I1090" s="9">
        <f>IF(Source!BA812&lt;&gt; 0, Source!BA812, 1)</f>
        <v>1</v>
      </c>
      <c r="J1090" s="21">
        <f>Source!S812</f>
        <v>1852.47</v>
      </c>
      <c r="K1090" s="21"/>
    </row>
    <row r="1091" spans="1:22" ht="14.25" x14ac:dyDescent="0.2">
      <c r="A1091" s="18"/>
      <c r="B1091" s="18"/>
      <c r="C1091" s="18" t="s">
        <v>1101</v>
      </c>
      <c r="D1091" s="19"/>
      <c r="E1091" s="9"/>
      <c r="F1091" s="21">
        <f>Source!AL812</f>
        <v>27.91</v>
      </c>
      <c r="G1091" s="20" t="str">
        <f>Source!DD812</f>
        <v/>
      </c>
      <c r="H1091" s="9">
        <f>Source!AW812</f>
        <v>1</v>
      </c>
      <c r="I1091" s="9">
        <f>IF(Source!BC812&lt;&gt; 0, Source!BC812, 1)</f>
        <v>1</v>
      </c>
      <c r="J1091" s="21">
        <f>Source!P812</f>
        <v>27.91</v>
      </c>
      <c r="K1091" s="21"/>
    </row>
    <row r="1092" spans="1:22" ht="14.25" x14ac:dyDescent="0.2">
      <c r="A1092" s="18"/>
      <c r="B1092" s="18"/>
      <c r="C1092" s="18" t="s">
        <v>1102</v>
      </c>
      <c r="D1092" s="19" t="s">
        <v>1103</v>
      </c>
      <c r="E1092" s="9">
        <f>Source!AT812</f>
        <v>70</v>
      </c>
      <c r="F1092" s="21"/>
      <c r="G1092" s="20"/>
      <c r="H1092" s="9"/>
      <c r="I1092" s="9"/>
      <c r="J1092" s="21">
        <f>SUM(R1089:R1091)</f>
        <v>1296.73</v>
      </c>
      <c r="K1092" s="21"/>
    </row>
    <row r="1093" spans="1:22" ht="14.25" x14ac:dyDescent="0.2">
      <c r="A1093" s="18"/>
      <c r="B1093" s="18"/>
      <c r="C1093" s="18" t="s">
        <v>1104</v>
      </c>
      <c r="D1093" s="19" t="s">
        <v>1103</v>
      </c>
      <c r="E1093" s="9">
        <f>Source!AU812</f>
        <v>10</v>
      </c>
      <c r="F1093" s="21"/>
      <c r="G1093" s="20"/>
      <c r="H1093" s="9"/>
      <c r="I1093" s="9"/>
      <c r="J1093" s="21">
        <f>SUM(T1089:T1092)</f>
        <v>185.25</v>
      </c>
      <c r="K1093" s="21"/>
    </row>
    <row r="1094" spans="1:22" ht="14.25" x14ac:dyDescent="0.2">
      <c r="A1094" s="18"/>
      <c r="B1094" s="18"/>
      <c r="C1094" s="18" t="s">
        <v>1105</v>
      </c>
      <c r="D1094" s="19" t="s">
        <v>1106</v>
      </c>
      <c r="E1094" s="9">
        <f>Source!AQ812</f>
        <v>3</v>
      </c>
      <c r="F1094" s="21"/>
      <c r="G1094" s="20" t="str">
        <f>Source!DI812</f>
        <v/>
      </c>
      <c r="H1094" s="9">
        <f>Source!AV812</f>
        <v>1</v>
      </c>
      <c r="I1094" s="9"/>
      <c r="J1094" s="21"/>
      <c r="K1094" s="21">
        <f>Source!U812</f>
        <v>3</v>
      </c>
    </row>
    <row r="1095" spans="1:22" ht="15" x14ac:dyDescent="0.25">
      <c r="A1095" s="23"/>
      <c r="B1095" s="23"/>
      <c r="C1095" s="23"/>
      <c r="D1095" s="23"/>
      <c r="E1095" s="23"/>
      <c r="F1095" s="23"/>
      <c r="G1095" s="23"/>
      <c r="H1095" s="23"/>
      <c r="I1095" s="44">
        <f>J1090+J1091+J1092+J1093</f>
        <v>3362.36</v>
      </c>
      <c r="J1095" s="44"/>
      <c r="K1095" s="24">
        <f>IF(Source!I812&lt;&gt;0, ROUND(I1095/Source!I812, 2), 0)</f>
        <v>3362.36</v>
      </c>
      <c r="P1095" s="22">
        <f>I1095</f>
        <v>3362.36</v>
      </c>
    </row>
    <row r="1096" spans="1:22" ht="71.25" x14ac:dyDescent="0.2">
      <c r="A1096" s="18">
        <v>121</v>
      </c>
      <c r="B1096" s="18" t="str">
        <f>Source!F814</f>
        <v>1.20-2203-1-2/1</v>
      </c>
      <c r="C1096" s="18" t="str">
        <f>Source!G814</f>
        <v>Техническое обслуживание щита осветительного группового с установочными автоматами, число групп 4 / ЩО1-2, ЩО2-1, ЩО2-4, ЩАО1-2, ЩАО1-3, ЩАО2-1</v>
      </c>
      <c r="D1096" s="19" t="str">
        <f>Source!H814</f>
        <v>шт.</v>
      </c>
      <c r="E1096" s="9">
        <f>Source!I814</f>
        <v>6</v>
      </c>
      <c r="F1096" s="21"/>
      <c r="G1096" s="20"/>
      <c r="H1096" s="9"/>
      <c r="I1096" s="9"/>
      <c r="J1096" s="21"/>
      <c r="K1096" s="21"/>
      <c r="Q1096">
        <f>ROUND((Source!BZ814/100)*ROUND((Source!AF814*Source!AV814)*Source!I814, 2), 2)</f>
        <v>11670.54</v>
      </c>
      <c r="R1096">
        <f>Source!X814</f>
        <v>11670.54</v>
      </c>
      <c r="S1096">
        <f>ROUND((Source!CA814/100)*ROUND((Source!AF814*Source!AV814)*Source!I814, 2), 2)</f>
        <v>1667.22</v>
      </c>
      <c r="T1096">
        <f>Source!Y814</f>
        <v>1667.22</v>
      </c>
      <c r="U1096">
        <f>ROUND((175/100)*ROUND((Source!AE814*Source!AV814)*Source!I814, 2), 2)</f>
        <v>0</v>
      </c>
      <c r="V1096">
        <f>ROUND((108/100)*ROUND(Source!CS814*Source!I814, 2), 2)</f>
        <v>0</v>
      </c>
    </row>
    <row r="1097" spans="1:22" ht="14.25" x14ac:dyDescent="0.2">
      <c r="A1097" s="18"/>
      <c r="B1097" s="18"/>
      <c r="C1097" s="18" t="s">
        <v>1100</v>
      </c>
      <c r="D1097" s="19"/>
      <c r="E1097" s="9"/>
      <c r="F1097" s="21">
        <f>Source!AO814</f>
        <v>2778.7</v>
      </c>
      <c r="G1097" s="20" t="str">
        <f>Source!DG814</f>
        <v/>
      </c>
      <c r="H1097" s="9">
        <f>Source!AV814</f>
        <v>1</v>
      </c>
      <c r="I1097" s="9">
        <f>IF(Source!BA814&lt;&gt; 0, Source!BA814, 1)</f>
        <v>1</v>
      </c>
      <c r="J1097" s="21">
        <f>Source!S814</f>
        <v>16672.2</v>
      </c>
      <c r="K1097" s="21"/>
    </row>
    <row r="1098" spans="1:22" ht="14.25" x14ac:dyDescent="0.2">
      <c r="A1098" s="18"/>
      <c r="B1098" s="18"/>
      <c r="C1098" s="18" t="s">
        <v>1101</v>
      </c>
      <c r="D1098" s="19"/>
      <c r="E1098" s="9"/>
      <c r="F1098" s="21">
        <f>Source!AL814</f>
        <v>42.02</v>
      </c>
      <c r="G1098" s="20" t="str">
        <f>Source!DD814</f>
        <v/>
      </c>
      <c r="H1098" s="9">
        <f>Source!AW814</f>
        <v>1</v>
      </c>
      <c r="I1098" s="9">
        <f>IF(Source!BC814&lt;&gt; 0, Source!BC814, 1)</f>
        <v>1</v>
      </c>
      <c r="J1098" s="21">
        <f>Source!P814</f>
        <v>252.12</v>
      </c>
      <c r="K1098" s="21"/>
    </row>
    <row r="1099" spans="1:22" ht="14.25" x14ac:dyDescent="0.2">
      <c r="A1099" s="18"/>
      <c r="B1099" s="18"/>
      <c r="C1099" s="18" t="s">
        <v>1102</v>
      </c>
      <c r="D1099" s="19" t="s">
        <v>1103</v>
      </c>
      <c r="E1099" s="9">
        <f>Source!AT814</f>
        <v>70</v>
      </c>
      <c r="F1099" s="21"/>
      <c r="G1099" s="20"/>
      <c r="H1099" s="9"/>
      <c r="I1099" s="9"/>
      <c r="J1099" s="21">
        <f>SUM(R1096:R1098)</f>
        <v>11670.54</v>
      </c>
      <c r="K1099" s="21"/>
    </row>
    <row r="1100" spans="1:22" ht="14.25" x14ac:dyDescent="0.2">
      <c r="A1100" s="18"/>
      <c r="B1100" s="18"/>
      <c r="C1100" s="18" t="s">
        <v>1104</v>
      </c>
      <c r="D1100" s="19" t="s">
        <v>1103</v>
      </c>
      <c r="E1100" s="9">
        <f>Source!AU814</f>
        <v>10</v>
      </c>
      <c r="F1100" s="21"/>
      <c r="G1100" s="20"/>
      <c r="H1100" s="9"/>
      <c r="I1100" s="9"/>
      <c r="J1100" s="21">
        <f>SUM(T1096:T1099)</f>
        <v>1667.22</v>
      </c>
      <c r="K1100" s="21"/>
    </row>
    <row r="1101" spans="1:22" ht="14.25" x14ac:dyDescent="0.2">
      <c r="A1101" s="18"/>
      <c r="B1101" s="18"/>
      <c r="C1101" s="18" t="s">
        <v>1105</v>
      </c>
      <c r="D1101" s="19" t="s">
        <v>1106</v>
      </c>
      <c r="E1101" s="9">
        <f>Source!AQ814</f>
        <v>4.5</v>
      </c>
      <c r="F1101" s="21"/>
      <c r="G1101" s="20" t="str">
        <f>Source!DI814</f>
        <v/>
      </c>
      <c r="H1101" s="9">
        <f>Source!AV814</f>
        <v>1</v>
      </c>
      <c r="I1101" s="9"/>
      <c r="J1101" s="21"/>
      <c r="K1101" s="21">
        <f>Source!U814</f>
        <v>27</v>
      </c>
    </row>
    <row r="1102" spans="1:22" ht="15" x14ac:dyDescent="0.25">
      <c r="A1102" s="23"/>
      <c r="B1102" s="23"/>
      <c r="C1102" s="23"/>
      <c r="D1102" s="23"/>
      <c r="E1102" s="23"/>
      <c r="F1102" s="23"/>
      <c r="G1102" s="23"/>
      <c r="H1102" s="23"/>
      <c r="I1102" s="44">
        <f>J1097+J1098+J1099+J1100</f>
        <v>30262.080000000002</v>
      </c>
      <c r="J1102" s="44"/>
      <c r="K1102" s="24">
        <f>IF(Source!I814&lt;&gt;0, ROUND(I1102/Source!I814, 2), 0)</f>
        <v>5043.68</v>
      </c>
      <c r="P1102" s="22">
        <f>I1102</f>
        <v>30262.080000000002</v>
      </c>
    </row>
    <row r="1103" spans="1:22" ht="71.25" x14ac:dyDescent="0.2">
      <c r="A1103" s="18">
        <v>122</v>
      </c>
      <c r="B1103" s="18" t="str">
        <f>Source!F816</f>
        <v>1.20-2203-1-3/1</v>
      </c>
      <c r="C1103" s="18" t="str">
        <f>Source!G816</f>
        <v>Техническое обслуживание щита осветительного группового с установочными автоматами, число групп 6 / ЩО1-1, ЩО1-3, ЩО2-2, ЩО2-3, ЩАО1-1, ЩАО1-4, ЩАО2-2, ЩАО2-3</v>
      </c>
      <c r="D1103" s="19" t="str">
        <f>Source!H816</f>
        <v>шт.</v>
      </c>
      <c r="E1103" s="9">
        <f>Source!I816</f>
        <v>8</v>
      </c>
      <c r="F1103" s="21"/>
      <c r="G1103" s="20"/>
      <c r="H1103" s="9"/>
      <c r="I1103" s="9"/>
      <c r="J1103" s="21"/>
      <c r="K1103" s="21"/>
      <c r="Q1103">
        <f>ROUND((Source!BZ816/100)*ROUND((Source!AF816*Source!AV816)*Source!I816, 2), 2)</f>
        <v>20747.66</v>
      </c>
      <c r="R1103">
        <f>Source!X816</f>
        <v>20747.66</v>
      </c>
      <c r="S1103">
        <f>ROUND((Source!CA816/100)*ROUND((Source!AF816*Source!AV816)*Source!I816, 2), 2)</f>
        <v>2963.95</v>
      </c>
      <c r="T1103">
        <f>Source!Y816</f>
        <v>2963.95</v>
      </c>
      <c r="U1103">
        <f>ROUND((175/100)*ROUND((Source!AE816*Source!AV816)*Source!I816, 2), 2)</f>
        <v>0</v>
      </c>
      <c r="V1103">
        <f>ROUND((108/100)*ROUND(Source!CS816*Source!I816, 2), 2)</f>
        <v>0</v>
      </c>
    </row>
    <row r="1104" spans="1:22" ht="14.25" x14ac:dyDescent="0.2">
      <c r="A1104" s="18"/>
      <c r="B1104" s="18"/>
      <c r="C1104" s="18" t="s">
        <v>1100</v>
      </c>
      <c r="D1104" s="19"/>
      <c r="E1104" s="9"/>
      <c r="F1104" s="21">
        <f>Source!AO816</f>
        <v>3704.94</v>
      </c>
      <c r="G1104" s="20" t="str">
        <f>Source!DG816</f>
        <v/>
      </c>
      <c r="H1104" s="9">
        <f>Source!AV816</f>
        <v>1</v>
      </c>
      <c r="I1104" s="9">
        <f>IF(Source!BA816&lt;&gt; 0, Source!BA816, 1)</f>
        <v>1</v>
      </c>
      <c r="J1104" s="21">
        <f>Source!S816</f>
        <v>29639.52</v>
      </c>
      <c r="K1104" s="21"/>
    </row>
    <row r="1105" spans="1:22" ht="14.25" x14ac:dyDescent="0.2">
      <c r="A1105" s="18"/>
      <c r="B1105" s="18"/>
      <c r="C1105" s="18" t="s">
        <v>1101</v>
      </c>
      <c r="D1105" s="19"/>
      <c r="E1105" s="9"/>
      <c r="F1105" s="21">
        <f>Source!AL816</f>
        <v>55.07</v>
      </c>
      <c r="G1105" s="20" t="str">
        <f>Source!DD816</f>
        <v/>
      </c>
      <c r="H1105" s="9">
        <f>Source!AW816</f>
        <v>1</v>
      </c>
      <c r="I1105" s="9">
        <f>IF(Source!BC816&lt;&gt; 0, Source!BC816, 1)</f>
        <v>1</v>
      </c>
      <c r="J1105" s="21">
        <f>Source!P816</f>
        <v>440.56</v>
      </c>
      <c r="K1105" s="21"/>
    </row>
    <row r="1106" spans="1:22" ht="14.25" x14ac:dyDescent="0.2">
      <c r="A1106" s="18"/>
      <c r="B1106" s="18"/>
      <c r="C1106" s="18" t="s">
        <v>1102</v>
      </c>
      <c r="D1106" s="19" t="s">
        <v>1103</v>
      </c>
      <c r="E1106" s="9">
        <f>Source!AT816</f>
        <v>70</v>
      </c>
      <c r="F1106" s="21"/>
      <c r="G1106" s="20"/>
      <c r="H1106" s="9"/>
      <c r="I1106" s="9"/>
      <c r="J1106" s="21">
        <f>SUM(R1103:R1105)</f>
        <v>20747.66</v>
      </c>
      <c r="K1106" s="21"/>
    </row>
    <row r="1107" spans="1:22" ht="14.25" x14ac:dyDescent="0.2">
      <c r="A1107" s="18"/>
      <c r="B1107" s="18"/>
      <c r="C1107" s="18" t="s">
        <v>1104</v>
      </c>
      <c r="D1107" s="19" t="s">
        <v>1103</v>
      </c>
      <c r="E1107" s="9">
        <f>Source!AU816</f>
        <v>10</v>
      </c>
      <c r="F1107" s="21"/>
      <c r="G1107" s="20"/>
      <c r="H1107" s="9"/>
      <c r="I1107" s="9"/>
      <c r="J1107" s="21">
        <f>SUM(T1103:T1106)</f>
        <v>2963.95</v>
      </c>
      <c r="K1107" s="21"/>
    </row>
    <row r="1108" spans="1:22" ht="14.25" x14ac:dyDescent="0.2">
      <c r="A1108" s="18"/>
      <c r="B1108" s="18"/>
      <c r="C1108" s="18" t="s">
        <v>1105</v>
      </c>
      <c r="D1108" s="19" t="s">
        <v>1106</v>
      </c>
      <c r="E1108" s="9">
        <f>Source!AQ816</f>
        <v>6</v>
      </c>
      <c r="F1108" s="21"/>
      <c r="G1108" s="20" t="str">
        <f>Source!DI816</f>
        <v/>
      </c>
      <c r="H1108" s="9">
        <f>Source!AV816</f>
        <v>1</v>
      </c>
      <c r="I1108" s="9"/>
      <c r="J1108" s="21"/>
      <c r="K1108" s="21">
        <f>Source!U816</f>
        <v>48</v>
      </c>
    </row>
    <row r="1109" spans="1:22" ht="15" x14ac:dyDescent="0.25">
      <c r="A1109" s="23"/>
      <c r="B1109" s="23"/>
      <c r="C1109" s="23"/>
      <c r="D1109" s="23"/>
      <c r="E1109" s="23"/>
      <c r="F1109" s="23"/>
      <c r="G1109" s="23"/>
      <c r="H1109" s="23"/>
      <c r="I1109" s="44">
        <f>J1104+J1105+J1106+J1107</f>
        <v>53791.69</v>
      </c>
      <c r="J1109" s="44"/>
      <c r="K1109" s="24">
        <f>IF(Source!I816&lt;&gt;0, ROUND(I1109/Source!I816, 2), 0)</f>
        <v>6723.96</v>
      </c>
      <c r="P1109" s="22">
        <f>I1109</f>
        <v>53791.69</v>
      </c>
    </row>
    <row r="1110" spans="1:22" ht="57" x14ac:dyDescent="0.2">
      <c r="A1110" s="18">
        <v>123</v>
      </c>
      <c r="B1110" s="18" t="str">
        <f>Source!F818</f>
        <v>1.20-2203-1-4/1</v>
      </c>
      <c r="C1110" s="18" t="str">
        <f>Source!G818</f>
        <v>Техническое обслуживание щита осветительного группового с установочными автоматами, число групп 8 / ЩО1-4, ЩАО1-5</v>
      </c>
      <c r="D1110" s="19" t="str">
        <f>Source!H818</f>
        <v>шт.</v>
      </c>
      <c r="E1110" s="9">
        <f>Source!I818</f>
        <v>2</v>
      </c>
      <c r="F1110" s="21"/>
      <c r="G1110" s="20"/>
      <c r="H1110" s="9"/>
      <c r="I1110" s="9"/>
      <c r="J1110" s="21"/>
      <c r="K1110" s="21"/>
      <c r="Q1110">
        <f>ROUND((Source!BZ818/100)*ROUND((Source!AF818*Source!AV818)*Source!I818, 2), 2)</f>
        <v>6483.64</v>
      </c>
      <c r="R1110">
        <f>Source!X818</f>
        <v>6483.64</v>
      </c>
      <c r="S1110">
        <f>ROUND((Source!CA818/100)*ROUND((Source!AF818*Source!AV818)*Source!I818, 2), 2)</f>
        <v>926.23</v>
      </c>
      <c r="T1110">
        <f>Source!Y818</f>
        <v>926.23</v>
      </c>
      <c r="U1110">
        <f>ROUND((175/100)*ROUND((Source!AE818*Source!AV818)*Source!I818, 2), 2)</f>
        <v>0</v>
      </c>
      <c r="V1110">
        <f>ROUND((108/100)*ROUND(Source!CS818*Source!I818, 2), 2)</f>
        <v>0</v>
      </c>
    </row>
    <row r="1111" spans="1:22" ht="14.25" x14ac:dyDescent="0.2">
      <c r="A1111" s="18"/>
      <c r="B1111" s="18"/>
      <c r="C1111" s="18" t="s">
        <v>1100</v>
      </c>
      <c r="D1111" s="19"/>
      <c r="E1111" s="9"/>
      <c r="F1111" s="21">
        <f>Source!AO818</f>
        <v>4631.17</v>
      </c>
      <c r="G1111" s="20" t="str">
        <f>Source!DG818</f>
        <v/>
      </c>
      <c r="H1111" s="9">
        <f>Source!AV818</f>
        <v>1</v>
      </c>
      <c r="I1111" s="9">
        <f>IF(Source!BA818&lt;&gt; 0, Source!BA818, 1)</f>
        <v>1</v>
      </c>
      <c r="J1111" s="21">
        <f>Source!S818</f>
        <v>9262.34</v>
      </c>
      <c r="K1111" s="21"/>
    </row>
    <row r="1112" spans="1:22" ht="14.25" x14ac:dyDescent="0.2">
      <c r="A1112" s="18"/>
      <c r="B1112" s="18"/>
      <c r="C1112" s="18" t="s">
        <v>1101</v>
      </c>
      <c r="D1112" s="19"/>
      <c r="E1112" s="9"/>
      <c r="F1112" s="21">
        <f>Source!AL818</f>
        <v>69.19</v>
      </c>
      <c r="G1112" s="20" t="str">
        <f>Source!DD818</f>
        <v/>
      </c>
      <c r="H1112" s="9">
        <f>Source!AW818</f>
        <v>1</v>
      </c>
      <c r="I1112" s="9">
        <f>IF(Source!BC818&lt;&gt; 0, Source!BC818, 1)</f>
        <v>1</v>
      </c>
      <c r="J1112" s="21">
        <f>Source!P818</f>
        <v>138.38</v>
      </c>
      <c r="K1112" s="21"/>
    </row>
    <row r="1113" spans="1:22" ht="14.25" x14ac:dyDescent="0.2">
      <c r="A1113" s="18"/>
      <c r="B1113" s="18"/>
      <c r="C1113" s="18" t="s">
        <v>1102</v>
      </c>
      <c r="D1113" s="19" t="s">
        <v>1103</v>
      </c>
      <c r="E1113" s="9">
        <f>Source!AT818</f>
        <v>70</v>
      </c>
      <c r="F1113" s="21"/>
      <c r="G1113" s="20"/>
      <c r="H1113" s="9"/>
      <c r="I1113" s="9"/>
      <c r="J1113" s="21">
        <f>SUM(R1110:R1112)</f>
        <v>6483.64</v>
      </c>
      <c r="K1113" s="21"/>
    </row>
    <row r="1114" spans="1:22" ht="14.25" x14ac:dyDescent="0.2">
      <c r="A1114" s="18"/>
      <c r="B1114" s="18"/>
      <c r="C1114" s="18" t="s">
        <v>1104</v>
      </c>
      <c r="D1114" s="19" t="s">
        <v>1103</v>
      </c>
      <c r="E1114" s="9">
        <f>Source!AU818</f>
        <v>10</v>
      </c>
      <c r="F1114" s="21"/>
      <c r="G1114" s="20"/>
      <c r="H1114" s="9"/>
      <c r="I1114" s="9"/>
      <c r="J1114" s="21">
        <f>SUM(T1110:T1113)</f>
        <v>926.23</v>
      </c>
      <c r="K1114" s="21"/>
    </row>
    <row r="1115" spans="1:22" ht="14.25" x14ac:dyDescent="0.2">
      <c r="A1115" s="18"/>
      <c r="B1115" s="18"/>
      <c r="C1115" s="18" t="s">
        <v>1105</v>
      </c>
      <c r="D1115" s="19" t="s">
        <v>1106</v>
      </c>
      <c r="E1115" s="9">
        <f>Source!AQ818</f>
        <v>7.5</v>
      </c>
      <c r="F1115" s="21"/>
      <c r="G1115" s="20" t="str">
        <f>Source!DI818</f>
        <v/>
      </c>
      <c r="H1115" s="9">
        <f>Source!AV818</f>
        <v>1</v>
      </c>
      <c r="I1115" s="9"/>
      <c r="J1115" s="21"/>
      <c r="K1115" s="21">
        <f>Source!U818</f>
        <v>15</v>
      </c>
    </row>
    <row r="1116" spans="1:22" ht="15" x14ac:dyDescent="0.25">
      <c r="A1116" s="23"/>
      <c r="B1116" s="23"/>
      <c r="C1116" s="23"/>
      <c r="D1116" s="23"/>
      <c r="E1116" s="23"/>
      <c r="F1116" s="23"/>
      <c r="G1116" s="23"/>
      <c r="H1116" s="23"/>
      <c r="I1116" s="44">
        <f>J1111+J1112+J1113+J1114</f>
        <v>16810.59</v>
      </c>
      <c r="J1116" s="44"/>
      <c r="K1116" s="24">
        <f>IF(Source!I818&lt;&gt;0, ROUND(I1116/Source!I818, 2), 0)</f>
        <v>8405.2999999999993</v>
      </c>
      <c r="P1116" s="22">
        <f>I1116</f>
        <v>16810.59</v>
      </c>
    </row>
    <row r="1117" spans="1:22" ht="57" x14ac:dyDescent="0.2">
      <c r="A1117" s="18">
        <v>124</v>
      </c>
      <c r="B1117" s="18" t="str">
        <f>Source!F820</f>
        <v>1.20-2203-1-5/1</v>
      </c>
      <c r="C1117" s="18" t="str">
        <f>Source!G820</f>
        <v>Техническое обслуживание щита осветительного группового с установочными автоматами, число групп 10 / ЩАО1-5</v>
      </c>
      <c r="D1117" s="19" t="str">
        <f>Source!H820</f>
        <v>шт.</v>
      </c>
      <c r="E1117" s="9">
        <f>Source!I820</f>
        <v>1</v>
      </c>
      <c r="F1117" s="21"/>
      <c r="G1117" s="20"/>
      <c r="H1117" s="9"/>
      <c r="I1117" s="9"/>
      <c r="J1117" s="21"/>
      <c r="K1117" s="21"/>
      <c r="Q1117">
        <f>ROUND((Source!BZ820/100)*ROUND((Source!AF820*Source!AV820)*Source!I820, 2), 2)</f>
        <v>3890.19</v>
      </c>
      <c r="R1117">
        <f>Source!X820</f>
        <v>3890.19</v>
      </c>
      <c r="S1117">
        <f>ROUND((Source!CA820/100)*ROUND((Source!AF820*Source!AV820)*Source!I820, 2), 2)</f>
        <v>555.74</v>
      </c>
      <c r="T1117">
        <f>Source!Y820</f>
        <v>555.74</v>
      </c>
      <c r="U1117">
        <f>ROUND((175/100)*ROUND((Source!AE820*Source!AV820)*Source!I820, 2), 2)</f>
        <v>0</v>
      </c>
      <c r="V1117">
        <f>ROUND((108/100)*ROUND(Source!CS820*Source!I820, 2), 2)</f>
        <v>0</v>
      </c>
    </row>
    <row r="1118" spans="1:22" ht="14.25" x14ac:dyDescent="0.2">
      <c r="A1118" s="18"/>
      <c r="B1118" s="18"/>
      <c r="C1118" s="18" t="s">
        <v>1100</v>
      </c>
      <c r="D1118" s="19"/>
      <c r="E1118" s="9"/>
      <c r="F1118" s="21">
        <f>Source!AO820</f>
        <v>5557.41</v>
      </c>
      <c r="G1118" s="20" t="str">
        <f>Source!DG820</f>
        <v/>
      </c>
      <c r="H1118" s="9">
        <f>Source!AV820</f>
        <v>1</v>
      </c>
      <c r="I1118" s="9">
        <f>IF(Source!BA820&lt;&gt; 0, Source!BA820, 1)</f>
        <v>1</v>
      </c>
      <c r="J1118" s="21">
        <f>Source!S820</f>
        <v>5557.41</v>
      </c>
      <c r="K1118" s="21"/>
    </row>
    <row r="1119" spans="1:22" ht="14.25" x14ac:dyDescent="0.2">
      <c r="A1119" s="18"/>
      <c r="B1119" s="18"/>
      <c r="C1119" s="18" t="s">
        <v>1101</v>
      </c>
      <c r="D1119" s="19"/>
      <c r="E1119" s="9"/>
      <c r="F1119" s="21">
        <f>Source!AL820</f>
        <v>83.73</v>
      </c>
      <c r="G1119" s="20" t="str">
        <f>Source!DD820</f>
        <v/>
      </c>
      <c r="H1119" s="9">
        <f>Source!AW820</f>
        <v>1</v>
      </c>
      <c r="I1119" s="9">
        <f>IF(Source!BC820&lt;&gt; 0, Source!BC820, 1)</f>
        <v>1</v>
      </c>
      <c r="J1119" s="21">
        <f>Source!P820</f>
        <v>83.73</v>
      </c>
      <c r="K1119" s="21"/>
    </row>
    <row r="1120" spans="1:22" ht="14.25" x14ac:dyDescent="0.2">
      <c r="A1120" s="18"/>
      <c r="B1120" s="18"/>
      <c r="C1120" s="18" t="s">
        <v>1102</v>
      </c>
      <c r="D1120" s="19" t="s">
        <v>1103</v>
      </c>
      <c r="E1120" s="9">
        <f>Source!AT820</f>
        <v>70</v>
      </c>
      <c r="F1120" s="21"/>
      <c r="G1120" s="20"/>
      <c r="H1120" s="9"/>
      <c r="I1120" s="9"/>
      <c r="J1120" s="21">
        <f>SUM(R1117:R1119)</f>
        <v>3890.19</v>
      </c>
      <c r="K1120" s="21"/>
    </row>
    <row r="1121" spans="1:22" ht="14.25" x14ac:dyDescent="0.2">
      <c r="A1121" s="18"/>
      <c r="B1121" s="18"/>
      <c r="C1121" s="18" t="s">
        <v>1104</v>
      </c>
      <c r="D1121" s="19" t="s">
        <v>1103</v>
      </c>
      <c r="E1121" s="9">
        <f>Source!AU820</f>
        <v>10</v>
      </c>
      <c r="F1121" s="21"/>
      <c r="G1121" s="20"/>
      <c r="H1121" s="9"/>
      <c r="I1121" s="9"/>
      <c r="J1121" s="21">
        <f>SUM(T1117:T1120)</f>
        <v>555.74</v>
      </c>
      <c r="K1121" s="21"/>
    </row>
    <row r="1122" spans="1:22" ht="14.25" x14ac:dyDescent="0.2">
      <c r="A1122" s="18"/>
      <c r="B1122" s="18"/>
      <c r="C1122" s="18" t="s">
        <v>1105</v>
      </c>
      <c r="D1122" s="19" t="s">
        <v>1106</v>
      </c>
      <c r="E1122" s="9">
        <f>Source!AQ820</f>
        <v>9</v>
      </c>
      <c r="F1122" s="21"/>
      <c r="G1122" s="20" t="str">
        <f>Source!DI820</f>
        <v/>
      </c>
      <c r="H1122" s="9">
        <f>Source!AV820</f>
        <v>1</v>
      </c>
      <c r="I1122" s="9"/>
      <c r="J1122" s="21"/>
      <c r="K1122" s="21">
        <f>Source!U820</f>
        <v>9</v>
      </c>
    </row>
    <row r="1123" spans="1:22" ht="15" x14ac:dyDescent="0.25">
      <c r="A1123" s="23"/>
      <c r="B1123" s="23"/>
      <c r="C1123" s="23"/>
      <c r="D1123" s="23"/>
      <c r="E1123" s="23"/>
      <c r="F1123" s="23"/>
      <c r="G1123" s="23"/>
      <c r="H1123" s="23"/>
      <c r="I1123" s="44">
        <f>J1118+J1119+J1120+J1121</f>
        <v>10087.07</v>
      </c>
      <c r="J1123" s="44"/>
      <c r="K1123" s="24">
        <f>IF(Source!I820&lt;&gt;0, ROUND(I1123/Source!I820, 2), 0)</f>
        <v>10087.07</v>
      </c>
      <c r="P1123" s="22">
        <f>I1123</f>
        <v>10087.07</v>
      </c>
    </row>
    <row r="1124" spans="1:22" ht="71.25" x14ac:dyDescent="0.2">
      <c r="A1124" s="18">
        <v>125</v>
      </c>
      <c r="B1124" s="18" t="str">
        <f>Source!F822</f>
        <v>1.21-2203-2-1/1</v>
      </c>
      <c r="C1124" s="18" t="str">
        <f>Source!G822</f>
        <v>Техническое обслуживание силового распределительного пункта с установочными автоматами, число групп 4 / ЩТ-1, ЩТ-2, ЩТ-3, ЩВ-1, ЩВ-3, ЩВ-4</v>
      </c>
      <c r="D1124" s="19" t="str">
        <f>Source!H822</f>
        <v>шт.</v>
      </c>
      <c r="E1124" s="9">
        <f>Source!I822</f>
        <v>6</v>
      </c>
      <c r="F1124" s="21"/>
      <c r="G1124" s="20"/>
      <c r="H1124" s="9"/>
      <c r="I1124" s="9"/>
      <c r="J1124" s="21"/>
      <c r="K1124" s="21"/>
      <c r="Q1124">
        <f>ROUND((Source!BZ822/100)*ROUND((Source!AF822*Source!AV822)*Source!I822, 2), 2)</f>
        <v>23341.119999999999</v>
      </c>
      <c r="R1124">
        <f>Source!X822</f>
        <v>23341.119999999999</v>
      </c>
      <c r="S1124">
        <f>ROUND((Source!CA822/100)*ROUND((Source!AF822*Source!AV822)*Source!I822, 2), 2)</f>
        <v>3334.45</v>
      </c>
      <c r="T1124">
        <f>Source!Y822</f>
        <v>3334.45</v>
      </c>
      <c r="U1124">
        <f>ROUND((175/100)*ROUND((Source!AE822*Source!AV822)*Source!I822, 2), 2)</f>
        <v>0</v>
      </c>
      <c r="V1124">
        <f>ROUND((108/100)*ROUND(Source!CS822*Source!I822, 2), 2)</f>
        <v>0</v>
      </c>
    </row>
    <row r="1125" spans="1:22" ht="14.25" x14ac:dyDescent="0.2">
      <c r="A1125" s="18"/>
      <c r="B1125" s="18"/>
      <c r="C1125" s="18" t="s">
        <v>1100</v>
      </c>
      <c r="D1125" s="19"/>
      <c r="E1125" s="9"/>
      <c r="F1125" s="21">
        <f>Source!AO822</f>
        <v>5557.41</v>
      </c>
      <c r="G1125" s="20" t="str">
        <f>Source!DG822</f>
        <v/>
      </c>
      <c r="H1125" s="9">
        <f>Source!AV822</f>
        <v>1</v>
      </c>
      <c r="I1125" s="9">
        <f>IF(Source!BA822&lt;&gt; 0, Source!BA822, 1)</f>
        <v>1</v>
      </c>
      <c r="J1125" s="21">
        <f>Source!S822</f>
        <v>33344.46</v>
      </c>
      <c r="K1125" s="21"/>
    </row>
    <row r="1126" spans="1:22" ht="14.25" x14ac:dyDescent="0.2">
      <c r="A1126" s="18"/>
      <c r="B1126" s="18"/>
      <c r="C1126" s="18" t="s">
        <v>1101</v>
      </c>
      <c r="D1126" s="19"/>
      <c r="E1126" s="9"/>
      <c r="F1126" s="21">
        <f>Source!AL822</f>
        <v>77.08</v>
      </c>
      <c r="G1126" s="20" t="str">
        <f>Source!DD822</f>
        <v/>
      </c>
      <c r="H1126" s="9">
        <f>Source!AW822</f>
        <v>1</v>
      </c>
      <c r="I1126" s="9">
        <f>IF(Source!BC822&lt;&gt; 0, Source!BC822, 1)</f>
        <v>1</v>
      </c>
      <c r="J1126" s="21">
        <f>Source!P822</f>
        <v>462.48</v>
      </c>
      <c r="K1126" s="21"/>
    </row>
    <row r="1127" spans="1:22" ht="14.25" x14ac:dyDescent="0.2">
      <c r="A1127" s="18"/>
      <c r="B1127" s="18"/>
      <c r="C1127" s="18" t="s">
        <v>1102</v>
      </c>
      <c r="D1127" s="19" t="s">
        <v>1103</v>
      </c>
      <c r="E1127" s="9">
        <f>Source!AT822</f>
        <v>70</v>
      </c>
      <c r="F1127" s="21"/>
      <c r="G1127" s="20"/>
      <c r="H1127" s="9"/>
      <c r="I1127" s="9"/>
      <c r="J1127" s="21">
        <f>SUM(R1124:R1126)</f>
        <v>23341.119999999999</v>
      </c>
      <c r="K1127" s="21"/>
    </row>
    <row r="1128" spans="1:22" ht="14.25" x14ac:dyDescent="0.2">
      <c r="A1128" s="18"/>
      <c r="B1128" s="18"/>
      <c r="C1128" s="18" t="s">
        <v>1104</v>
      </c>
      <c r="D1128" s="19" t="s">
        <v>1103</v>
      </c>
      <c r="E1128" s="9">
        <f>Source!AU822</f>
        <v>10</v>
      </c>
      <c r="F1128" s="21"/>
      <c r="G1128" s="20"/>
      <c r="H1128" s="9"/>
      <c r="I1128" s="9"/>
      <c r="J1128" s="21">
        <f>SUM(T1124:T1127)</f>
        <v>3334.45</v>
      </c>
      <c r="K1128" s="21"/>
    </row>
    <row r="1129" spans="1:22" ht="14.25" x14ac:dyDescent="0.2">
      <c r="A1129" s="18"/>
      <c r="B1129" s="18"/>
      <c r="C1129" s="18" t="s">
        <v>1105</v>
      </c>
      <c r="D1129" s="19" t="s">
        <v>1106</v>
      </c>
      <c r="E1129" s="9">
        <f>Source!AQ822</f>
        <v>9</v>
      </c>
      <c r="F1129" s="21"/>
      <c r="G1129" s="20" t="str">
        <f>Source!DI822</f>
        <v/>
      </c>
      <c r="H1129" s="9">
        <f>Source!AV822</f>
        <v>1</v>
      </c>
      <c r="I1129" s="9"/>
      <c r="J1129" s="21"/>
      <c r="K1129" s="21">
        <f>Source!U822</f>
        <v>54</v>
      </c>
    </row>
    <row r="1130" spans="1:22" ht="15" x14ac:dyDescent="0.25">
      <c r="A1130" s="23"/>
      <c r="B1130" s="23"/>
      <c r="C1130" s="23"/>
      <c r="D1130" s="23"/>
      <c r="E1130" s="23"/>
      <c r="F1130" s="23"/>
      <c r="G1130" s="23"/>
      <c r="H1130" s="23"/>
      <c r="I1130" s="44">
        <f>J1125+J1126+J1127+J1128</f>
        <v>60482.509999999995</v>
      </c>
      <c r="J1130" s="44"/>
      <c r="K1130" s="24">
        <f>IF(Source!I822&lt;&gt;0, ROUND(I1130/Source!I822, 2), 0)</f>
        <v>10080.42</v>
      </c>
      <c r="P1130" s="22">
        <f>I1130</f>
        <v>60482.509999999995</v>
      </c>
    </row>
    <row r="1131" spans="1:22" ht="71.25" x14ac:dyDescent="0.2">
      <c r="A1131" s="18">
        <v>126</v>
      </c>
      <c r="B1131" s="18" t="str">
        <f>Source!F824</f>
        <v>1.21-2203-2-2/1</v>
      </c>
      <c r="C1131" s="18" t="str">
        <f>Source!G824</f>
        <v>Техническое обслуживание силового распределительного пункта с установочными автоматами, число групп 6 / ЩС2-1, ЩС2-2, ЩС2-3, ЩК1-1,  ЩК2-1, ЩК2-2, ЩК2-3</v>
      </c>
      <c r="D1131" s="19" t="str">
        <f>Source!H824</f>
        <v>шт.</v>
      </c>
      <c r="E1131" s="9">
        <f>Source!I824</f>
        <v>9</v>
      </c>
      <c r="F1131" s="21"/>
      <c r="G1131" s="20"/>
      <c r="H1131" s="9"/>
      <c r="I1131" s="9"/>
      <c r="J1131" s="21"/>
      <c r="K1131" s="21"/>
      <c r="Q1131">
        <f>ROUND((Source!BZ824/100)*ROUND((Source!AF824*Source!AV824)*Source!I824, 2), 2)</f>
        <v>46682.239999999998</v>
      </c>
      <c r="R1131">
        <f>Source!X824</f>
        <v>46682.239999999998</v>
      </c>
      <c r="S1131">
        <f>ROUND((Source!CA824/100)*ROUND((Source!AF824*Source!AV824)*Source!I824, 2), 2)</f>
        <v>6668.89</v>
      </c>
      <c r="T1131">
        <f>Source!Y824</f>
        <v>6668.89</v>
      </c>
      <c r="U1131">
        <f>ROUND((175/100)*ROUND((Source!AE824*Source!AV824)*Source!I824, 2), 2)</f>
        <v>0</v>
      </c>
      <c r="V1131">
        <f>ROUND((108/100)*ROUND(Source!CS824*Source!I824, 2), 2)</f>
        <v>0</v>
      </c>
    </row>
    <row r="1132" spans="1:22" ht="14.25" x14ac:dyDescent="0.2">
      <c r="A1132" s="18"/>
      <c r="B1132" s="18"/>
      <c r="C1132" s="18" t="s">
        <v>1100</v>
      </c>
      <c r="D1132" s="19"/>
      <c r="E1132" s="9"/>
      <c r="F1132" s="21">
        <f>Source!AO824</f>
        <v>7409.88</v>
      </c>
      <c r="G1132" s="20" t="str">
        <f>Source!DG824</f>
        <v/>
      </c>
      <c r="H1132" s="9">
        <f>Source!AV824</f>
        <v>1</v>
      </c>
      <c r="I1132" s="9">
        <f>IF(Source!BA824&lt;&gt; 0, Source!BA824, 1)</f>
        <v>1</v>
      </c>
      <c r="J1132" s="21">
        <f>Source!S824</f>
        <v>66688.92</v>
      </c>
      <c r="K1132" s="21"/>
    </row>
    <row r="1133" spans="1:22" ht="14.25" x14ac:dyDescent="0.2">
      <c r="A1133" s="18"/>
      <c r="B1133" s="18"/>
      <c r="C1133" s="18" t="s">
        <v>1101</v>
      </c>
      <c r="D1133" s="19"/>
      <c r="E1133" s="9"/>
      <c r="F1133" s="21">
        <f>Source!AL824</f>
        <v>102.76</v>
      </c>
      <c r="G1133" s="20" t="str">
        <f>Source!DD824</f>
        <v/>
      </c>
      <c r="H1133" s="9">
        <f>Source!AW824</f>
        <v>1</v>
      </c>
      <c r="I1133" s="9">
        <f>IF(Source!BC824&lt;&gt; 0, Source!BC824, 1)</f>
        <v>1</v>
      </c>
      <c r="J1133" s="21">
        <f>Source!P824</f>
        <v>924.84</v>
      </c>
      <c r="K1133" s="21"/>
    </row>
    <row r="1134" spans="1:22" ht="14.25" x14ac:dyDescent="0.2">
      <c r="A1134" s="18"/>
      <c r="B1134" s="18"/>
      <c r="C1134" s="18" t="s">
        <v>1102</v>
      </c>
      <c r="D1134" s="19" t="s">
        <v>1103</v>
      </c>
      <c r="E1134" s="9">
        <f>Source!AT824</f>
        <v>70</v>
      </c>
      <c r="F1134" s="21"/>
      <c r="G1134" s="20"/>
      <c r="H1134" s="9"/>
      <c r="I1134" s="9"/>
      <c r="J1134" s="21">
        <f>SUM(R1131:R1133)</f>
        <v>46682.239999999998</v>
      </c>
      <c r="K1134" s="21"/>
    </row>
    <row r="1135" spans="1:22" ht="14.25" x14ac:dyDescent="0.2">
      <c r="A1135" s="18"/>
      <c r="B1135" s="18"/>
      <c r="C1135" s="18" t="s">
        <v>1104</v>
      </c>
      <c r="D1135" s="19" t="s">
        <v>1103</v>
      </c>
      <c r="E1135" s="9">
        <f>Source!AU824</f>
        <v>10</v>
      </c>
      <c r="F1135" s="21"/>
      <c r="G1135" s="20"/>
      <c r="H1135" s="9"/>
      <c r="I1135" s="9"/>
      <c r="J1135" s="21">
        <f>SUM(T1131:T1134)</f>
        <v>6668.89</v>
      </c>
      <c r="K1135" s="21"/>
    </row>
    <row r="1136" spans="1:22" ht="14.25" x14ac:dyDescent="0.2">
      <c r="A1136" s="18"/>
      <c r="B1136" s="18"/>
      <c r="C1136" s="18" t="s">
        <v>1105</v>
      </c>
      <c r="D1136" s="19" t="s">
        <v>1106</v>
      </c>
      <c r="E1136" s="9">
        <f>Source!AQ824</f>
        <v>12</v>
      </c>
      <c r="F1136" s="21"/>
      <c r="G1136" s="20" t="str">
        <f>Source!DI824</f>
        <v/>
      </c>
      <c r="H1136" s="9">
        <f>Source!AV824</f>
        <v>1</v>
      </c>
      <c r="I1136" s="9"/>
      <c r="J1136" s="21"/>
      <c r="K1136" s="21">
        <f>Source!U824</f>
        <v>108</v>
      </c>
    </row>
    <row r="1137" spans="1:22" ht="15" x14ac:dyDescent="0.25">
      <c r="A1137" s="23"/>
      <c r="B1137" s="23"/>
      <c r="C1137" s="23"/>
      <c r="D1137" s="23"/>
      <c r="E1137" s="23"/>
      <c r="F1137" s="23"/>
      <c r="G1137" s="23"/>
      <c r="H1137" s="23"/>
      <c r="I1137" s="44">
        <f>J1132+J1133+J1134+J1135</f>
        <v>120964.89</v>
      </c>
      <c r="J1137" s="44"/>
      <c r="K1137" s="24">
        <f>IF(Source!I824&lt;&gt;0, ROUND(I1137/Source!I824, 2), 0)</f>
        <v>13440.54</v>
      </c>
      <c r="P1137" s="22">
        <f>I1137</f>
        <v>120964.89</v>
      </c>
    </row>
    <row r="1138" spans="1:22" ht="71.25" x14ac:dyDescent="0.2">
      <c r="A1138" s="18">
        <v>127</v>
      </c>
      <c r="B1138" s="18" t="str">
        <f>Source!F826</f>
        <v>1.21-2203-2-3/1</v>
      </c>
      <c r="C1138" s="18" t="str">
        <f>Source!G826</f>
        <v>Техническое обслуживание силового распределительного пункта с установочными автоматами, число групп 8 / ЩК1-2, ЩК1-4, ЩК1-5, ЩСерв-1,  ЩСерв-3</v>
      </c>
      <c r="D1138" s="19" t="str">
        <f>Source!H826</f>
        <v>шт.</v>
      </c>
      <c r="E1138" s="9">
        <f>Source!I826</f>
        <v>5</v>
      </c>
      <c r="F1138" s="21"/>
      <c r="G1138" s="20"/>
      <c r="H1138" s="9"/>
      <c r="I1138" s="9"/>
      <c r="J1138" s="21"/>
      <c r="K1138" s="21"/>
      <c r="Q1138">
        <f>ROUND((Source!BZ826/100)*ROUND((Source!AF826*Source!AV826)*Source!I826, 2), 2)</f>
        <v>32418.23</v>
      </c>
      <c r="R1138">
        <f>Source!X826</f>
        <v>32418.23</v>
      </c>
      <c r="S1138">
        <f>ROUND((Source!CA826/100)*ROUND((Source!AF826*Source!AV826)*Source!I826, 2), 2)</f>
        <v>4631.18</v>
      </c>
      <c r="T1138">
        <f>Source!Y826</f>
        <v>4631.18</v>
      </c>
      <c r="U1138">
        <f>ROUND((175/100)*ROUND((Source!AE826*Source!AV826)*Source!I826, 2), 2)</f>
        <v>0</v>
      </c>
      <c r="V1138">
        <f>ROUND((108/100)*ROUND(Source!CS826*Source!I826, 2), 2)</f>
        <v>0</v>
      </c>
    </row>
    <row r="1139" spans="1:22" ht="14.25" x14ac:dyDescent="0.2">
      <c r="A1139" s="18"/>
      <c r="B1139" s="18"/>
      <c r="C1139" s="18" t="s">
        <v>1100</v>
      </c>
      <c r="D1139" s="19"/>
      <c r="E1139" s="9"/>
      <c r="F1139" s="21">
        <f>Source!AO826</f>
        <v>9262.35</v>
      </c>
      <c r="G1139" s="20" t="str">
        <f>Source!DG826</f>
        <v/>
      </c>
      <c r="H1139" s="9">
        <f>Source!AV826</f>
        <v>1</v>
      </c>
      <c r="I1139" s="9">
        <f>IF(Source!BA826&lt;&gt; 0, Source!BA826, 1)</f>
        <v>1</v>
      </c>
      <c r="J1139" s="21">
        <f>Source!S826</f>
        <v>46311.75</v>
      </c>
      <c r="K1139" s="21"/>
    </row>
    <row r="1140" spans="1:22" ht="14.25" x14ac:dyDescent="0.2">
      <c r="A1140" s="18"/>
      <c r="B1140" s="18"/>
      <c r="C1140" s="18" t="s">
        <v>1101</v>
      </c>
      <c r="D1140" s="19"/>
      <c r="E1140" s="9"/>
      <c r="F1140" s="21">
        <f>Source!AL826</f>
        <v>128.44999999999999</v>
      </c>
      <c r="G1140" s="20" t="str">
        <f>Source!DD826</f>
        <v/>
      </c>
      <c r="H1140" s="9">
        <f>Source!AW826</f>
        <v>1</v>
      </c>
      <c r="I1140" s="9">
        <f>IF(Source!BC826&lt;&gt; 0, Source!BC826, 1)</f>
        <v>1</v>
      </c>
      <c r="J1140" s="21">
        <f>Source!P826</f>
        <v>642.25</v>
      </c>
      <c r="K1140" s="21"/>
    </row>
    <row r="1141" spans="1:22" ht="14.25" x14ac:dyDescent="0.2">
      <c r="A1141" s="18"/>
      <c r="B1141" s="18"/>
      <c r="C1141" s="18" t="s">
        <v>1102</v>
      </c>
      <c r="D1141" s="19" t="s">
        <v>1103</v>
      </c>
      <c r="E1141" s="9">
        <f>Source!AT826</f>
        <v>70</v>
      </c>
      <c r="F1141" s="21"/>
      <c r="G1141" s="20"/>
      <c r="H1141" s="9"/>
      <c r="I1141" s="9"/>
      <c r="J1141" s="21">
        <f>SUM(R1138:R1140)</f>
        <v>32418.23</v>
      </c>
      <c r="K1141" s="21"/>
    </row>
    <row r="1142" spans="1:22" ht="14.25" x14ac:dyDescent="0.2">
      <c r="A1142" s="18"/>
      <c r="B1142" s="18"/>
      <c r="C1142" s="18" t="s">
        <v>1104</v>
      </c>
      <c r="D1142" s="19" t="s">
        <v>1103</v>
      </c>
      <c r="E1142" s="9">
        <f>Source!AU826</f>
        <v>10</v>
      </c>
      <c r="F1142" s="21"/>
      <c r="G1142" s="20"/>
      <c r="H1142" s="9"/>
      <c r="I1142" s="9"/>
      <c r="J1142" s="21">
        <f>SUM(T1138:T1141)</f>
        <v>4631.18</v>
      </c>
      <c r="K1142" s="21"/>
    </row>
    <row r="1143" spans="1:22" ht="14.25" x14ac:dyDescent="0.2">
      <c r="A1143" s="18"/>
      <c r="B1143" s="18"/>
      <c r="C1143" s="18" t="s">
        <v>1105</v>
      </c>
      <c r="D1143" s="19" t="s">
        <v>1106</v>
      </c>
      <c r="E1143" s="9">
        <f>Source!AQ826</f>
        <v>15</v>
      </c>
      <c r="F1143" s="21"/>
      <c r="G1143" s="20" t="str">
        <f>Source!DI826</f>
        <v/>
      </c>
      <c r="H1143" s="9">
        <f>Source!AV826</f>
        <v>1</v>
      </c>
      <c r="I1143" s="9"/>
      <c r="J1143" s="21"/>
      <c r="K1143" s="21">
        <f>Source!U826</f>
        <v>75</v>
      </c>
    </row>
    <row r="1144" spans="1:22" ht="15" x14ac:dyDescent="0.25">
      <c r="A1144" s="23"/>
      <c r="B1144" s="23"/>
      <c r="C1144" s="23"/>
      <c r="D1144" s="23"/>
      <c r="E1144" s="23"/>
      <c r="F1144" s="23"/>
      <c r="G1144" s="23"/>
      <c r="H1144" s="23"/>
      <c r="I1144" s="44">
        <f>J1139+J1140+J1141+J1142</f>
        <v>84003.41</v>
      </c>
      <c r="J1144" s="44"/>
      <c r="K1144" s="24">
        <f>IF(Source!I826&lt;&gt;0, ROUND(I1144/Source!I826, 2), 0)</f>
        <v>16800.68</v>
      </c>
      <c r="P1144" s="22">
        <f>I1144</f>
        <v>84003.41</v>
      </c>
    </row>
    <row r="1145" spans="1:22" ht="57" x14ac:dyDescent="0.2">
      <c r="A1145" s="18">
        <v>128</v>
      </c>
      <c r="B1145" s="18" t="str">
        <f>Source!F828</f>
        <v>1.21-2203-2-4/1</v>
      </c>
      <c r="C1145" s="18" t="str">
        <f>Source!G828</f>
        <v>Техническое обслуживание силового распределительного пункта с установочными автоматами, число групп 10 / ЩК1-3, ЩВ-2, ЩОВ</v>
      </c>
      <c r="D1145" s="19" t="str">
        <f>Source!H828</f>
        <v>шт.</v>
      </c>
      <c r="E1145" s="9">
        <f>Source!I828</f>
        <v>3</v>
      </c>
      <c r="F1145" s="21"/>
      <c r="G1145" s="20"/>
      <c r="H1145" s="9"/>
      <c r="I1145" s="9"/>
      <c r="J1145" s="21"/>
      <c r="K1145" s="21"/>
      <c r="Q1145">
        <f>ROUND((Source!BZ828/100)*ROUND((Source!AF828*Source!AV828)*Source!I828, 2), 2)</f>
        <v>23341.119999999999</v>
      </c>
      <c r="R1145">
        <f>Source!X828</f>
        <v>23341.119999999999</v>
      </c>
      <c r="S1145">
        <f>ROUND((Source!CA828/100)*ROUND((Source!AF828*Source!AV828)*Source!I828, 2), 2)</f>
        <v>3334.45</v>
      </c>
      <c r="T1145">
        <f>Source!Y828</f>
        <v>3334.45</v>
      </c>
      <c r="U1145">
        <f>ROUND((175/100)*ROUND((Source!AE828*Source!AV828)*Source!I828, 2), 2)</f>
        <v>0</v>
      </c>
      <c r="V1145">
        <f>ROUND((108/100)*ROUND(Source!CS828*Source!I828, 2), 2)</f>
        <v>0</v>
      </c>
    </row>
    <row r="1146" spans="1:22" ht="14.25" x14ac:dyDescent="0.2">
      <c r="A1146" s="18"/>
      <c r="B1146" s="18"/>
      <c r="C1146" s="18" t="s">
        <v>1100</v>
      </c>
      <c r="D1146" s="19"/>
      <c r="E1146" s="9"/>
      <c r="F1146" s="21">
        <f>Source!AO828</f>
        <v>11114.82</v>
      </c>
      <c r="G1146" s="20" t="str">
        <f>Source!DG828</f>
        <v/>
      </c>
      <c r="H1146" s="9">
        <f>Source!AV828</f>
        <v>1</v>
      </c>
      <c r="I1146" s="9">
        <f>IF(Source!BA828&lt;&gt; 0, Source!BA828, 1)</f>
        <v>1</v>
      </c>
      <c r="J1146" s="21">
        <f>Source!S828</f>
        <v>33344.46</v>
      </c>
      <c r="K1146" s="21"/>
    </row>
    <row r="1147" spans="1:22" ht="14.25" x14ac:dyDescent="0.2">
      <c r="A1147" s="18"/>
      <c r="B1147" s="18"/>
      <c r="C1147" s="18" t="s">
        <v>1101</v>
      </c>
      <c r="D1147" s="19"/>
      <c r="E1147" s="9"/>
      <c r="F1147" s="21">
        <f>Source!AL828</f>
        <v>154.13999999999999</v>
      </c>
      <c r="G1147" s="20" t="str">
        <f>Source!DD828</f>
        <v/>
      </c>
      <c r="H1147" s="9">
        <f>Source!AW828</f>
        <v>1</v>
      </c>
      <c r="I1147" s="9">
        <f>IF(Source!BC828&lt;&gt; 0, Source!BC828, 1)</f>
        <v>1</v>
      </c>
      <c r="J1147" s="21">
        <f>Source!P828</f>
        <v>462.42</v>
      </c>
      <c r="K1147" s="21"/>
    </row>
    <row r="1148" spans="1:22" ht="14.25" x14ac:dyDescent="0.2">
      <c r="A1148" s="18"/>
      <c r="B1148" s="18"/>
      <c r="C1148" s="18" t="s">
        <v>1102</v>
      </c>
      <c r="D1148" s="19" t="s">
        <v>1103</v>
      </c>
      <c r="E1148" s="9">
        <f>Source!AT828</f>
        <v>70</v>
      </c>
      <c r="F1148" s="21"/>
      <c r="G1148" s="20"/>
      <c r="H1148" s="9"/>
      <c r="I1148" s="9"/>
      <c r="J1148" s="21">
        <f>SUM(R1145:R1147)</f>
        <v>23341.119999999999</v>
      </c>
      <c r="K1148" s="21"/>
    </row>
    <row r="1149" spans="1:22" ht="14.25" x14ac:dyDescent="0.2">
      <c r="A1149" s="18"/>
      <c r="B1149" s="18"/>
      <c r="C1149" s="18" t="s">
        <v>1104</v>
      </c>
      <c r="D1149" s="19" t="s">
        <v>1103</v>
      </c>
      <c r="E1149" s="9">
        <f>Source!AU828</f>
        <v>10</v>
      </c>
      <c r="F1149" s="21"/>
      <c r="G1149" s="20"/>
      <c r="H1149" s="9"/>
      <c r="I1149" s="9"/>
      <c r="J1149" s="21">
        <f>SUM(T1145:T1148)</f>
        <v>3334.45</v>
      </c>
      <c r="K1149" s="21"/>
    </row>
    <row r="1150" spans="1:22" ht="14.25" x14ac:dyDescent="0.2">
      <c r="A1150" s="18"/>
      <c r="B1150" s="18"/>
      <c r="C1150" s="18" t="s">
        <v>1105</v>
      </c>
      <c r="D1150" s="19" t="s">
        <v>1106</v>
      </c>
      <c r="E1150" s="9">
        <f>Source!AQ828</f>
        <v>18</v>
      </c>
      <c r="F1150" s="21"/>
      <c r="G1150" s="20" t="str">
        <f>Source!DI828</f>
        <v/>
      </c>
      <c r="H1150" s="9">
        <f>Source!AV828</f>
        <v>1</v>
      </c>
      <c r="I1150" s="9"/>
      <c r="J1150" s="21"/>
      <c r="K1150" s="21">
        <f>Source!U828</f>
        <v>54</v>
      </c>
    </row>
    <row r="1151" spans="1:22" ht="15" x14ac:dyDescent="0.25">
      <c r="A1151" s="23"/>
      <c r="B1151" s="23"/>
      <c r="C1151" s="23"/>
      <c r="D1151" s="23"/>
      <c r="E1151" s="23"/>
      <c r="F1151" s="23"/>
      <c r="G1151" s="23"/>
      <c r="H1151" s="23"/>
      <c r="I1151" s="44">
        <f>J1146+J1147+J1148+J1149</f>
        <v>60482.45</v>
      </c>
      <c r="J1151" s="44"/>
      <c r="K1151" s="24">
        <f>IF(Source!I828&lt;&gt;0, ROUND(I1151/Source!I828, 2), 0)</f>
        <v>20160.82</v>
      </c>
      <c r="P1151" s="22">
        <f>I1151</f>
        <v>60482.45</v>
      </c>
    </row>
    <row r="1152" spans="1:22" ht="71.25" x14ac:dyDescent="0.2">
      <c r="A1152" s="18">
        <v>129</v>
      </c>
      <c r="B1152" s="18" t="str">
        <f>Source!F830</f>
        <v>1.21-2203-2-5/1</v>
      </c>
      <c r="C1152" s="18" t="str">
        <f>Source!G830</f>
        <v>Техническое обслуживание силового распределительного пункта с установочными автоматами, число групп 12 / ЩС1-1, ЩС1-2, ЩС1-3, ЩС1-4, ЩС1-5, ЩС2-4, ЩК2-4, ЩСерв-2</v>
      </c>
      <c r="D1152" s="19" t="str">
        <f>Source!H830</f>
        <v>шт.</v>
      </c>
      <c r="E1152" s="9">
        <f>Source!I830</f>
        <v>8</v>
      </c>
      <c r="F1152" s="21"/>
      <c r="G1152" s="20"/>
      <c r="H1152" s="9"/>
      <c r="I1152" s="9"/>
      <c r="J1152" s="21"/>
      <c r="K1152" s="21"/>
      <c r="Q1152">
        <f>ROUND((Source!BZ830/100)*ROUND((Source!AF830*Source!AV830)*Source!I830, 2), 2)</f>
        <v>82990.66</v>
      </c>
      <c r="R1152">
        <f>Source!X830</f>
        <v>82990.66</v>
      </c>
      <c r="S1152">
        <f>ROUND((Source!CA830/100)*ROUND((Source!AF830*Source!AV830)*Source!I830, 2), 2)</f>
        <v>11855.81</v>
      </c>
      <c r="T1152">
        <f>Source!Y830</f>
        <v>11855.81</v>
      </c>
      <c r="U1152">
        <f>ROUND((175/100)*ROUND((Source!AE830*Source!AV830)*Source!I830, 2), 2)</f>
        <v>0</v>
      </c>
      <c r="V1152">
        <f>ROUND((108/100)*ROUND(Source!CS830*Source!I830, 2), 2)</f>
        <v>0</v>
      </c>
    </row>
    <row r="1153" spans="1:22" ht="14.25" x14ac:dyDescent="0.2">
      <c r="A1153" s="18"/>
      <c r="B1153" s="18"/>
      <c r="C1153" s="18" t="s">
        <v>1100</v>
      </c>
      <c r="D1153" s="19"/>
      <c r="E1153" s="9"/>
      <c r="F1153" s="21">
        <f>Source!AO830</f>
        <v>14819.76</v>
      </c>
      <c r="G1153" s="20" t="str">
        <f>Source!DG830</f>
        <v/>
      </c>
      <c r="H1153" s="9">
        <f>Source!AV830</f>
        <v>1</v>
      </c>
      <c r="I1153" s="9">
        <f>IF(Source!BA830&lt;&gt; 0, Source!BA830, 1)</f>
        <v>1</v>
      </c>
      <c r="J1153" s="21">
        <f>Source!S830</f>
        <v>118558.08</v>
      </c>
      <c r="K1153" s="21"/>
    </row>
    <row r="1154" spans="1:22" ht="14.25" x14ac:dyDescent="0.2">
      <c r="A1154" s="18"/>
      <c r="B1154" s="18"/>
      <c r="C1154" s="18" t="s">
        <v>1101</v>
      </c>
      <c r="D1154" s="19"/>
      <c r="E1154" s="9"/>
      <c r="F1154" s="21">
        <f>Source!AL830</f>
        <v>205.53</v>
      </c>
      <c r="G1154" s="20" t="str">
        <f>Source!DD830</f>
        <v/>
      </c>
      <c r="H1154" s="9">
        <f>Source!AW830</f>
        <v>1</v>
      </c>
      <c r="I1154" s="9">
        <f>IF(Source!BC830&lt;&gt; 0, Source!BC830, 1)</f>
        <v>1</v>
      </c>
      <c r="J1154" s="21">
        <f>Source!P830</f>
        <v>1644.24</v>
      </c>
      <c r="K1154" s="21"/>
    </row>
    <row r="1155" spans="1:22" ht="14.25" x14ac:dyDescent="0.2">
      <c r="A1155" s="18"/>
      <c r="B1155" s="18"/>
      <c r="C1155" s="18" t="s">
        <v>1102</v>
      </c>
      <c r="D1155" s="19" t="s">
        <v>1103</v>
      </c>
      <c r="E1155" s="9">
        <f>Source!AT830</f>
        <v>70</v>
      </c>
      <c r="F1155" s="21"/>
      <c r="G1155" s="20"/>
      <c r="H1155" s="9"/>
      <c r="I1155" s="9"/>
      <c r="J1155" s="21">
        <f>SUM(R1152:R1154)</f>
        <v>82990.66</v>
      </c>
      <c r="K1155" s="21"/>
    </row>
    <row r="1156" spans="1:22" ht="14.25" x14ac:dyDescent="0.2">
      <c r="A1156" s="18"/>
      <c r="B1156" s="18"/>
      <c r="C1156" s="18" t="s">
        <v>1104</v>
      </c>
      <c r="D1156" s="19" t="s">
        <v>1103</v>
      </c>
      <c r="E1156" s="9">
        <f>Source!AU830</f>
        <v>10</v>
      </c>
      <c r="F1156" s="21"/>
      <c r="G1156" s="20"/>
      <c r="H1156" s="9"/>
      <c r="I1156" s="9"/>
      <c r="J1156" s="21">
        <f>SUM(T1152:T1155)</f>
        <v>11855.81</v>
      </c>
      <c r="K1156" s="21"/>
    </row>
    <row r="1157" spans="1:22" ht="14.25" x14ac:dyDescent="0.2">
      <c r="A1157" s="18"/>
      <c r="B1157" s="18"/>
      <c r="C1157" s="18" t="s">
        <v>1105</v>
      </c>
      <c r="D1157" s="19" t="s">
        <v>1106</v>
      </c>
      <c r="E1157" s="9">
        <f>Source!AQ830</f>
        <v>24</v>
      </c>
      <c r="F1157" s="21"/>
      <c r="G1157" s="20" t="str">
        <f>Source!DI830</f>
        <v/>
      </c>
      <c r="H1157" s="9">
        <f>Source!AV830</f>
        <v>1</v>
      </c>
      <c r="I1157" s="9"/>
      <c r="J1157" s="21"/>
      <c r="K1157" s="21">
        <f>Source!U830</f>
        <v>192</v>
      </c>
    </row>
    <row r="1158" spans="1:22" ht="15" x14ac:dyDescent="0.25">
      <c r="A1158" s="23"/>
      <c r="B1158" s="23"/>
      <c r="C1158" s="23"/>
      <c r="D1158" s="23"/>
      <c r="E1158" s="23"/>
      <c r="F1158" s="23"/>
      <c r="G1158" s="23"/>
      <c r="H1158" s="23"/>
      <c r="I1158" s="44">
        <f>J1153+J1154+J1155+J1156</f>
        <v>215048.79</v>
      </c>
      <c r="J1158" s="44"/>
      <c r="K1158" s="24">
        <f>IF(Source!I830&lt;&gt;0, ROUND(I1158/Source!I830, 2), 0)</f>
        <v>26881.1</v>
      </c>
      <c r="P1158" s="22">
        <f>I1158</f>
        <v>215048.79</v>
      </c>
    </row>
    <row r="1159" spans="1:22" ht="42.75" x14ac:dyDescent="0.2">
      <c r="A1159" s="18">
        <v>130</v>
      </c>
      <c r="B1159" s="18" t="str">
        <f>Source!F832</f>
        <v>1.23-2203-3-1/1</v>
      </c>
      <c r="C1159" s="18" t="str">
        <f>Source!G832</f>
        <v>Техническое обслуживание светосигнальной арматуры с лампой накаливания, светодиодом</v>
      </c>
      <c r="D1159" s="19" t="str">
        <f>Source!H832</f>
        <v>10 шт.</v>
      </c>
      <c r="E1159" s="9">
        <f>Source!I832</f>
        <v>0.2</v>
      </c>
      <c r="F1159" s="21"/>
      <c r="G1159" s="20"/>
      <c r="H1159" s="9"/>
      <c r="I1159" s="9"/>
      <c r="J1159" s="21"/>
      <c r="K1159" s="21"/>
      <c r="Q1159">
        <f>ROUND((Source!BZ832/100)*ROUND((Source!AF832*Source!AV832)*Source!I832, 2), 2)</f>
        <v>238.45</v>
      </c>
      <c r="R1159">
        <f>Source!X832</f>
        <v>238.45</v>
      </c>
      <c r="S1159">
        <f>ROUND((Source!CA832/100)*ROUND((Source!AF832*Source!AV832)*Source!I832, 2), 2)</f>
        <v>34.06</v>
      </c>
      <c r="T1159">
        <f>Source!Y832</f>
        <v>34.06</v>
      </c>
      <c r="U1159">
        <f>ROUND((175/100)*ROUND((Source!AE832*Source!AV832)*Source!I832, 2), 2)</f>
        <v>0</v>
      </c>
      <c r="V1159">
        <f>ROUND((108/100)*ROUND(Source!CS832*Source!I832, 2), 2)</f>
        <v>0</v>
      </c>
    </row>
    <row r="1160" spans="1:22" x14ac:dyDescent="0.2">
      <c r="C1160" s="28" t="str">
        <f>"Объем: "&amp;Source!I832&amp;"=2/"&amp;"10"</f>
        <v>Объем: 0,2=2/10</v>
      </c>
    </row>
    <row r="1161" spans="1:22" ht="14.25" x14ac:dyDescent="0.2">
      <c r="A1161" s="18"/>
      <c r="B1161" s="18"/>
      <c r="C1161" s="18" t="s">
        <v>1100</v>
      </c>
      <c r="D1161" s="19"/>
      <c r="E1161" s="9"/>
      <c r="F1161" s="21">
        <f>Source!AO832</f>
        <v>1703.18</v>
      </c>
      <c r="G1161" s="20" t="str">
        <f>Source!DG832</f>
        <v/>
      </c>
      <c r="H1161" s="9">
        <f>Source!AV832</f>
        <v>1</v>
      </c>
      <c r="I1161" s="9">
        <f>IF(Source!BA832&lt;&gt; 0, Source!BA832, 1)</f>
        <v>1</v>
      </c>
      <c r="J1161" s="21">
        <f>Source!S832</f>
        <v>340.64</v>
      </c>
      <c r="K1161" s="21"/>
    </row>
    <row r="1162" spans="1:22" ht="14.25" x14ac:dyDescent="0.2">
      <c r="A1162" s="18"/>
      <c r="B1162" s="18"/>
      <c r="C1162" s="18" t="s">
        <v>1101</v>
      </c>
      <c r="D1162" s="19"/>
      <c r="E1162" s="9"/>
      <c r="F1162" s="21">
        <f>Source!AL832</f>
        <v>80.67</v>
      </c>
      <c r="G1162" s="20" t="str">
        <f>Source!DD832</f>
        <v/>
      </c>
      <c r="H1162" s="9">
        <f>Source!AW832</f>
        <v>1</v>
      </c>
      <c r="I1162" s="9">
        <f>IF(Source!BC832&lt;&gt; 0, Source!BC832, 1)</f>
        <v>1</v>
      </c>
      <c r="J1162" s="21">
        <f>Source!P832</f>
        <v>16.13</v>
      </c>
      <c r="K1162" s="21"/>
    </row>
    <row r="1163" spans="1:22" ht="14.25" x14ac:dyDescent="0.2">
      <c r="A1163" s="18"/>
      <c r="B1163" s="18"/>
      <c r="C1163" s="18" t="s">
        <v>1102</v>
      </c>
      <c r="D1163" s="19" t="s">
        <v>1103</v>
      </c>
      <c r="E1163" s="9">
        <f>Source!AT832</f>
        <v>70</v>
      </c>
      <c r="F1163" s="21"/>
      <c r="G1163" s="20"/>
      <c r="H1163" s="9"/>
      <c r="I1163" s="9"/>
      <c r="J1163" s="21">
        <f>SUM(R1159:R1162)</f>
        <v>238.45</v>
      </c>
      <c r="K1163" s="21"/>
    </row>
    <row r="1164" spans="1:22" ht="14.25" x14ac:dyDescent="0.2">
      <c r="A1164" s="18"/>
      <c r="B1164" s="18"/>
      <c r="C1164" s="18" t="s">
        <v>1104</v>
      </c>
      <c r="D1164" s="19" t="s">
        <v>1103</v>
      </c>
      <c r="E1164" s="9">
        <f>Source!AU832</f>
        <v>10</v>
      </c>
      <c r="F1164" s="21"/>
      <c r="G1164" s="20"/>
      <c r="H1164" s="9"/>
      <c r="I1164" s="9"/>
      <c r="J1164" s="21">
        <f>SUM(T1159:T1163)</f>
        <v>34.06</v>
      </c>
      <c r="K1164" s="21"/>
    </row>
    <row r="1165" spans="1:22" ht="14.25" x14ac:dyDescent="0.2">
      <c r="A1165" s="18"/>
      <c r="B1165" s="18"/>
      <c r="C1165" s="18" t="s">
        <v>1105</v>
      </c>
      <c r="D1165" s="19" t="s">
        <v>1106</v>
      </c>
      <c r="E1165" s="9">
        <f>Source!AQ832</f>
        <v>2.4</v>
      </c>
      <c r="F1165" s="21"/>
      <c r="G1165" s="20" t="str">
        <f>Source!DI832</f>
        <v/>
      </c>
      <c r="H1165" s="9">
        <f>Source!AV832</f>
        <v>1</v>
      </c>
      <c r="I1165" s="9"/>
      <c r="J1165" s="21"/>
      <c r="K1165" s="21">
        <f>Source!U832</f>
        <v>0.48</v>
      </c>
    </row>
    <row r="1166" spans="1:22" ht="15" x14ac:dyDescent="0.25">
      <c r="A1166" s="23"/>
      <c r="B1166" s="23"/>
      <c r="C1166" s="23"/>
      <c r="D1166" s="23"/>
      <c r="E1166" s="23"/>
      <c r="F1166" s="23"/>
      <c r="G1166" s="23"/>
      <c r="H1166" s="23"/>
      <c r="I1166" s="44">
        <f>J1161+J1162+J1163+J1164</f>
        <v>629.28</v>
      </c>
      <c r="J1166" s="44"/>
      <c r="K1166" s="24">
        <f>IF(Source!I832&lt;&gt;0, ROUND(I1166/Source!I832, 2), 0)</f>
        <v>3146.4</v>
      </c>
      <c r="P1166" s="22">
        <f>I1166</f>
        <v>629.28</v>
      </c>
    </row>
    <row r="1167" spans="1:22" ht="128.25" x14ac:dyDescent="0.2">
      <c r="A1167" s="18">
        <v>131</v>
      </c>
      <c r="B1167" s="18" t="str">
        <f>Source!F833</f>
        <v>1.23-2303-5-1/1</v>
      </c>
      <c r="C1167" s="18" t="str">
        <f>Source!G833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Устройство управления в комплекте с датчиками температуры, влажности ETR/F-1447A «Electrolux»</v>
      </c>
      <c r="D1167" s="19" t="str">
        <f>Source!H833</f>
        <v>шт.</v>
      </c>
      <c r="E1167" s="9">
        <f>Source!I833</f>
        <v>1</v>
      </c>
      <c r="F1167" s="21"/>
      <c r="G1167" s="20"/>
      <c r="H1167" s="9"/>
      <c r="I1167" s="9"/>
      <c r="J1167" s="21"/>
      <c r="K1167" s="21"/>
      <c r="Q1167">
        <f>ROUND((Source!BZ833/100)*ROUND((Source!AF833*Source!AV833)*Source!I833, 2), 2)</f>
        <v>1142.04</v>
      </c>
      <c r="R1167">
        <f>Source!X833</f>
        <v>1142.04</v>
      </c>
      <c r="S1167">
        <f>ROUND((Source!CA833/100)*ROUND((Source!AF833*Source!AV833)*Source!I833, 2), 2)</f>
        <v>163.15</v>
      </c>
      <c r="T1167">
        <f>Source!Y833</f>
        <v>163.15</v>
      </c>
      <c r="U1167">
        <f>ROUND((175/100)*ROUND((Source!AE833*Source!AV833)*Source!I833, 2), 2)</f>
        <v>0</v>
      </c>
      <c r="V1167">
        <f>ROUND((108/100)*ROUND(Source!CS833*Source!I833, 2), 2)</f>
        <v>0</v>
      </c>
    </row>
    <row r="1168" spans="1:22" ht="14.25" x14ac:dyDescent="0.2">
      <c r="A1168" s="18"/>
      <c r="B1168" s="18"/>
      <c r="C1168" s="18" t="s">
        <v>1100</v>
      </c>
      <c r="D1168" s="19"/>
      <c r="E1168" s="9"/>
      <c r="F1168" s="21">
        <f>Source!AO833</f>
        <v>815.74</v>
      </c>
      <c r="G1168" s="20" t="str">
        <f>Source!DG833</f>
        <v>)*2</v>
      </c>
      <c r="H1168" s="9">
        <f>Source!AV833</f>
        <v>1</v>
      </c>
      <c r="I1168" s="9">
        <f>IF(Source!BA833&lt;&gt; 0, Source!BA833, 1)</f>
        <v>1</v>
      </c>
      <c r="J1168" s="21">
        <f>Source!S833</f>
        <v>1631.48</v>
      </c>
      <c r="K1168" s="21"/>
    </row>
    <row r="1169" spans="1:22" ht="14.25" x14ac:dyDescent="0.2">
      <c r="A1169" s="18"/>
      <c r="B1169" s="18"/>
      <c r="C1169" s="18" t="s">
        <v>1102</v>
      </c>
      <c r="D1169" s="19" t="s">
        <v>1103</v>
      </c>
      <c r="E1169" s="9">
        <f>Source!AT833</f>
        <v>70</v>
      </c>
      <c r="F1169" s="21"/>
      <c r="G1169" s="20"/>
      <c r="H1169" s="9"/>
      <c r="I1169" s="9"/>
      <c r="J1169" s="21">
        <f>SUM(R1167:R1168)</f>
        <v>1142.04</v>
      </c>
      <c r="K1169" s="21"/>
    </row>
    <row r="1170" spans="1:22" ht="14.25" x14ac:dyDescent="0.2">
      <c r="A1170" s="18"/>
      <c r="B1170" s="18"/>
      <c r="C1170" s="18" t="s">
        <v>1104</v>
      </c>
      <c r="D1170" s="19" t="s">
        <v>1103</v>
      </c>
      <c r="E1170" s="9">
        <f>Source!AU833</f>
        <v>10</v>
      </c>
      <c r="F1170" s="21"/>
      <c r="G1170" s="20"/>
      <c r="H1170" s="9"/>
      <c r="I1170" s="9"/>
      <c r="J1170" s="21">
        <f>SUM(T1167:T1169)</f>
        <v>163.15</v>
      </c>
      <c r="K1170" s="21"/>
    </row>
    <row r="1171" spans="1:22" ht="14.25" x14ac:dyDescent="0.2">
      <c r="A1171" s="18"/>
      <c r="B1171" s="18"/>
      <c r="C1171" s="18" t="s">
        <v>1105</v>
      </c>
      <c r="D1171" s="19" t="s">
        <v>1106</v>
      </c>
      <c r="E1171" s="9">
        <f>Source!AQ833</f>
        <v>1.06</v>
      </c>
      <c r="F1171" s="21"/>
      <c r="G1171" s="20" t="str">
        <f>Source!DI833</f>
        <v>)*2</v>
      </c>
      <c r="H1171" s="9">
        <f>Source!AV833</f>
        <v>1</v>
      </c>
      <c r="I1171" s="9"/>
      <c r="J1171" s="21"/>
      <c r="K1171" s="21">
        <f>Source!U833</f>
        <v>2.12</v>
      </c>
    </row>
    <row r="1172" spans="1:22" ht="15" x14ac:dyDescent="0.25">
      <c r="A1172" s="23"/>
      <c r="B1172" s="23"/>
      <c r="C1172" s="23"/>
      <c r="D1172" s="23"/>
      <c r="E1172" s="23"/>
      <c r="F1172" s="23"/>
      <c r="G1172" s="23"/>
      <c r="H1172" s="23"/>
      <c r="I1172" s="44">
        <f>J1168+J1169+J1170</f>
        <v>2936.67</v>
      </c>
      <c r="J1172" s="44"/>
      <c r="K1172" s="24">
        <f>IF(Source!I833&lt;&gt;0, ROUND(I1172/Source!I833, 2), 0)</f>
        <v>2936.67</v>
      </c>
      <c r="P1172" s="22">
        <f>I1172</f>
        <v>2936.67</v>
      </c>
    </row>
    <row r="1173" spans="1:22" ht="42.75" x14ac:dyDescent="0.2">
      <c r="A1173" s="18">
        <v>132</v>
      </c>
      <c r="B1173" s="18" t="str">
        <f>Source!F834</f>
        <v>1.21-2203-17-1/1</v>
      </c>
      <c r="C1173" s="18" t="str">
        <f>Source!G834</f>
        <v>Техническое обслуживание ящика с понижающим трансформатором типа ЯТП</v>
      </c>
      <c r="D1173" s="19" t="str">
        <f>Source!H834</f>
        <v>шт.</v>
      </c>
      <c r="E1173" s="9">
        <f>Source!I834</f>
        <v>4</v>
      </c>
      <c r="F1173" s="21"/>
      <c r="G1173" s="20"/>
      <c r="H1173" s="9"/>
      <c r="I1173" s="9"/>
      <c r="J1173" s="21"/>
      <c r="K1173" s="21"/>
      <c r="Q1173">
        <f>ROUND((Source!BZ834/100)*ROUND((Source!AF834*Source!AV834)*Source!I834, 2), 2)</f>
        <v>822.08</v>
      </c>
      <c r="R1173">
        <f>Source!X834</f>
        <v>822.08</v>
      </c>
      <c r="S1173">
        <f>ROUND((Source!CA834/100)*ROUND((Source!AF834*Source!AV834)*Source!I834, 2), 2)</f>
        <v>117.44</v>
      </c>
      <c r="T1173">
        <f>Source!Y834</f>
        <v>117.44</v>
      </c>
      <c r="U1173">
        <f>ROUND((175/100)*ROUND((Source!AE834*Source!AV834)*Source!I834, 2), 2)</f>
        <v>231.35</v>
      </c>
      <c r="V1173">
        <f>ROUND((108/100)*ROUND(Source!CS834*Source!I834, 2), 2)</f>
        <v>142.78</v>
      </c>
    </row>
    <row r="1174" spans="1:22" ht="14.25" x14ac:dyDescent="0.2">
      <c r="A1174" s="18"/>
      <c r="B1174" s="18"/>
      <c r="C1174" s="18" t="s">
        <v>1100</v>
      </c>
      <c r="D1174" s="19"/>
      <c r="E1174" s="9"/>
      <c r="F1174" s="21">
        <f>Source!AO834</f>
        <v>293.60000000000002</v>
      </c>
      <c r="G1174" s="20" t="str">
        <f>Source!DG834</f>
        <v/>
      </c>
      <c r="H1174" s="9">
        <f>Source!AV834</f>
        <v>1</v>
      </c>
      <c r="I1174" s="9">
        <f>IF(Source!BA834&lt;&gt; 0, Source!BA834, 1)</f>
        <v>1</v>
      </c>
      <c r="J1174" s="21">
        <f>Source!S834</f>
        <v>1174.4000000000001</v>
      </c>
      <c r="K1174" s="21"/>
    </row>
    <row r="1175" spans="1:22" ht="14.25" x14ac:dyDescent="0.2">
      <c r="A1175" s="18"/>
      <c r="B1175" s="18"/>
      <c r="C1175" s="18" t="s">
        <v>1107</v>
      </c>
      <c r="D1175" s="19"/>
      <c r="E1175" s="9"/>
      <c r="F1175" s="21">
        <f>Source!AM834</f>
        <v>52.12</v>
      </c>
      <c r="G1175" s="20" t="str">
        <f>Source!DE834</f>
        <v/>
      </c>
      <c r="H1175" s="9">
        <f>Source!AV834</f>
        <v>1</v>
      </c>
      <c r="I1175" s="9">
        <f>IF(Source!BB834&lt;&gt; 0, Source!BB834, 1)</f>
        <v>1</v>
      </c>
      <c r="J1175" s="21">
        <f>Source!Q834</f>
        <v>208.48</v>
      </c>
      <c r="K1175" s="21"/>
    </row>
    <row r="1176" spans="1:22" ht="14.25" x14ac:dyDescent="0.2">
      <c r="A1176" s="18"/>
      <c r="B1176" s="18"/>
      <c r="C1176" s="18" t="s">
        <v>1108</v>
      </c>
      <c r="D1176" s="19"/>
      <c r="E1176" s="9"/>
      <c r="F1176" s="21">
        <f>Source!AN834</f>
        <v>33.049999999999997</v>
      </c>
      <c r="G1176" s="20" t="str">
        <f>Source!DF834</f>
        <v/>
      </c>
      <c r="H1176" s="9">
        <f>Source!AV834</f>
        <v>1</v>
      </c>
      <c r="I1176" s="9">
        <f>IF(Source!BS834&lt;&gt; 0, Source!BS834, 1)</f>
        <v>1</v>
      </c>
      <c r="J1176" s="25">
        <f>Source!R834</f>
        <v>132.19999999999999</v>
      </c>
      <c r="K1176" s="21"/>
    </row>
    <row r="1177" spans="1:22" ht="14.25" x14ac:dyDescent="0.2">
      <c r="A1177" s="18"/>
      <c r="B1177" s="18"/>
      <c r="C1177" s="18" t="s">
        <v>1101</v>
      </c>
      <c r="D1177" s="19"/>
      <c r="E1177" s="9"/>
      <c r="F1177" s="21">
        <f>Source!AL834</f>
        <v>0.13</v>
      </c>
      <c r="G1177" s="20" t="str">
        <f>Source!DD834</f>
        <v/>
      </c>
      <c r="H1177" s="9">
        <f>Source!AW834</f>
        <v>1</v>
      </c>
      <c r="I1177" s="9">
        <f>IF(Source!BC834&lt;&gt; 0, Source!BC834, 1)</f>
        <v>1</v>
      </c>
      <c r="J1177" s="21">
        <f>Source!P834</f>
        <v>0.52</v>
      </c>
      <c r="K1177" s="21"/>
    </row>
    <row r="1178" spans="1:22" ht="14.25" x14ac:dyDescent="0.2">
      <c r="A1178" s="18"/>
      <c r="B1178" s="18"/>
      <c r="C1178" s="18" t="s">
        <v>1102</v>
      </c>
      <c r="D1178" s="19" t="s">
        <v>1103</v>
      </c>
      <c r="E1178" s="9">
        <f>Source!AT834</f>
        <v>70</v>
      </c>
      <c r="F1178" s="21"/>
      <c r="G1178" s="20"/>
      <c r="H1178" s="9"/>
      <c r="I1178" s="9"/>
      <c r="J1178" s="21">
        <f>SUM(R1173:R1177)</f>
        <v>822.08</v>
      </c>
      <c r="K1178" s="21"/>
    </row>
    <row r="1179" spans="1:22" ht="14.25" x14ac:dyDescent="0.2">
      <c r="A1179" s="18"/>
      <c r="B1179" s="18"/>
      <c r="C1179" s="18" t="s">
        <v>1104</v>
      </c>
      <c r="D1179" s="19" t="s">
        <v>1103</v>
      </c>
      <c r="E1179" s="9">
        <f>Source!AU834</f>
        <v>10</v>
      </c>
      <c r="F1179" s="21"/>
      <c r="G1179" s="20"/>
      <c r="H1179" s="9"/>
      <c r="I1179" s="9"/>
      <c r="J1179" s="21">
        <f>SUM(T1173:T1178)</f>
        <v>117.44</v>
      </c>
      <c r="K1179" s="21"/>
    </row>
    <row r="1180" spans="1:22" ht="14.25" x14ac:dyDescent="0.2">
      <c r="A1180" s="18"/>
      <c r="B1180" s="18"/>
      <c r="C1180" s="18" t="s">
        <v>1109</v>
      </c>
      <c r="D1180" s="19" t="s">
        <v>1103</v>
      </c>
      <c r="E1180" s="9">
        <f>108</f>
        <v>108</v>
      </c>
      <c r="F1180" s="21"/>
      <c r="G1180" s="20"/>
      <c r="H1180" s="9"/>
      <c r="I1180" s="9"/>
      <c r="J1180" s="21">
        <f>SUM(V1173:V1179)</f>
        <v>142.78</v>
      </c>
      <c r="K1180" s="21"/>
    </row>
    <row r="1181" spans="1:22" ht="14.25" x14ac:dyDescent="0.2">
      <c r="A1181" s="18"/>
      <c r="B1181" s="18"/>
      <c r="C1181" s="18" t="s">
        <v>1105</v>
      </c>
      <c r="D1181" s="19" t="s">
        <v>1106</v>
      </c>
      <c r="E1181" s="9">
        <f>Source!AQ834</f>
        <v>0.55000000000000004</v>
      </c>
      <c r="F1181" s="21"/>
      <c r="G1181" s="20" t="str">
        <f>Source!DI834</f>
        <v/>
      </c>
      <c r="H1181" s="9">
        <f>Source!AV834</f>
        <v>1</v>
      </c>
      <c r="I1181" s="9"/>
      <c r="J1181" s="21"/>
      <c r="K1181" s="21">
        <f>Source!U834</f>
        <v>2.2000000000000002</v>
      </c>
    </row>
    <row r="1182" spans="1:22" ht="15" x14ac:dyDescent="0.25">
      <c r="A1182" s="23"/>
      <c r="B1182" s="23"/>
      <c r="C1182" s="23"/>
      <c r="D1182" s="23"/>
      <c r="E1182" s="23"/>
      <c r="F1182" s="23"/>
      <c r="G1182" s="23"/>
      <c r="H1182" s="23"/>
      <c r="I1182" s="44">
        <f>J1174+J1175+J1177+J1178+J1179+J1180</f>
        <v>2465.7000000000003</v>
      </c>
      <c r="J1182" s="44"/>
      <c r="K1182" s="24">
        <f>IF(Source!I834&lt;&gt;0, ROUND(I1182/Source!I834, 2), 0)</f>
        <v>616.42999999999995</v>
      </c>
      <c r="P1182" s="22">
        <f>I1182</f>
        <v>2465.7000000000003</v>
      </c>
    </row>
    <row r="1184" spans="1:22" ht="15" customHeight="1" x14ac:dyDescent="0.25">
      <c r="B1184" s="47" t="str">
        <f>Source!G836</f>
        <v>Электроустановочные изделия</v>
      </c>
      <c r="C1184" s="47"/>
      <c r="D1184" s="47"/>
      <c r="E1184" s="47"/>
      <c r="F1184" s="47"/>
      <c r="G1184" s="47"/>
      <c r="H1184" s="47"/>
      <c r="I1184" s="47"/>
      <c r="J1184" s="47"/>
    </row>
    <row r="1185" spans="1:22" ht="71.25" x14ac:dyDescent="0.2">
      <c r="A1185" s="18">
        <v>133</v>
      </c>
      <c r="B1185" s="18" t="str">
        <f>Source!F837</f>
        <v>1.21-2303-37-1/1</v>
      </c>
      <c r="C1185" s="18" t="str">
        <f>Source!G837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1185" s="19" t="str">
        <f>Source!H837</f>
        <v>10 шт.</v>
      </c>
      <c r="E1185" s="9">
        <f>Source!I837</f>
        <v>39</v>
      </c>
      <c r="F1185" s="21"/>
      <c r="G1185" s="20"/>
      <c r="H1185" s="9"/>
      <c r="I1185" s="9"/>
      <c r="J1185" s="21"/>
      <c r="K1185" s="21"/>
      <c r="Q1185">
        <f>ROUND((Source!BZ837/100)*ROUND((Source!AF837*Source!AV837)*Source!I837, 2), 2)</f>
        <v>3034.4</v>
      </c>
      <c r="R1185">
        <f>Source!X837</f>
        <v>3034.4</v>
      </c>
      <c r="S1185">
        <f>ROUND((Source!CA837/100)*ROUND((Source!AF837*Source!AV837)*Source!I837, 2), 2)</f>
        <v>433.49</v>
      </c>
      <c r="T1185">
        <f>Source!Y837</f>
        <v>433.49</v>
      </c>
      <c r="U1185">
        <f>ROUND((175/100)*ROUND((Source!AE837*Source!AV837)*Source!I837, 2), 2)</f>
        <v>0</v>
      </c>
      <c r="V1185">
        <f>ROUND((108/100)*ROUND(Source!CS837*Source!I837, 2), 2)</f>
        <v>0</v>
      </c>
    </row>
    <row r="1186" spans="1:22" x14ac:dyDescent="0.2">
      <c r="C1186" s="28" t="str">
        <f>"Объем: "&amp;Source!I837&amp;"=(104+"&amp;"16+"&amp;"270)/"&amp;"10"</f>
        <v>Объем: 39=(104+16+270)/10</v>
      </c>
    </row>
    <row r="1187" spans="1:22" ht="14.25" x14ac:dyDescent="0.2">
      <c r="A1187" s="18"/>
      <c r="B1187" s="18"/>
      <c r="C1187" s="18" t="s">
        <v>1100</v>
      </c>
      <c r="D1187" s="19"/>
      <c r="E1187" s="9"/>
      <c r="F1187" s="21">
        <f>Source!AO837</f>
        <v>111.15</v>
      </c>
      <c r="G1187" s="20" t="str">
        <f>Source!DG837</f>
        <v/>
      </c>
      <c r="H1187" s="9">
        <f>Source!AV837</f>
        <v>1</v>
      </c>
      <c r="I1187" s="9">
        <f>IF(Source!BA837&lt;&gt; 0, Source!BA837, 1)</f>
        <v>1</v>
      </c>
      <c r="J1187" s="21">
        <f>Source!S837</f>
        <v>4334.8500000000004</v>
      </c>
      <c r="K1187" s="21"/>
    </row>
    <row r="1188" spans="1:22" ht="14.25" x14ac:dyDescent="0.2">
      <c r="A1188" s="18"/>
      <c r="B1188" s="18"/>
      <c r="C1188" s="18" t="s">
        <v>1101</v>
      </c>
      <c r="D1188" s="19"/>
      <c r="E1188" s="9"/>
      <c r="F1188" s="21">
        <f>Source!AL837</f>
        <v>6.3</v>
      </c>
      <c r="G1188" s="20" t="str">
        <f>Source!DD837</f>
        <v/>
      </c>
      <c r="H1188" s="9">
        <f>Source!AW837</f>
        <v>1</v>
      </c>
      <c r="I1188" s="9">
        <f>IF(Source!BC837&lt;&gt; 0, Source!BC837, 1)</f>
        <v>1</v>
      </c>
      <c r="J1188" s="21">
        <f>Source!P837</f>
        <v>245.7</v>
      </c>
      <c r="K1188" s="21"/>
    </row>
    <row r="1189" spans="1:22" ht="14.25" x14ac:dyDescent="0.2">
      <c r="A1189" s="18"/>
      <c r="B1189" s="18"/>
      <c r="C1189" s="18" t="s">
        <v>1102</v>
      </c>
      <c r="D1189" s="19" t="s">
        <v>1103</v>
      </c>
      <c r="E1189" s="9">
        <f>Source!AT837</f>
        <v>70</v>
      </c>
      <c r="F1189" s="21"/>
      <c r="G1189" s="20"/>
      <c r="H1189" s="9"/>
      <c r="I1189" s="9"/>
      <c r="J1189" s="21">
        <f>SUM(R1185:R1188)</f>
        <v>3034.4</v>
      </c>
      <c r="K1189" s="21"/>
    </row>
    <row r="1190" spans="1:22" ht="14.25" x14ac:dyDescent="0.2">
      <c r="A1190" s="18"/>
      <c r="B1190" s="18"/>
      <c r="C1190" s="18" t="s">
        <v>1104</v>
      </c>
      <c r="D1190" s="19" t="s">
        <v>1103</v>
      </c>
      <c r="E1190" s="9">
        <f>Source!AU837</f>
        <v>10</v>
      </c>
      <c r="F1190" s="21"/>
      <c r="G1190" s="20"/>
      <c r="H1190" s="9"/>
      <c r="I1190" s="9"/>
      <c r="J1190" s="21">
        <f>SUM(T1185:T1189)</f>
        <v>433.49</v>
      </c>
      <c r="K1190" s="21"/>
    </row>
    <row r="1191" spans="1:22" ht="14.25" x14ac:dyDescent="0.2">
      <c r="A1191" s="18"/>
      <c r="B1191" s="18"/>
      <c r="C1191" s="18" t="s">
        <v>1105</v>
      </c>
      <c r="D1191" s="19" t="s">
        <v>1106</v>
      </c>
      <c r="E1191" s="9">
        <f>Source!AQ837</f>
        <v>0.18</v>
      </c>
      <c r="F1191" s="21"/>
      <c r="G1191" s="20" t="str">
        <f>Source!DI837</f>
        <v/>
      </c>
      <c r="H1191" s="9">
        <f>Source!AV837</f>
        <v>1</v>
      </c>
      <c r="I1191" s="9"/>
      <c r="J1191" s="21"/>
      <c r="K1191" s="21">
        <f>Source!U837</f>
        <v>7.02</v>
      </c>
    </row>
    <row r="1192" spans="1:22" ht="15" x14ac:dyDescent="0.25">
      <c r="A1192" s="23"/>
      <c r="B1192" s="23"/>
      <c r="C1192" s="23"/>
      <c r="D1192" s="23"/>
      <c r="E1192" s="23"/>
      <c r="F1192" s="23"/>
      <c r="G1192" s="23"/>
      <c r="H1192" s="23"/>
      <c r="I1192" s="44">
        <f>J1187+J1188+J1189+J1190</f>
        <v>8048.4400000000005</v>
      </c>
      <c r="J1192" s="44"/>
      <c r="K1192" s="24">
        <f>IF(Source!I837&lt;&gt;0, ROUND(I1192/Source!I837, 2), 0)</f>
        <v>206.37</v>
      </c>
      <c r="P1192" s="22">
        <f>I1192</f>
        <v>8048.4400000000005</v>
      </c>
    </row>
    <row r="1194" spans="1:22" ht="15" customHeight="1" x14ac:dyDescent="0.25">
      <c r="B1194" s="47" t="str">
        <f>Source!G839</f>
        <v>Светотехническое оборудование</v>
      </c>
      <c r="C1194" s="47"/>
      <c r="D1194" s="47"/>
      <c r="E1194" s="47"/>
      <c r="F1194" s="47"/>
      <c r="G1194" s="47"/>
      <c r="H1194" s="47"/>
      <c r="I1194" s="47"/>
      <c r="J1194" s="47"/>
    </row>
    <row r="1195" spans="1:22" ht="108" x14ac:dyDescent="0.2">
      <c r="A1195" s="18">
        <v>134</v>
      </c>
      <c r="B1195" s="18" t="s">
        <v>1112</v>
      </c>
      <c r="C1195" s="18" t="s">
        <v>1113</v>
      </c>
      <c r="D1195" s="19" t="str">
        <f>Source!H840</f>
        <v>шт.</v>
      </c>
      <c r="E1195" s="9">
        <f>Source!I840</f>
        <v>857</v>
      </c>
      <c r="F1195" s="21"/>
      <c r="G1195" s="20"/>
      <c r="H1195" s="9"/>
      <c r="I1195" s="9"/>
      <c r="J1195" s="21"/>
      <c r="K1195" s="21"/>
      <c r="Q1195">
        <f>ROUND((Source!BZ840/100)*ROUND((Source!AF840*Source!AV840)*Source!I840, 2), 2)</f>
        <v>70150.86</v>
      </c>
      <c r="R1195">
        <f>Source!X840</f>
        <v>70150.86</v>
      </c>
      <c r="S1195">
        <f>ROUND((Source!CA840/100)*ROUND((Source!AF840*Source!AV840)*Source!I840, 2), 2)</f>
        <v>10021.549999999999</v>
      </c>
      <c r="T1195">
        <f>Source!Y840</f>
        <v>10021.549999999999</v>
      </c>
      <c r="U1195">
        <f>ROUND((175/100)*ROUND((Source!AE840*Source!AV840)*Source!I840, 2), 2)</f>
        <v>0</v>
      </c>
      <c r="V1195">
        <f>ROUND((108/100)*ROUND(Source!CS840*Source!I840, 2), 2)</f>
        <v>0</v>
      </c>
    </row>
    <row r="1196" spans="1:22" ht="14.25" x14ac:dyDescent="0.2">
      <c r="A1196" s="18"/>
      <c r="B1196" s="18"/>
      <c r="C1196" s="18" t="s">
        <v>1100</v>
      </c>
      <c r="D1196" s="19"/>
      <c r="E1196" s="9"/>
      <c r="F1196" s="21">
        <f>Source!AO840</f>
        <v>112.44</v>
      </c>
      <c r="G1196" s="20" t="str">
        <f>Source!DG840</f>
        <v>)*1,04</v>
      </c>
      <c r="H1196" s="9">
        <f>Source!AV840</f>
        <v>1</v>
      </c>
      <c r="I1196" s="9">
        <f>IF(Source!BA840&lt;&gt; 0, Source!BA840, 1)</f>
        <v>1</v>
      </c>
      <c r="J1196" s="21">
        <f>Source!S840</f>
        <v>100215.52</v>
      </c>
      <c r="K1196" s="21"/>
    </row>
    <row r="1197" spans="1:22" ht="14.25" x14ac:dyDescent="0.2">
      <c r="A1197" s="18"/>
      <c r="B1197" s="18"/>
      <c r="C1197" s="18" t="s">
        <v>1101</v>
      </c>
      <c r="D1197" s="19"/>
      <c r="E1197" s="9"/>
      <c r="F1197" s="21">
        <f>Source!AL840</f>
        <v>1.57</v>
      </c>
      <c r="G1197" s="20" t="str">
        <f>Source!DD840</f>
        <v/>
      </c>
      <c r="H1197" s="9">
        <f>Source!AW840</f>
        <v>1</v>
      </c>
      <c r="I1197" s="9">
        <f>IF(Source!BC840&lt;&gt; 0, Source!BC840, 1)</f>
        <v>1</v>
      </c>
      <c r="J1197" s="21">
        <f>Source!P840</f>
        <v>1345.49</v>
      </c>
      <c r="K1197" s="21"/>
    </row>
    <row r="1198" spans="1:22" ht="14.25" x14ac:dyDescent="0.2">
      <c r="A1198" s="18"/>
      <c r="B1198" s="18"/>
      <c r="C1198" s="18" t="s">
        <v>1102</v>
      </c>
      <c r="D1198" s="19" t="s">
        <v>1103</v>
      </c>
      <c r="E1198" s="9">
        <f>Source!AT840</f>
        <v>70</v>
      </c>
      <c r="F1198" s="21"/>
      <c r="G1198" s="20"/>
      <c r="H1198" s="9"/>
      <c r="I1198" s="9"/>
      <c r="J1198" s="21">
        <f>SUM(R1195:R1197)</f>
        <v>70150.86</v>
      </c>
      <c r="K1198" s="21"/>
    </row>
    <row r="1199" spans="1:22" ht="14.25" x14ac:dyDescent="0.2">
      <c r="A1199" s="18"/>
      <c r="B1199" s="18"/>
      <c r="C1199" s="18" t="s">
        <v>1104</v>
      </c>
      <c r="D1199" s="19" t="s">
        <v>1103</v>
      </c>
      <c r="E1199" s="9">
        <f>Source!AU840</f>
        <v>10</v>
      </c>
      <c r="F1199" s="21"/>
      <c r="G1199" s="20"/>
      <c r="H1199" s="9"/>
      <c r="I1199" s="9"/>
      <c r="J1199" s="21">
        <f>SUM(T1195:T1198)</f>
        <v>10021.549999999999</v>
      </c>
      <c r="K1199" s="21"/>
    </row>
    <row r="1200" spans="1:22" ht="14.25" x14ac:dyDescent="0.2">
      <c r="A1200" s="18"/>
      <c r="B1200" s="18"/>
      <c r="C1200" s="18" t="s">
        <v>1105</v>
      </c>
      <c r="D1200" s="19" t="s">
        <v>1106</v>
      </c>
      <c r="E1200" s="9">
        <f>Source!AQ840</f>
        <v>0.2</v>
      </c>
      <c r="F1200" s="21"/>
      <c r="G1200" s="20" t="str">
        <f>Source!DI840</f>
        <v>)*1,04</v>
      </c>
      <c r="H1200" s="9">
        <f>Source!AV840</f>
        <v>1</v>
      </c>
      <c r="I1200" s="9"/>
      <c r="J1200" s="21"/>
      <c r="K1200" s="21">
        <f>Source!U840</f>
        <v>178.25600000000003</v>
      </c>
    </row>
    <row r="1201" spans="1:22" ht="15" x14ac:dyDescent="0.25">
      <c r="A1201" s="23"/>
      <c r="B1201" s="23"/>
      <c r="C1201" s="23"/>
      <c r="D1201" s="23"/>
      <c r="E1201" s="23"/>
      <c r="F1201" s="23"/>
      <c r="G1201" s="23"/>
      <c r="H1201" s="23"/>
      <c r="I1201" s="44">
        <f>J1196+J1197+J1198+J1199</f>
        <v>181733.41999999998</v>
      </c>
      <c r="J1201" s="44"/>
      <c r="K1201" s="24">
        <f>IF(Source!I840&lt;&gt;0, ROUND(I1201/Source!I840, 2), 0)</f>
        <v>212.06</v>
      </c>
      <c r="P1201" s="22">
        <f>I1201</f>
        <v>181733.41999999998</v>
      </c>
    </row>
    <row r="1202" spans="1:22" ht="93.75" x14ac:dyDescent="0.2">
      <c r="A1202" s="18">
        <v>135</v>
      </c>
      <c r="B1202" s="18" t="s">
        <v>1114</v>
      </c>
      <c r="C1202" s="18" t="s">
        <v>1115</v>
      </c>
      <c r="D1202" s="19" t="str">
        <f>Source!H841</f>
        <v>шт.</v>
      </c>
      <c r="E1202" s="9">
        <f>Source!I841</f>
        <v>54</v>
      </c>
      <c r="F1202" s="21"/>
      <c r="G1202" s="20"/>
      <c r="H1202" s="9"/>
      <c r="I1202" s="9"/>
      <c r="J1202" s="21"/>
      <c r="K1202" s="21"/>
      <c r="Q1202">
        <f>ROUND((Source!BZ841/100)*ROUND((Source!AF841*Source!AV841)*Source!I841, 2), 2)</f>
        <v>10607.95</v>
      </c>
      <c r="R1202">
        <f>Source!X841</f>
        <v>10607.95</v>
      </c>
      <c r="S1202">
        <f>ROUND((Source!CA841/100)*ROUND((Source!AF841*Source!AV841)*Source!I841, 2), 2)</f>
        <v>1515.42</v>
      </c>
      <c r="T1202">
        <f>Source!Y841</f>
        <v>1515.42</v>
      </c>
      <c r="U1202">
        <f>ROUND((175/100)*ROUND((Source!AE841*Source!AV841)*Source!I841, 2), 2)</f>
        <v>0</v>
      </c>
      <c r="V1202">
        <f>ROUND((108/100)*ROUND(Source!CS841*Source!I841, 2), 2)</f>
        <v>0</v>
      </c>
    </row>
    <row r="1203" spans="1:22" ht="14.25" x14ac:dyDescent="0.2">
      <c r="A1203" s="18"/>
      <c r="B1203" s="18"/>
      <c r="C1203" s="18" t="s">
        <v>1100</v>
      </c>
      <c r="D1203" s="19"/>
      <c r="E1203" s="9"/>
      <c r="F1203" s="21">
        <f>Source!AO841</f>
        <v>269.83999999999997</v>
      </c>
      <c r="G1203" s="20" t="str">
        <f>Source!DG841</f>
        <v>)*1,04</v>
      </c>
      <c r="H1203" s="9">
        <f>Source!AV841</f>
        <v>1</v>
      </c>
      <c r="I1203" s="9">
        <f>IF(Source!BA841&lt;&gt; 0, Source!BA841, 1)</f>
        <v>1</v>
      </c>
      <c r="J1203" s="21">
        <f>Source!S841</f>
        <v>15154.21</v>
      </c>
      <c r="K1203" s="21"/>
    </row>
    <row r="1204" spans="1:22" ht="14.25" x14ac:dyDescent="0.2">
      <c r="A1204" s="18"/>
      <c r="B1204" s="18"/>
      <c r="C1204" s="18" t="s">
        <v>1101</v>
      </c>
      <c r="D1204" s="19"/>
      <c r="E1204" s="9"/>
      <c r="F1204" s="21">
        <f>Source!AL841</f>
        <v>1.57</v>
      </c>
      <c r="G1204" s="20" t="str">
        <f>Source!DD841</f>
        <v/>
      </c>
      <c r="H1204" s="9">
        <f>Source!AW841</f>
        <v>1</v>
      </c>
      <c r="I1204" s="9">
        <f>IF(Source!BC841&lt;&gt; 0, Source!BC841, 1)</f>
        <v>1</v>
      </c>
      <c r="J1204" s="21">
        <f>Source!P841</f>
        <v>84.78</v>
      </c>
      <c r="K1204" s="21"/>
    </row>
    <row r="1205" spans="1:22" ht="14.25" x14ac:dyDescent="0.2">
      <c r="A1205" s="18"/>
      <c r="B1205" s="18"/>
      <c r="C1205" s="18" t="s">
        <v>1102</v>
      </c>
      <c r="D1205" s="19" t="s">
        <v>1103</v>
      </c>
      <c r="E1205" s="9">
        <f>Source!AT841</f>
        <v>70</v>
      </c>
      <c r="F1205" s="21"/>
      <c r="G1205" s="20"/>
      <c r="H1205" s="9"/>
      <c r="I1205" s="9"/>
      <c r="J1205" s="21">
        <f>SUM(R1202:R1204)</f>
        <v>10607.95</v>
      </c>
      <c r="K1205" s="21"/>
    </row>
    <row r="1206" spans="1:22" ht="14.25" x14ac:dyDescent="0.2">
      <c r="A1206" s="18"/>
      <c r="B1206" s="18"/>
      <c r="C1206" s="18" t="s">
        <v>1104</v>
      </c>
      <c r="D1206" s="19" t="s">
        <v>1103</v>
      </c>
      <c r="E1206" s="9">
        <f>Source!AU841</f>
        <v>10</v>
      </c>
      <c r="F1206" s="21"/>
      <c r="G1206" s="20"/>
      <c r="H1206" s="9"/>
      <c r="I1206" s="9"/>
      <c r="J1206" s="21">
        <f>SUM(T1202:T1205)</f>
        <v>1515.42</v>
      </c>
      <c r="K1206" s="21"/>
    </row>
    <row r="1207" spans="1:22" ht="14.25" x14ac:dyDescent="0.2">
      <c r="A1207" s="18"/>
      <c r="B1207" s="18"/>
      <c r="C1207" s="18" t="s">
        <v>1105</v>
      </c>
      <c r="D1207" s="19" t="s">
        <v>1106</v>
      </c>
      <c r="E1207" s="9">
        <f>Source!AQ841</f>
        <v>0.48</v>
      </c>
      <c r="F1207" s="21"/>
      <c r="G1207" s="20" t="str">
        <f>Source!DI841</f>
        <v>)*1,04</v>
      </c>
      <c r="H1207" s="9">
        <f>Source!AV841</f>
        <v>1</v>
      </c>
      <c r="I1207" s="9"/>
      <c r="J1207" s="21"/>
      <c r="K1207" s="21">
        <f>Source!U841</f>
        <v>26.956799999999998</v>
      </c>
    </row>
    <row r="1208" spans="1:22" ht="15" x14ac:dyDescent="0.25">
      <c r="A1208" s="23"/>
      <c r="B1208" s="23"/>
      <c r="C1208" s="23"/>
      <c r="D1208" s="23"/>
      <c r="E1208" s="23"/>
      <c r="F1208" s="23"/>
      <c r="G1208" s="23"/>
      <c r="H1208" s="23"/>
      <c r="I1208" s="44">
        <f>J1203+J1204+J1205+J1206</f>
        <v>27362.36</v>
      </c>
      <c r="J1208" s="44"/>
      <c r="K1208" s="24">
        <f>IF(Source!I841&lt;&gt;0, ROUND(I1208/Source!I841, 2), 0)</f>
        <v>506.71</v>
      </c>
      <c r="P1208" s="22">
        <f>I1208</f>
        <v>27362.36</v>
      </c>
    </row>
    <row r="1209" spans="1:22" ht="93.75" x14ac:dyDescent="0.2">
      <c r="A1209" s="18">
        <v>136</v>
      </c>
      <c r="B1209" s="18" t="s">
        <v>1116</v>
      </c>
      <c r="C1209" s="18" t="s">
        <v>1117</v>
      </c>
      <c r="D1209" s="19" t="str">
        <f>Source!H842</f>
        <v>шт.</v>
      </c>
      <c r="E1209" s="9">
        <f>Source!I842</f>
        <v>167</v>
      </c>
      <c r="F1209" s="21"/>
      <c r="G1209" s="20"/>
      <c r="H1209" s="9"/>
      <c r="I1209" s="9"/>
      <c r="J1209" s="21"/>
      <c r="K1209" s="21"/>
      <c r="Q1209">
        <f>ROUND((Source!BZ842/100)*ROUND((Source!AF842*Source!AV842)*Source!I842, 2), 2)</f>
        <v>27338.79</v>
      </c>
      <c r="R1209">
        <f>Source!X842</f>
        <v>27338.79</v>
      </c>
      <c r="S1209">
        <f>ROUND((Source!CA842/100)*ROUND((Source!AF842*Source!AV842)*Source!I842, 2), 2)</f>
        <v>3905.54</v>
      </c>
      <c r="T1209">
        <f>Source!Y842</f>
        <v>3905.54</v>
      </c>
      <c r="U1209">
        <f>ROUND((175/100)*ROUND((Source!AE842*Source!AV842)*Source!I842, 2), 2)</f>
        <v>0</v>
      </c>
      <c r="V1209">
        <f>ROUND((108/100)*ROUND(Source!CS842*Source!I842, 2), 2)</f>
        <v>0</v>
      </c>
    </row>
    <row r="1210" spans="1:22" ht="14.25" x14ac:dyDescent="0.2">
      <c r="A1210" s="18"/>
      <c r="B1210" s="18"/>
      <c r="C1210" s="18" t="s">
        <v>1100</v>
      </c>
      <c r="D1210" s="19"/>
      <c r="E1210" s="9"/>
      <c r="F1210" s="21">
        <f>Source!AO842</f>
        <v>224.87</v>
      </c>
      <c r="G1210" s="20" t="str">
        <f>Source!DG842</f>
        <v>)*1,04</v>
      </c>
      <c r="H1210" s="9">
        <f>Source!AV842</f>
        <v>1</v>
      </c>
      <c r="I1210" s="9">
        <f>IF(Source!BA842&lt;&gt; 0, Source!BA842, 1)</f>
        <v>1</v>
      </c>
      <c r="J1210" s="21">
        <f>Source!S842</f>
        <v>39055.42</v>
      </c>
      <c r="K1210" s="21"/>
    </row>
    <row r="1211" spans="1:22" ht="14.25" x14ac:dyDescent="0.2">
      <c r="A1211" s="18"/>
      <c r="B1211" s="18"/>
      <c r="C1211" s="18" t="s">
        <v>1101</v>
      </c>
      <c r="D1211" s="19"/>
      <c r="E1211" s="9"/>
      <c r="F1211" s="21">
        <f>Source!AL842</f>
        <v>1.26</v>
      </c>
      <c r="G1211" s="20" t="str">
        <f>Source!DD842</f>
        <v/>
      </c>
      <c r="H1211" s="9">
        <f>Source!AW842</f>
        <v>1</v>
      </c>
      <c r="I1211" s="9">
        <f>IF(Source!BC842&lt;&gt; 0, Source!BC842, 1)</f>
        <v>1</v>
      </c>
      <c r="J1211" s="21">
        <f>Source!P842</f>
        <v>210.42</v>
      </c>
      <c r="K1211" s="21"/>
    </row>
    <row r="1212" spans="1:22" ht="14.25" x14ac:dyDescent="0.2">
      <c r="A1212" s="18"/>
      <c r="B1212" s="18"/>
      <c r="C1212" s="18" t="s">
        <v>1102</v>
      </c>
      <c r="D1212" s="19" t="s">
        <v>1103</v>
      </c>
      <c r="E1212" s="9">
        <f>Source!AT842</f>
        <v>70</v>
      </c>
      <c r="F1212" s="21"/>
      <c r="G1212" s="20"/>
      <c r="H1212" s="9"/>
      <c r="I1212" s="9"/>
      <c r="J1212" s="21">
        <f>SUM(R1209:R1211)</f>
        <v>27338.79</v>
      </c>
      <c r="K1212" s="21"/>
    </row>
    <row r="1213" spans="1:22" ht="14.25" x14ac:dyDescent="0.2">
      <c r="A1213" s="18"/>
      <c r="B1213" s="18"/>
      <c r="C1213" s="18" t="s">
        <v>1104</v>
      </c>
      <c r="D1213" s="19" t="s">
        <v>1103</v>
      </c>
      <c r="E1213" s="9">
        <f>Source!AU842</f>
        <v>10</v>
      </c>
      <c r="F1213" s="21"/>
      <c r="G1213" s="20"/>
      <c r="H1213" s="9"/>
      <c r="I1213" s="9"/>
      <c r="J1213" s="21">
        <f>SUM(T1209:T1212)</f>
        <v>3905.54</v>
      </c>
      <c r="K1213" s="21"/>
    </row>
    <row r="1214" spans="1:22" ht="14.25" x14ac:dyDescent="0.2">
      <c r="A1214" s="18"/>
      <c r="B1214" s="18"/>
      <c r="C1214" s="18" t="s">
        <v>1105</v>
      </c>
      <c r="D1214" s="19" t="s">
        <v>1106</v>
      </c>
      <c r="E1214" s="9">
        <f>Source!AQ842</f>
        <v>0.4</v>
      </c>
      <c r="F1214" s="21"/>
      <c r="G1214" s="20" t="str">
        <f>Source!DI842</f>
        <v>)*1,04</v>
      </c>
      <c r="H1214" s="9">
        <f>Source!AV842</f>
        <v>1</v>
      </c>
      <c r="I1214" s="9"/>
      <c r="J1214" s="21"/>
      <c r="K1214" s="21">
        <f>Source!U842</f>
        <v>69.472000000000008</v>
      </c>
    </row>
    <row r="1215" spans="1:22" ht="15" x14ac:dyDescent="0.25">
      <c r="A1215" s="23"/>
      <c r="B1215" s="23"/>
      <c r="C1215" s="23"/>
      <c r="D1215" s="23"/>
      <c r="E1215" s="23"/>
      <c r="F1215" s="23"/>
      <c r="G1215" s="23"/>
      <c r="H1215" s="23"/>
      <c r="I1215" s="44">
        <f>J1210+J1211+J1212+J1213</f>
        <v>70510.17</v>
      </c>
      <c r="J1215" s="44"/>
      <c r="K1215" s="24">
        <f>IF(Source!I842&lt;&gt;0, ROUND(I1215/Source!I842, 2), 0)</f>
        <v>422.22</v>
      </c>
      <c r="P1215" s="22">
        <f>I1215</f>
        <v>70510.17</v>
      </c>
    </row>
    <row r="1216" spans="1:22" ht="157.5" x14ac:dyDescent="0.2">
      <c r="A1216" s="18">
        <v>137</v>
      </c>
      <c r="B1216" s="18" t="s">
        <v>1118</v>
      </c>
      <c r="C1216" s="18" t="s">
        <v>1119</v>
      </c>
      <c r="D1216" s="19" t="str">
        <f>Source!H843</f>
        <v>10 шт.</v>
      </c>
      <c r="E1216" s="9">
        <f>Source!I843</f>
        <v>10.199999999999999</v>
      </c>
      <c r="F1216" s="21"/>
      <c r="G1216" s="20"/>
      <c r="H1216" s="9"/>
      <c r="I1216" s="9"/>
      <c r="J1216" s="21"/>
      <c r="K1216" s="21"/>
      <c r="Q1216">
        <f>ROUND((Source!BZ843/100)*ROUND((Source!AF843*Source!AV843)*Source!I843, 2), 2)</f>
        <v>617.25</v>
      </c>
      <c r="R1216">
        <f>Source!X843</f>
        <v>617.25</v>
      </c>
      <c r="S1216">
        <f>ROUND((Source!CA843/100)*ROUND((Source!AF843*Source!AV843)*Source!I843, 2), 2)</f>
        <v>88.18</v>
      </c>
      <c r="T1216">
        <f>Source!Y843</f>
        <v>88.18</v>
      </c>
      <c r="U1216">
        <f>ROUND((175/100)*ROUND((Source!AE843*Source!AV843)*Source!I843, 2), 2)</f>
        <v>0</v>
      </c>
      <c r="V1216">
        <f>ROUND((108/100)*ROUND(Source!CS843*Source!I843, 2), 2)</f>
        <v>0</v>
      </c>
    </row>
    <row r="1217" spans="1:22" x14ac:dyDescent="0.2">
      <c r="C1217" s="28" t="str">
        <f>"Объем: "&amp;Source!I843&amp;"=102/"&amp;"10"</f>
        <v>Объем: 10,2=102/10</v>
      </c>
    </row>
    <row r="1218" spans="1:22" ht="14.25" x14ac:dyDescent="0.2">
      <c r="A1218" s="18"/>
      <c r="B1218" s="18"/>
      <c r="C1218" s="18" t="s">
        <v>1100</v>
      </c>
      <c r="D1218" s="19"/>
      <c r="E1218" s="9"/>
      <c r="F1218" s="21">
        <f>Source!AO843</f>
        <v>123.5</v>
      </c>
      <c r="G1218" s="20" t="str">
        <f>Source!DG843</f>
        <v>)*0,70</v>
      </c>
      <c r="H1218" s="9">
        <f>Source!AV843</f>
        <v>1</v>
      </c>
      <c r="I1218" s="9">
        <f>IF(Source!BA843&lt;&gt; 0, Source!BA843, 1)</f>
        <v>1</v>
      </c>
      <c r="J1218" s="21">
        <f>Source!S843</f>
        <v>881.79</v>
      </c>
      <c r="K1218" s="21"/>
    </row>
    <row r="1219" spans="1:22" ht="14.25" x14ac:dyDescent="0.2">
      <c r="A1219" s="18"/>
      <c r="B1219" s="18"/>
      <c r="C1219" s="18" t="s">
        <v>1101</v>
      </c>
      <c r="D1219" s="19"/>
      <c r="E1219" s="9"/>
      <c r="F1219" s="21">
        <f>Source!AL843</f>
        <v>5.17</v>
      </c>
      <c r="G1219" s="20" t="str">
        <f>Source!DD843</f>
        <v>)*1</v>
      </c>
      <c r="H1219" s="9">
        <f>Source!AW843</f>
        <v>1</v>
      </c>
      <c r="I1219" s="9">
        <f>IF(Source!BC843&lt;&gt; 0, Source!BC843, 1)</f>
        <v>1</v>
      </c>
      <c r="J1219" s="21">
        <f>Source!P843</f>
        <v>52.73</v>
      </c>
      <c r="K1219" s="21"/>
    </row>
    <row r="1220" spans="1:22" ht="14.25" x14ac:dyDescent="0.2">
      <c r="A1220" s="18"/>
      <c r="B1220" s="18"/>
      <c r="C1220" s="18" t="s">
        <v>1102</v>
      </c>
      <c r="D1220" s="19" t="s">
        <v>1103</v>
      </c>
      <c r="E1220" s="9">
        <f>Source!AT843</f>
        <v>70</v>
      </c>
      <c r="F1220" s="21"/>
      <c r="G1220" s="20"/>
      <c r="H1220" s="9"/>
      <c r="I1220" s="9"/>
      <c r="J1220" s="21">
        <f>SUM(R1216:R1219)</f>
        <v>617.25</v>
      </c>
      <c r="K1220" s="21"/>
    </row>
    <row r="1221" spans="1:22" ht="14.25" x14ac:dyDescent="0.2">
      <c r="A1221" s="18"/>
      <c r="B1221" s="18"/>
      <c r="C1221" s="18" t="s">
        <v>1104</v>
      </c>
      <c r="D1221" s="19" t="s">
        <v>1103</v>
      </c>
      <c r="E1221" s="9">
        <f>Source!AU843</f>
        <v>10</v>
      </c>
      <c r="F1221" s="21"/>
      <c r="G1221" s="20"/>
      <c r="H1221" s="9"/>
      <c r="I1221" s="9"/>
      <c r="J1221" s="21">
        <f>SUM(T1216:T1220)</f>
        <v>88.18</v>
      </c>
      <c r="K1221" s="21"/>
    </row>
    <row r="1222" spans="1:22" ht="14.25" x14ac:dyDescent="0.2">
      <c r="A1222" s="18"/>
      <c r="B1222" s="18"/>
      <c r="C1222" s="18" t="s">
        <v>1105</v>
      </c>
      <c r="D1222" s="19" t="s">
        <v>1106</v>
      </c>
      <c r="E1222" s="9">
        <f>Source!AQ843</f>
        <v>0.2</v>
      </c>
      <c r="F1222" s="21"/>
      <c r="G1222" s="20" t="str">
        <f>Source!DI843</f>
        <v>)*0,70</v>
      </c>
      <c r="H1222" s="9">
        <f>Source!AV843</f>
        <v>1</v>
      </c>
      <c r="I1222" s="9"/>
      <c r="J1222" s="21"/>
      <c r="K1222" s="21">
        <f>Source!U843</f>
        <v>1.4279999999999997</v>
      </c>
    </row>
    <row r="1223" spans="1:22" ht="15" x14ac:dyDescent="0.25">
      <c r="A1223" s="23"/>
      <c r="B1223" s="23"/>
      <c r="C1223" s="23"/>
      <c r="D1223" s="23"/>
      <c r="E1223" s="23"/>
      <c r="F1223" s="23"/>
      <c r="G1223" s="23"/>
      <c r="H1223" s="23"/>
      <c r="I1223" s="44">
        <f>J1218+J1219+J1220+J1221</f>
        <v>1639.95</v>
      </c>
      <c r="J1223" s="44"/>
      <c r="K1223" s="24">
        <f>IF(Source!I843&lt;&gt;0, ROUND(I1223/Source!I843, 2), 0)</f>
        <v>160.78</v>
      </c>
      <c r="P1223" s="22">
        <f>I1223</f>
        <v>1639.95</v>
      </c>
    </row>
    <row r="1224" spans="1:22" ht="179.25" x14ac:dyDescent="0.2">
      <c r="A1224" s="18">
        <v>138</v>
      </c>
      <c r="B1224" s="18" t="s">
        <v>1120</v>
      </c>
      <c r="C1224" s="18" t="s">
        <v>1121</v>
      </c>
      <c r="D1224" s="19" t="str">
        <f>Source!H845</f>
        <v>шт.</v>
      </c>
      <c r="E1224" s="9">
        <f>Source!I845</f>
        <v>16</v>
      </c>
      <c r="F1224" s="21"/>
      <c r="G1224" s="20"/>
      <c r="H1224" s="9"/>
      <c r="I1224" s="9"/>
      <c r="J1224" s="21"/>
      <c r="K1224" s="21"/>
      <c r="Q1224">
        <f>ROUND((Source!BZ845/100)*ROUND((Source!AF845*Source!AV845)*Source!I845, 2), 2)</f>
        <v>1964.44</v>
      </c>
      <c r="R1224">
        <f>Source!X845</f>
        <v>1964.44</v>
      </c>
      <c r="S1224">
        <f>ROUND((Source!CA845/100)*ROUND((Source!AF845*Source!AV845)*Source!I845, 2), 2)</f>
        <v>280.63</v>
      </c>
      <c r="T1224">
        <f>Source!Y845</f>
        <v>280.63</v>
      </c>
      <c r="U1224">
        <f>ROUND((175/100)*ROUND((Source!AE845*Source!AV845)*Source!I845, 2), 2)</f>
        <v>0</v>
      </c>
      <c r="V1224">
        <f>ROUND((108/100)*ROUND(Source!CS845*Source!I845, 2), 2)</f>
        <v>0</v>
      </c>
    </row>
    <row r="1225" spans="1:22" ht="14.25" x14ac:dyDescent="0.2">
      <c r="A1225" s="18"/>
      <c r="B1225" s="18"/>
      <c r="C1225" s="18" t="s">
        <v>1100</v>
      </c>
      <c r="D1225" s="19"/>
      <c r="E1225" s="9"/>
      <c r="F1225" s="21">
        <f>Source!AO845</f>
        <v>168.65</v>
      </c>
      <c r="G1225" s="20" t="str">
        <f>Source!DG845</f>
        <v>)*1,04</v>
      </c>
      <c r="H1225" s="9">
        <f>Source!AV845</f>
        <v>1</v>
      </c>
      <c r="I1225" s="9">
        <f>IF(Source!BA845&lt;&gt; 0, Source!BA845, 1)</f>
        <v>1</v>
      </c>
      <c r="J1225" s="21">
        <f>Source!S845</f>
        <v>2806.34</v>
      </c>
      <c r="K1225" s="21"/>
    </row>
    <row r="1226" spans="1:22" ht="14.25" x14ac:dyDescent="0.2">
      <c r="A1226" s="18"/>
      <c r="B1226" s="18"/>
      <c r="C1226" s="18" t="s">
        <v>1101</v>
      </c>
      <c r="D1226" s="19"/>
      <c r="E1226" s="9"/>
      <c r="F1226" s="21">
        <f>Source!AL845</f>
        <v>0.63</v>
      </c>
      <c r="G1226" s="20" t="str">
        <f>Source!DD845</f>
        <v/>
      </c>
      <c r="H1226" s="9">
        <f>Source!AW845</f>
        <v>1</v>
      </c>
      <c r="I1226" s="9">
        <f>IF(Source!BC845&lt;&gt; 0, Source!BC845, 1)</f>
        <v>1</v>
      </c>
      <c r="J1226" s="21">
        <f>Source!P845</f>
        <v>10.08</v>
      </c>
      <c r="K1226" s="21"/>
    </row>
    <row r="1227" spans="1:22" ht="14.25" x14ac:dyDescent="0.2">
      <c r="A1227" s="18"/>
      <c r="B1227" s="18"/>
      <c r="C1227" s="18" t="s">
        <v>1102</v>
      </c>
      <c r="D1227" s="19" t="s">
        <v>1103</v>
      </c>
      <c r="E1227" s="9">
        <f>Source!AT845</f>
        <v>70</v>
      </c>
      <c r="F1227" s="21"/>
      <c r="G1227" s="20"/>
      <c r="H1227" s="9"/>
      <c r="I1227" s="9"/>
      <c r="J1227" s="21">
        <f>SUM(R1224:R1226)</f>
        <v>1964.44</v>
      </c>
      <c r="K1227" s="21"/>
    </row>
    <row r="1228" spans="1:22" ht="14.25" x14ac:dyDescent="0.2">
      <c r="A1228" s="18"/>
      <c r="B1228" s="18"/>
      <c r="C1228" s="18" t="s">
        <v>1104</v>
      </c>
      <c r="D1228" s="19" t="s">
        <v>1103</v>
      </c>
      <c r="E1228" s="9">
        <f>Source!AU845</f>
        <v>10</v>
      </c>
      <c r="F1228" s="21"/>
      <c r="G1228" s="20"/>
      <c r="H1228" s="9"/>
      <c r="I1228" s="9"/>
      <c r="J1228" s="21">
        <f>SUM(T1224:T1227)</f>
        <v>280.63</v>
      </c>
      <c r="K1228" s="21"/>
    </row>
    <row r="1229" spans="1:22" ht="14.25" x14ac:dyDescent="0.2">
      <c r="A1229" s="18"/>
      <c r="B1229" s="18"/>
      <c r="C1229" s="18" t="s">
        <v>1105</v>
      </c>
      <c r="D1229" s="19" t="s">
        <v>1106</v>
      </c>
      <c r="E1229" s="9">
        <f>Source!AQ845</f>
        <v>0.3</v>
      </c>
      <c r="F1229" s="21"/>
      <c r="G1229" s="20" t="str">
        <f>Source!DI845</f>
        <v>)*1,04</v>
      </c>
      <c r="H1229" s="9">
        <f>Source!AV845</f>
        <v>1</v>
      </c>
      <c r="I1229" s="9"/>
      <c r="J1229" s="21"/>
      <c r="K1229" s="21">
        <f>Source!U845</f>
        <v>4.992</v>
      </c>
    </row>
    <row r="1230" spans="1:22" ht="15" x14ac:dyDescent="0.25">
      <c r="A1230" s="23"/>
      <c r="B1230" s="23"/>
      <c r="C1230" s="23"/>
      <c r="D1230" s="23"/>
      <c r="E1230" s="23"/>
      <c r="F1230" s="23"/>
      <c r="G1230" s="23"/>
      <c r="H1230" s="23"/>
      <c r="I1230" s="44">
        <f>J1225+J1226+J1227+J1228</f>
        <v>5061.4900000000007</v>
      </c>
      <c r="J1230" s="44"/>
      <c r="K1230" s="24">
        <f>IF(Source!I845&lt;&gt;0, ROUND(I1230/Source!I845, 2), 0)</f>
        <v>316.33999999999997</v>
      </c>
      <c r="P1230" s="22">
        <f>I1230</f>
        <v>5061.4900000000007</v>
      </c>
    </row>
    <row r="1232" spans="1:22" ht="15" customHeight="1" x14ac:dyDescent="0.25">
      <c r="B1232" s="47" t="str">
        <f>Source!G846</f>
        <v>Кабельные изделия</v>
      </c>
      <c r="C1232" s="47"/>
      <c r="D1232" s="47"/>
      <c r="E1232" s="47"/>
      <c r="F1232" s="47"/>
      <c r="G1232" s="47"/>
      <c r="H1232" s="47"/>
      <c r="I1232" s="47"/>
      <c r="J1232" s="47"/>
    </row>
    <row r="1233" spans="1:22" ht="57" x14ac:dyDescent="0.2">
      <c r="A1233" s="18">
        <v>139</v>
      </c>
      <c r="B1233" s="18" t="str">
        <f>Source!F847</f>
        <v>1.21-2103-9-1/1</v>
      </c>
      <c r="C1233" s="18" t="str">
        <f>Source!G847</f>
        <v>Техническое обслуживание силовых сетей, проложенных по кирпичным и бетонным основаниям, провод сечением 2х1,5-6 мм2</v>
      </c>
      <c r="D1233" s="19" t="str">
        <f>Source!H847</f>
        <v>100 м</v>
      </c>
      <c r="E1233" s="9">
        <f>Source!I847</f>
        <v>1.804</v>
      </c>
      <c r="F1233" s="21"/>
      <c r="G1233" s="20"/>
      <c r="H1233" s="9"/>
      <c r="I1233" s="9"/>
      <c r="J1233" s="21"/>
      <c r="K1233" s="21"/>
      <c r="Q1233">
        <f>ROUND((Source!BZ847/100)*ROUND((Source!AF847*Source!AV847)*Source!I847, 2), 2)</f>
        <v>4826.6099999999997</v>
      </c>
      <c r="R1233">
        <f>Source!X847</f>
        <v>4826.6099999999997</v>
      </c>
      <c r="S1233">
        <f>ROUND((Source!CA847/100)*ROUND((Source!AF847*Source!AV847)*Source!I847, 2), 2)</f>
        <v>689.52</v>
      </c>
      <c r="T1233">
        <f>Source!Y847</f>
        <v>689.52</v>
      </c>
      <c r="U1233">
        <f>ROUND((175/100)*ROUND((Source!AE847*Source!AV847)*Source!I847, 2), 2)</f>
        <v>0</v>
      </c>
      <c r="V1233">
        <f>ROUND((108/100)*ROUND(Source!CS847*Source!I847, 2), 2)</f>
        <v>0</v>
      </c>
    </row>
    <row r="1234" spans="1:22" ht="38.25" x14ac:dyDescent="0.2">
      <c r="C1234" s="28" t="str">
        <f>"Объем: "&amp;Source!I847&amp;"=(1500+"&amp;"1000+"&amp;"750+"&amp;"750+"&amp;"20+"&amp;"2500+"&amp;"2500)*"&amp;"0,2*"&amp;"0,1/"&amp;"100"</f>
        <v>Объем: 1,804=(1500+1000+750+750+20+2500+2500)*0,2*0,1/100</v>
      </c>
    </row>
    <row r="1235" spans="1:22" ht="14.25" x14ac:dyDescent="0.2">
      <c r="A1235" s="18"/>
      <c r="B1235" s="18"/>
      <c r="C1235" s="18" t="s">
        <v>1100</v>
      </c>
      <c r="D1235" s="19"/>
      <c r="E1235" s="9"/>
      <c r="F1235" s="21">
        <f>Source!AO847</f>
        <v>3822.15</v>
      </c>
      <c r="G1235" s="20" t="str">
        <f>Source!DG847</f>
        <v/>
      </c>
      <c r="H1235" s="9">
        <f>Source!AV847</f>
        <v>1</v>
      </c>
      <c r="I1235" s="9">
        <f>IF(Source!BA847&lt;&gt; 0, Source!BA847, 1)</f>
        <v>1</v>
      </c>
      <c r="J1235" s="21">
        <f>Source!S847</f>
        <v>6895.16</v>
      </c>
      <c r="K1235" s="21"/>
    </row>
    <row r="1236" spans="1:22" ht="14.25" x14ac:dyDescent="0.2">
      <c r="A1236" s="18"/>
      <c r="B1236" s="18"/>
      <c r="C1236" s="18" t="s">
        <v>1101</v>
      </c>
      <c r="D1236" s="19"/>
      <c r="E1236" s="9"/>
      <c r="F1236" s="21">
        <f>Source!AL847</f>
        <v>22.51</v>
      </c>
      <c r="G1236" s="20" t="str">
        <f>Source!DD847</f>
        <v/>
      </c>
      <c r="H1236" s="9">
        <f>Source!AW847</f>
        <v>1</v>
      </c>
      <c r="I1236" s="9">
        <f>IF(Source!BC847&lt;&gt; 0, Source!BC847, 1)</f>
        <v>1</v>
      </c>
      <c r="J1236" s="21">
        <f>Source!P847</f>
        <v>40.61</v>
      </c>
      <c r="K1236" s="21"/>
    </row>
    <row r="1237" spans="1:22" ht="14.25" x14ac:dyDescent="0.2">
      <c r="A1237" s="18"/>
      <c r="B1237" s="18"/>
      <c r="C1237" s="18" t="s">
        <v>1102</v>
      </c>
      <c r="D1237" s="19" t="s">
        <v>1103</v>
      </c>
      <c r="E1237" s="9">
        <f>Source!AT847</f>
        <v>70</v>
      </c>
      <c r="F1237" s="21"/>
      <c r="G1237" s="20"/>
      <c r="H1237" s="9"/>
      <c r="I1237" s="9"/>
      <c r="J1237" s="21">
        <f>SUM(R1233:R1236)</f>
        <v>4826.6099999999997</v>
      </c>
      <c r="K1237" s="21"/>
    </row>
    <row r="1238" spans="1:22" ht="14.25" x14ac:dyDescent="0.2">
      <c r="A1238" s="18"/>
      <c r="B1238" s="18"/>
      <c r="C1238" s="18" t="s">
        <v>1104</v>
      </c>
      <c r="D1238" s="19" t="s">
        <v>1103</v>
      </c>
      <c r="E1238" s="9">
        <f>Source!AU847</f>
        <v>10</v>
      </c>
      <c r="F1238" s="21"/>
      <c r="G1238" s="20"/>
      <c r="H1238" s="9"/>
      <c r="I1238" s="9"/>
      <c r="J1238" s="21">
        <f>SUM(T1233:T1237)</f>
        <v>689.52</v>
      </c>
      <c r="K1238" s="21"/>
    </row>
    <row r="1239" spans="1:22" ht="14.25" x14ac:dyDescent="0.2">
      <c r="A1239" s="18"/>
      <c r="B1239" s="18"/>
      <c r="C1239" s="18" t="s">
        <v>1105</v>
      </c>
      <c r="D1239" s="19" t="s">
        <v>1106</v>
      </c>
      <c r="E1239" s="9">
        <f>Source!AQ847</f>
        <v>7.14</v>
      </c>
      <c r="F1239" s="21"/>
      <c r="G1239" s="20" t="str">
        <f>Source!DI847</f>
        <v/>
      </c>
      <c r="H1239" s="9">
        <f>Source!AV847</f>
        <v>1</v>
      </c>
      <c r="I1239" s="9"/>
      <c r="J1239" s="21"/>
      <c r="K1239" s="21">
        <f>Source!U847</f>
        <v>12.880559999999999</v>
      </c>
    </row>
    <row r="1240" spans="1:22" ht="15" x14ac:dyDescent="0.25">
      <c r="A1240" s="23"/>
      <c r="B1240" s="23"/>
      <c r="C1240" s="23"/>
      <c r="D1240" s="23"/>
      <c r="E1240" s="23"/>
      <c r="F1240" s="23"/>
      <c r="G1240" s="23"/>
      <c r="H1240" s="23"/>
      <c r="I1240" s="44">
        <f>J1235+J1236+J1237+J1238</f>
        <v>12451.9</v>
      </c>
      <c r="J1240" s="44"/>
      <c r="K1240" s="24">
        <f>IF(Source!I847&lt;&gt;0, ROUND(I1240/Source!I847, 2), 0)</f>
        <v>6902.38</v>
      </c>
      <c r="P1240" s="22">
        <f>I1240</f>
        <v>12451.9</v>
      </c>
    </row>
    <row r="1241" spans="1:22" ht="57" x14ac:dyDescent="0.2">
      <c r="A1241" s="18">
        <v>140</v>
      </c>
      <c r="B1241" s="18" t="str">
        <f>Source!F849</f>
        <v>1.21-2103-9-2/1</v>
      </c>
      <c r="C1241" s="18" t="str">
        <f>Source!G849</f>
        <v>Техническое обслуживание силовых сетей, проложенных по кирпичным и бетонным основаниям, провод сечением 3х1,5-6 мм2</v>
      </c>
      <c r="D1241" s="19" t="str">
        <f>Source!H849</f>
        <v>100 м</v>
      </c>
      <c r="E1241" s="9">
        <f>Source!I849</f>
        <v>3.9380000000000002</v>
      </c>
      <c r="F1241" s="21"/>
      <c r="G1241" s="20"/>
      <c r="H1241" s="9"/>
      <c r="I1241" s="9"/>
      <c r="J1241" s="21"/>
      <c r="K1241" s="21"/>
      <c r="Q1241">
        <f>ROUND((Source!BZ849/100)*ROUND((Source!AF849*Source!AV849)*Source!I849, 2), 2)</f>
        <v>14756.49</v>
      </c>
      <c r="R1241">
        <f>Source!X849</f>
        <v>14756.49</v>
      </c>
      <c r="S1241">
        <f>ROUND((Source!CA849/100)*ROUND((Source!AF849*Source!AV849)*Source!I849, 2), 2)</f>
        <v>2108.0700000000002</v>
      </c>
      <c r="T1241">
        <f>Source!Y849</f>
        <v>2108.0700000000002</v>
      </c>
      <c r="U1241">
        <f>ROUND((175/100)*ROUND((Source!AE849*Source!AV849)*Source!I849, 2), 2)</f>
        <v>0</v>
      </c>
      <c r="V1241">
        <f>ROUND((108/100)*ROUND(Source!CS849*Source!I849, 2), 2)</f>
        <v>0</v>
      </c>
    </row>
    <row r="1242" spans="1:22" ht="38.25" x14ac:dyDescent="0.2">
      <c r="C1242" s="28" t="str">
        <f>"Объем: "&amp;Source!I849&amp;"=(3500+"&amp;"9070+"&amp;"1000+"&amp;"600+"&amp;"4500+"&amp;"220+"&amp;"800)*"&amp;"0,2*"&amp;"0,1/"&amp;"100"</f>
        <v>Объем: 3,938=(3500+9070+1000+600+4500+220+800)*0,2*0,1/100</v>
      </c>
    </row>
    <row r="1243" spans="1:22" ht="14.25" x14ac:dyDescent="0.2">
      <c r="A1243" s="18"/>
      <c r="B1243" s="18"/>
      <c r="C1243" s="18" t="s">
        <v>1100</v>
      </c>
      <c r="D1243" s="19"/>
      <c r="E1243" s="9"/>
      <c r="F1243" s="21">
        <f>Source!AO849</f>
        <v>5353.15</v>
      </c>
      <c r="G1243" s="20" t="str">
        <f>Source!DG849</f>
        <v/>
      </c>
      <c r="H1243" s="9">
        <f>Source!AV849</f>
        <v>1</v>
      </c>
      <c r="I1243" s="9">
        <f>IF(Source!BA849&lt;&gt; 0, Source!BA849, 1)</f>
        <v>1</v>
      </c>
      <c r="J1243" s="21">
        <f>Source!S849</f>
        <v>21080.7</v>
      </c>
      <c r="K1243" s="21"/>
    </row>
    <row r="1244" spans="1:22" ht="14.25" x14ac:dyDescent="0.2">
      <c r="A1244" s="18"/>
      <c r="B1244" s="18"/>
      <c r="C1244" s="18" t="s">
        <v>1101</v>
      </c>
      <c r="D1244" s="19"/>
      <c r="E1244" s="9"/>
      <c r="F1244" s="21">
        <f>Source!AL849</f>
        <v>22.51</v>
      </c>
      <c r="G1244" s="20" t="str">
        <f>Source!DD849</f>
        <v/>
      </c>
      <c r="H1244" s="9">
        <f>Source!AW849</f>
        <v>1</v>
      </c>
      <c r="I1244" s="9">
        <f>IF(Source!BC849&lt;&gt; 0, Source!BC849, 1)</f>
        <v>1</v>
      </c>
      <c r="J1244" s="21">
        <f>Source!P849</f>
        <v>88.64</v>
      </c>
      <c r="K1244" s="21"/>
    </row>
    <row r="1245" spans="1:22" ht="14.25" x14ac:dyDescent="0.2">
      <c r="A1245" s="18"/>
      <c r="B1245" s="18"/>
      <c r="C1245" s="18" t="s">
        <v>1102</v>
      </c>
      <c r="D1245" s="19" t="s">
        <v>1103</v>
      </c>
      <c r="E1245" s="9">
        <f>Source!AT849</f>
        <v>70</v>
      </c>
      <c r="F1245" s="21"/>
      <c r="G1245" s="20"/>
      <c r="H1245" s="9"/>
      <c r="I1245" s="9"/>
      <c r="J1245" s="21">
        <f>SUM(R1241:R1244)</f>
        <v>14756.49</v>
      </c>
      <c r="K1245" s="21"/>
    </row>
    <row r="1246" spans="1:22" ht="14.25" x14ac:dyDescent="0.2">
      <c r="A1246" s="18"/>
      <c r="B1246" s="18"/>
      <c r="C1246" s="18" t="s">
        <v>1104</v>
      </c>
      <c r="D1246" s="19" t="s">
        <v>1103</v>
      </c>
      <c r="E1246" s="9">
        <f>Source!AU849</f>
        <v>10</v>
      </c>
      <c r="F1246" s="21"/>
      <c r="G1246" s="20"/>
      <c r="H1246" s="9"/>
      <c r="I1246" s="9"/>
      <c r="J1246" s="21">
        <f>SUM(T1241:T1245)</f>
        <v>2108.0700000000002</v>
      </c>
      <c r="K1246" s="21"/>
    </row>
    <row r="1247" spans="1:22" ht="14.25" x14ac:dyDescent="0.2">
      <c r="A1247" s="18"/>
      <c r="B1247" s="18"/>
      <c r="C1247" s="18" t="s">
        <v>1105</v>
      </c>
      <c r="D1247" s="19" t="s">
        <v>1106</v>
      </c>
      <c r="E1247" s="9">
        <f>Source!AQ849</f>
        <v>10</v>
      </c>
      <c r="F1247" s="21"/>
      <c r="G1247" s="20" t="str">
        <f>Source!DI849</f>
        <v/>
      </c>
      <c r="H1247" s="9">
        <f>Source!AV849</f>
        <v>1</v>
      </c>
      <c r="I1247" s="9"/>
      <c r="J1247" s="21"/>
      <c r="K1247" s="21">
        <f>Source!U849</f>
        <v>39.380000000000003</v>
      </c>
    </row>
    <row r="1248" spans="1:22" ht="15" x14ac:dyDescent="0.25">
      <c r="A1248" s="23"/>
      <c r="B1248" s="23"/>
      <c r="C1248" s="23"/>
      <c r="D1248" s="23"/>
      <c r="E1248" s="23"/>
      <c r="F1248" s="23"/>
      <c r="G1248" s="23"/>
      <c r="H1248" s="23"/>
      <c r="I1248" s="44">
        <f>J1243+J1244+J1245+J1246</f>
        <v>38033.9</v>
      </c>
      <c r="J1248" s="44"/>
      <c r="K1248" s="24">
        <f>IF(Source!I849&lt;&gt;0, ROUND(I1248/Source!I849, 2), 0)</f>
        <v>9658.18</v>
      </c>
      <c r="P1248" s="22">
        <f>I1248</f>
        <v>38033.9</v>
      </c>
    </row>
    <row r="1249" spans="1:22" ht="57" x14ac:dyDescent="0.2">
      <c r="A1249" s="18">
        <v>141</v>
      </c>
      <c r="B1249" s="18" t="str">
        <f>Source!F851</f>
        <v>1.21-2103-9-3/1</v>
      </c>
      <c r="C1249" s="18" t="str">
        <f>Source!G851</f>
        <v>Техническое обслуживание силовых сетей, проложенных по кирпичным и бетонным основаниям, провод сечением 4х1,5-6 мм2</v>
      </c>
      <c r="D1249" s="19" t="str">
        <f>Source!H851</f>
        <v>100 м</v>
      </c>
      <c r="E1249" s="9">
        <f>Source!I851</f>
        <v>0.96120000000000005</v>
      </c>
      <c r="F1249" s="21"/>
      <c r="G1249" s="20"/>
      <c r="H1249" s="9"/>
      <c r="I1249" s="9"/>
      <c r="J1249" s="21"/>
      <c r="K1249" s="21"/>
      <c r="Q1249">
        <f>ROUND((Source!BZ851/100)*ROUND((Source!AF851*Source!AV851)*Source!I851, 2), 2)</f>
        <v>4041.24</v>
      </c>
      <c r="R1249">
        <f>Source!X851</f>
        <v>4041.24</v>
      </c>
      <c r="S1249">
        <f>ROUND((Source!CA851/100)*ROUND((Source!AF851*Source!AV851)*Source!I851, 2), 2)</f>
        <v>577.32000000000005</v>
      </c>
      <c r="T1249">
        <f>Source!Y851</f>
        <v>577.32000000000005</v>
      </c>
      <c r="U1249">
        <f>ROUND((175/100)*ROUND((Source!AE851*Source!AV851)*Source!I851, 2), 2)</f>
        <v>0</v>
      </c>
      <c r="V1249">
        <f>ROUND((108/100)*ROUND(Source!CS851*Source!I851, 2), 2)</f>
        <v>0</v>
      </c>
    </row>
    <row r="1250" spans="1:22" ht="38.25" x14ac:dyDescent="0.2">
      <c r="C1250" s="28" t="str">
        <f>"Объем: "&amp;Source!I851&amp;"=(60+"&amp;"185+"&amp;"55+"&amp;"70+"&amp;"3107+"&amp;"538+"&amp;"791)*"&amp;"0,2*"&amp;"0,1/"&amp;"100"</f>
        <v>Объем: 0,9612=(60+185+55+70+3107+538+791)*0,2*0,1/100</v>
      </c>
    </row>
    <row r="1251" spans="1:22" ht="14.25" x14ac:dyDescent="0.2">
      <c r="A1251" s="18"/>
      <c r="B1251" s="18"/>
      <c r="C1251" s="18" t="s">
        <v>1100</v>
      </c>
      <c r="D1251" s="19"/>
      <c r="E1251" s="9"/>
      <c r="F1251" s="21">
        <f>Source!AO851</f>
        <v>6006.24</v>
      </c>
      <c r="G1251" s="20" t="str">
        <f>Source!DG851</f>
        <v/>
      </c>
      <c r="H1251" s="9">
        <f>Source!AV851</f>
        <v>1</v>
      </c>
      <c r="I1251" s="9">
        <f>IF(Source!BA851&lt;&gt; 0, Source!BA851, 1)</f>
        <v>1</v>
      </c>
      <c r="J1251" s="21">
        <f>Source!S851</f>
        <v>5773.2</v>
      </c>
      <c r="K1251" s="21"/>
    </row>
    <row r="1252" spans="1:22" ht="14.25" x14ac:dyDescent="0.2">
      <c r="A1252" s="18"/>
      <c r="B1252" s="18"/>
      <c r="C1252" s="18" t="s">
        <v>1101</v>
      </c>
      <c r="D1252" s="19"/>
      <c r="E1252" s="9"/>
      <c r="F1252" s="21">
        <f>Source!AL851</f>
        <v>14.63</v>
      </c>
      <c r="G1252" s="20" t="str">
        <f>Source!DD851</f>
        <v/>
      </c>
      <c r="H1252" s="9">
        <f>Source!AW851</f>
        <v>1</v>
      </c>
      <c r="I1252" s="9">
        <f>IF(Source!BC851&lt;&gt; 0, Source!BC851, 1)</f>
        <v>1</v>
      </c>
      <c r="J1252" s="21">
        <f>Source!P851</f>
        <v>14.06</v>
      </c>
      <c r="K1252" s="21"/>
    </row>
    <row r="1253" spans="1:22" ht="14.25" x14ac:dyDescent="0.2">
      <c r="A1253" s="18"/>
      <c r="B1253" s="18"/>
      <c r="C1253" s="18" t="s">
        <v>1102</v>
      </c>
      <c r="D1253" s="19" t="s">
        <v>1103</v>
      </c>
      <c r="E1253" s="9">
        <f>Source!AT851</f>
        <v>70</v>
      </c>
      <c r="F1253" s="21"/>
      <c r="G1253" s="20"/>
      <c r="H1253" s="9"/>
      <c r="I1253" s="9"/>
      <c r="J1253" s="21">
        <f>SUM(R1249:R1252)</f>
        <v>4041.24</v>
      </c>
      <c r="K1253" s="21"/>
    </row>
    <row r="1254" spans="1:22" ht="14.25" x14ac:dyDescent="0.2">
      <c r="A1254" s="18"/>
      <c r="B1254" s="18"/>
      <c r="C1254" s="18" t="s">
        <v>1104</v>
      </c>
      <c r="D1254" s="19" t="s">
        <v>1103</v>
      </c>
      <c r="E1254" s="9">
        <f>Source!AU851</f>
        <v>10</v>
      </c>
      <c r="F1254" s="21"/>
      <c r="G1254" s="20"/>
      <c r="H1254" s="9"/>
      <c r="I1254" s="9"/>
      <c r="J1254" s="21">
        <f>SUM(T1249:T1253)</f>
        <v>577.32000000000005</v>
      </c>
      <c r="K1254" s="21"/>
    </row>
    <row r="1255" spans="1:22" ht="14.25" x14ac:dyDescent="0.2">
      <c r="A1255" s="18"/>
      <c r="B1255" s="18"/>
      <c r="C1255" s="18" t="s">
        <v>1105</v>
      </c>
      <c r="D1255" s="19" t="s">
        <v>1106</v>
      </c>
      <c r="E1255" s="9">
        <f>Source!AQ851</f>
        <v>11.22</v>
      </c>
      <c r="F1255" s="21"/>
      <c r="G1255" s="20" t="str">
        <f>Source!DI851</f>
        <v/>
      </c>
      <c r="H1255" s="9">
        <f>Source!AV851</f>
        <v>1</v>
      </c>
      <c r="I1255" s="9"/>
      <c r="J1255" s="21"/>
      <c r="K1255" s="21">
        <f>Source!U851</f>
        <v>10.784664000000001</v>
      </c>
    </row>
    <row r="1256" spans="1:22" ht="15" x14ac:dyDescent="0.25">
      <c r="A1256" s="23"/>
      <c r="B1256" s="23"/>
      <c r="C1256" s="23"/>
      <c r="D1256" s="23"/>
      <c r="E1256" s="23"/>
      <c r="F1256" s="23"/>
      <c r="G1256" s="23"/>
      <c r="H1256" s="23"/>
      <c r="I1256" s="44">
        <f>J1251+J1252+J1253+J1254</f>
        <v>10405.82</v>
      </c>
      <c r="J1256" s="44"/>
      <c r="K1256" s="24">
        <f>IF(Source!I851&lt;&gt;0, ROUND(I1256/Source!I851, 2), 0)</f>
        <v>10825.86</v>
      </c>
      <c r="P1256" s="22">
        <f>I1256</f>
        <v>10405.82</v>
      </c>
    </row>
    <row r="1257" spans="1:22" ht="57" x14ac:dyDescent="0.2">
      <c r="A1257" s="18">
        <v>142</v>
      </c>
      <c r="B1257" s="18" t="str">
        <f>Source!F853</f>
        <v>1.21-2103-9-5/1</v>
      </c>
      <c r="C1257" s="18" t="str">
        <f>Source!G853</f>
        <v>Техническое обслуживание силовых сетей, проложенных по кирпичным и бетонным основаниям, провод сечением 3х10-16 мм2 (5х10, 5х16)</v>
      </c>
      <c r="D1257" s="19" t="str">
        <f>Source!H853</f>
        <v>100 м</v>
      </c>
      <c r="E1257" s="9">
        <f>Source!I853</f>
        <v>0.3866</v>
      </c>
      <c r="F1257" s="21"/>
      <c r="G1257" s="20"/>
      <c r="H1257" s="9"/>
      <c r="I1257" s="9"/>
      <c r="J1257" s="21"/>
      <c r="K1257" s="21"/>
      <c r="Q1257">
        <f>ROUND((Source!BZ853/100)*ROUND((Source!AF853*Source!AV853)*Source!I853, 2), 2)</f>
        <v>1721.02</v>
      </c>
      <c r="R1257">
        <f>Source!X853</f>
        <v>1721.02</v>
      </c>
      <c r="S1257">
        <f>ROUND((Source!CA853/100)*ROUND((Source!AF853*Source!AV853)*Source!I853, 2), 2)</f>
        <v>245.86</v>
      </c>
      <c r="T1257">
        <f>Source!Y853</f>
        <v>245.86</v>
      </c>
      <c r="U1257">
        <f>ROUND((175/100)*ROUND((Source!AE853*Source!AV853)*Source!I853, 2), 2)</f>
        <v>0</v>
      </c>
      <c r="V1257">
        <f>ROUND((108/100)*ROUND(Source!CS853*Source!I853, 2), 2)</f>
        <v>0</v>
      </c>
    </row>
    <row r="1258" spans="1:22" x14ac:dyDescent="0.2">
      <c r="C1258" s="28" t="str">
        <f>"Объем: "&amp;Source!I853&amp;"=(932+"&amp;"127+"&amp;"874)*"&amp;"0,2*"&amp;"0,1/"&amp;"100"</f>
        <v>Объем: 0,3866=(932+127+874)*0,2*0,1/100</v>
      </c>
    </row>
    <row r="1259" spans="1:22" ht="14.25" x14ac:dyDescent="0.2">
      <c r="A1259" s="18"/>
      <c r="B1259" s="18"/>
      <c r="C1259" s="18" t="s">
        <v>1100</v>
      </c>
      <c r="D1259" s="19"/>
      <c r="E1259" s="9"/>
      <c r="F1259" s="21">
        <f>Source!AO853</f>
        <v>6359.54</v>
      </c>
      <c r="G1259" s="20" t="str">
        <f>Source!DG853</f>
        <v/>
      </c>
      <c r="H1259" s="9">
        <f>Source!AV853</f>
        <v>1</v>
      </c>
      <c r="I1259" s="9">
        <f>IF(Source!BA853&lt;&gt; 0, Source!BA853, 1)</f>
        <v>1</v>
      </c>
      <c r="J1259" s="21">
        <f>Source!S853</f>
        <v>2458.6</v>
      </c>
      <c r="K1259" s="21"/>
    </row>
    <row r="1260" spans="1:22" ht="14.25" x14ac:dyDescent="0.2">
      <c r="A1260" s="18"/>
      <c r="B1260" s="18"/>
      <c r="C1260" s="18" t="s">
        <v>1101</v>
      </c>
      <c r="D1260" s="19"/>
      <c r="E1260" s="9"/>
      <c r="F1260" s="21">
        <f>Source!AL853</f>
        <v>15.76</v>
      </c>
      <c r="G1260" s="20" t="str">
        <f>Source!DD853</f>
        <v/>
      </c>
      <c r="H1260" s="9">
        <f>Source!AW853</f>
        <v>1</v>
      </c>
      <c r="I1260" s="9">
        <f>IF(Source!BC853&lt;&gt; 0, Source!BC853, 1)</f>
        <v>1</v>
      </c>
      <c r="J1260" s="21">
        <f>Source!P853</f>
        <v>6.09</v>
      </c>
      <c r="K1260" s="21"/>
    </row>
    <row r="1261" spans="1:22" ht="14.25" x14ac:dyDescent="0.2">
      <c r="A1261" s="18"/>
      <c r="B1261" s="18"/>
      <c r="C1261" s="18" t="s">
        <v>1102</v>
      </c>
      <c r="D1261" s="19" t="s">
        <v>1103</v>
      </c>
      <c r="E1261" s="9">
        <f>Source!AT853</f>
        <v>70</v>
      </c>
      <c r="F1261" s="21"/>
      <c r="G1261" s="20"/>
      <c r="H1261" s="9"/>
      <c r="I1261" s="9"/>
      <c r="J1261" s="21">
        <f>SUM(R1257:R1260)</f>
        <v>1721.02</v>
      </c>
      <c r="K1261" s="21"/>
    </row>
    <row r="1262" spans="1:22" ht="14.25" x14ac:dyDescent="0.2">
      <c r="A1262" s="18"/>
      <c r="B1262" s="18"/>
      <c r="C1262" s="18" t="s">
        <v>1104</v>
      </c>
      <c r="D1262" s="19" t="s">
        <v>1103</v>
      </c>
      <c r="E1262" s="9">
        <f>Source!AU853</f>
        <v>10</v>
      </c>
      <c r="F1262" s="21"/>
      <c r="G1262" s="20"/>
      <c r="H1262" s="9"/>
      <c r="I1262" s="9"/>
      <c r="J1262" s="21">
        <f>SUM(T1257:T1261)</f>
        <v>245.86</v>
      </c>
      <c r="K1262" s="21"/>
    </row>
    <row r="1263" spans="1:22" ht="14.25" x14ac:dyDescent="0.2">
      <c r="A1263" s="18"/>
      <c r="B1263" s="18"/>
      <c r="C1263" s="18" t="s">
        <v>1105</v>
      </c>
      <c r="D1263" s="19" t="s">
        <v>1106</v>
      </c>
      <c r="E1263" s="9">
        <f>Source!AQ853</f>
        <v>11.88</v>
      </c>
      <c r="F1263" s="21"/>
      <c r="G1263" s="20" t="str">
        <f>Source!DI853</f>
        <v/>
      </c>
      <c r="H1263" s="9">
        <f>Source!AV853</f>
        <v>1</v>
      </c>
      <c r="I1263" s="9"/>
      <c r="J1263" s="21"/>
      <c r="K1263" s="21">
        <f>Source!U853</f>
        <v>4.5928080000000007</v>
      </c>
    </row>
    <row r="1264" spans="1:22" ht="15" x14ac:dyDescent="0.25">
      <c r="A1264" s="23"/>
      <c r="B1264" s="23"/>
      <c r="C1264" s="23"/>
      <c r="D1264" s="23"/>
      <c r="E1264" s="23"/>
      <c r="F1264" s="23"/>
      <c r="G1264" s="23"/>
      <c r="H1264" s="23"/>
      <c r="I1264" s="44">
        <f>J1259+J1260+J1261+J1262</f>
        <v>4431.57</v>
      </c>
      <c r="J1264" s="44"/>
      <c r="K1264" s="24">
        <f>IF(Source!I853&lt;&gt;0, ROUND(I1264/Source!I853, 2), 0)</f>
        <v>11462.93</v>
      </c>
      <c r="P1264" s="22">
        <f>I1264</f>
        <v>4431.57</v>
      </c>
    </row>
    <row r="1265" spans="1:22" ht="71.25" x14ac:dyDescent="0.2">
      <c r="A1265" s="18">
        <v>143</v>
      </c>
      <c r="B1265" s="18" t="str">
        <f>Source!F854</f>
        <v>1.21-2103-9-6/1</v>
      </c>
      <c r="C1265" s="18" t="str">
        <f>Source!G854</f>
        <v>Техническое обслуживание силовых сетей, проложенных по кирпичным и бетонным основаниям, добавлять на каждый последующий провод к поз. 21-2103-9-5</v>
      </c>
      <c r="D1265" s="19" t="str">
        <f>Source!H854</f>
        <v>100 м</v>
      </c>
      <c r="E1265" s="9">
        <f>Source!I854</f>
        <v>0.3866</v>
      </c>
      <c r="F1265" s="21"/>
      <c r="G1265" s="20"/>
      <c r="H1265" s="9"/>
      <c r="I1265" s="9"/>
      <c r="J1265" s="21"/>
      <c r="K1265" s="21"/>
      <c r="Q1265">
        <f>ROUND((Source!BZ854/100)*ROUND((Source!AF854*Source!AV854)*Source!I854, 2), 2)</f>
        <v>382.45</v>
      </c>
      <c r="R1265">
        <f>Source!X854</f>
        <v>382.45</v>
      </c>
      <c r="S1265">
        <f>ROUND((Source!CA854/100)*ROUND((Source!AF854*Source!AV854)*Source!I854, 2), 2)</f>
        <v>54.64</v>
      </c>
      <c r="T1265">
        <f>Source!Y854</f>
        <v>54.64</v>
      </c>
      <c r="U1265">
        <f>ROUND((175/100)*ROUND((Source!AE854*Source!AV854)*Source!I854, 2), 2)</f>
        <v>0</v>
      </c>
      <c r="V1265">
        <f>ROUND((108/100)*ROUND(Source!CS854*Source!I854, 2), 2)</f>
        <v>0</v>
      </c>
    </row>
    <row r="1266" spans="1:22" x14ac:dyDescent="0.2">
      <c r="C1266" s="28" t="str">
        <f>"Объем: "&amp;Source!I854&amp;"=(932+"&amp;"127+"&amp;"874)*"&amp;"0,2*"&amp;"0,1/"&amp;"100"</f>
        <v>Объем: 0,3866=(932+127+874)*0,2*0,1/100</v>
      </c>
    </row>
    <row r="1267" spans="1:22" ht="14.25" x14ac:dyDescent="0.2">
      <c r="A1267" s="18"/>
      <c r="B1267" s="18"/>
      <c r="C1267" s="18" t="s">
        <v>1100</v>
      </c>
      <c r="D1267" s="19"/>
      <c r="E1267" s="9"/>
      <c r="F1267" s="21">
        <f>Source!AO854</f>
        <v>1413.23</v>
      </c>
      <c r="G1267" s="20" t="str">
        <f>Source!DG854</f>
        <v/>
      </c>
      <c r="H1267" s="9">
        <f>Source!AV854</f>
        <v>1</v>
      </c>
      <c r="I1267" s="9">
        <f>IF(Source!BA854&lt;&gt; 0, Source!BA854, 1)</f>
        <v>1</v>
      </c>
      <c r="J1267" s="21">
        <f>Source!S854</f>
        <v>546.35</v>
      </c>
      <c r="K1267" s="21"/>
    </row>
    <row r="1268" spans="1:22" ht="14.25" x14ac:dyDescent="0.2">
      <c r="A1268" s="18"/>
      <c r="B1268" s="18"/>
      <c r="C1268" s="18" t="s">
        <v>1101</v>
      </c>
      <c r="D1268" s="19"/>
      <c r="E1268" s="9"/>
      <c r="F1268" s="21">
        <f>Source!AL854</f>
        <v>3.38</v>
      </c>
      <c r="G1268" s="20" t="str">
        <f>Source!DD854</f>
        <v/>
      </c>
      <c r="H1268" s="9">
        <f>Source!AW854</f>
        <v>1</v>
      </c>
      <c r="I1268" s="9">
        <f>IF(Source!BC854&lt;&gt; 0, Source!BC854, 1)</f>
        <v>1</v>
      </c>
      <c r="J1268" s="21">
        <f>Source!P854</f>
        <v>1.31</v>
      </c>
      <c r="K1268" s="21"/>
    </row>
    <row r="1269" spans="1:22" ht="14.25" x14ac:dyDescent="0.2">
      <c r="A1269" s="18"/>
      <c r="B1269" s="18"/>
      <c r="C1269" s="18" t="s">
        <v>1102</v>
      </c>
      <c r="D1269" s="19" t="s">
        <v>1103</v>
      </c>
      <c r="E1269" s="9">
        <f>Source!AT854</f>
        <v>70</v>
      </c>
      <c r="F1269" s="21"/>
      <c r="G1269" s="20"/>
      <c r="H1269" s="9"/>
      <c r="I1269" s="9"/>
      <c r="J1269" s="21">
        <f>SUM(R1265:R1268)</f>
        <v>382.45</v>
      </c>
      <c r="K1269" s="21"/>
    </row>
    <row r="1270" spans="1:22" ht="14.25" x14ac:dyDescent="0.2">
      <c r="A1270" s="18"/>
      <c r="B1270" s="18"/>
      <c r="C1270" s="18" t="s">
        <v>1104</v>
      </c>
      <c r="D1270" s="19" t="s">
        <v>1103</v>
      </c>
      <c r="E1270" s="9">
        <f>Source!AU854</f>
        <v>10</v>
      </c>
      <c r="F1270" s="21"/>
      <c r="G1270" s="20"/>
      <c r="H1270" s="9"/>
      <c r="I1270" s="9"/>
      <c r="J1270" s="21">
        <f>SUM(T1265:T1269)</f>
        <v>54.64</v>
      </c>
      <c r="K1270" s="21"/>
    </row>
    <row r="1271" spans="1:22" ht="14.25" x14ac:dyDescent="0.2">
      <c r="A1271" s="18"/>
      <c r="B1271" s="18"/>
      <c r="C1271" s="18" t="s">
        <v>1105</v>
      </c>
      <c r="D1271" s="19" t="s">
        <v>1106</v>
      </c>
      <c r="E1271" s="9">
        <f>Source!AQ854</f>
        <v>2.64</v>
      </c>
      <c r="F1271" s="21"/>
      <c r="G1271" s="20" t="str">
        <f>Source!DI854</f>
        <v/>
      </c>
      <c r="H1271" s="9">
        <f>Source!AV854</f>
        <v>1</v>
      </c>
      <c r="I1271" s="9"/>
      <c r="J1271" s="21"/>
      <c r="K1271" s="21">
        <f>Source!U854</f>
        <v>1.020624</v>
      </c>
    </row>
    <row r="1272" spans="1:22" ht="15" x14ac:dyDescent="0.25">
      <c r="A1272" s="23"/>
      <c r="B1272" s="23"/>
      <c r="C1272" s="23"/>
      <c r="D1272" s="23"/>
      <c r="E1272" s="23"/>
      <c r="F1272" s="23"/>
      <c r="G1272" s="23"/>
      <c r="H1272" s="23"/>
      <c r="I1272" s="44">
        <f>J1267+J1268+J1269+J1270</f>
        <v>984.74999999999989</v>
      </c>
      <c r="J1272" s="44"/>
      <c r="K1272" s="24">
        <f>IF(Source!I854&lt;&gt;0, ROUND(I1272/Source!I854, 2), 0)</f>
        <v>2547.21</v>
      </c>
      <c r="P1272" s="22">
        <f>I1272</f>
        <v>984.74999999999989</v>
      </c>
    </row>
    <row r="1273" spans="1:22" ht="71.25" x14ac:dyDescent="0.2">
      <c r="A1273" s="18">
        <v>144</v>
      </c>
      <c r="B1273" s="18" t="str">
        <f>Source!F856</f>
        <v>1.21-2103-9-7/1</v>
      </c>
      <c r="C1273" s="18" t="str">
        <f>Source!G856</f>
        <v>Техническое обслуживание силовых сетей, проложенных по кирпичным и бетонным основаниям, провод сечением 3х25-35 мм2 (5х25, 5х35, 5х50, 5х95, 5х120)</v>
      </c>
      <c r="D1273" s="19" t="str">
        <f>Source!H856</f>
        <v>100 м</v>
      </c>
      <c r="E1273" s="9">
        <f>Source!I856</f>
        <v>0.39660000000000001</v>
      </c>
      <c r="F1273" s="21"/>
      <c r="G1273" s="20"/>
      <c r="H1273" s="9"/>
      <c r="I1273" s="9"/>
      <c r="J1273" s="21"/>
      <c r="K1273" s="21"/>
      <c r="Q1273">
        <f>ROUND((Source!BZ856/100)*ROUND((Source!AF856*Source!AV856)*Source!I856, 2), 2)</f>
        <v>2166.79</v>
      </c>
      <c r="R1273">
        <f>Source!X856</f>
        <v>2166.79</v>
      </c>
      <c r="S1273">
        <f>ROUND((Source!CA856/100)*ROUND((Source!AF856*Source!AV856)*Source!I856, 2), 2)</f>
        <v>309.54000000000002</v>
      </c>
      <c r="T1273">
        <f>Source!Y856</f>
        <v>309.54000000000002</v>
      </c>
      <c r="U1273">
        <f>ROUND((175/100)*ROUND((Source!AE856*Source!AV856)*Source!I856, 2), 2)</f>
        <v>0</v>
      </c>
      <c r="V1273">
        <f>ROUND((108/100)*ROUND(Source!CS856*Source!I856, 2), 2)</f>
        <v>0</v>
      </c>
    </row>
    <row r="1274" spans="1:22" ht="38.25" x14ac:dyDescent="0.2">
      <c r="C1274" s="28" t="str">
        <f>"Объем: "&amp;Source!I856&amp;"=(303+"&amp;"611+"&amp;"412+"&amp;"186+"&amp;"360+"&amp;"111)*"&amp;"0,2*"&amp;"0,1/"&amp;"100"</f>
        <v>Объем: 0,3966=(303+611+412+186+360+111)*0,2*0,1/100</v>
      </c>
    </row>
    <row r="1275" spans="1:22" ht="14.25" x14ac:dyDescent="0.2">
      <c r="A1275" s="18"/>
      <c r="B1275" s="18"/>
      <c r="C1275" s="18" t="s">
        <v>1100</v>
      </c>
      <c r="D1275" s="19"/>
      <c r="E1275" s="9"/>
      <c r="F1275" s="21">
        <f>Source!AO856</f>
        <v>7804.89</v>
      </c>
      <c r="G1275" s="20" t="str">
        <f>Source!DG856</f>
        <v/>
      </c>
      <c r="H1275" s="9">
        <f>Source!AV856</f>
        <v>1</v>
      </c>
      <c r="I1275" s="9">
        <f>IF(Source!BA856&lt;&gt; 0, Source!BA856, 1)</f>
        <v>1</v>
      </c>
      <c r="J1275" s="21">
        <f>Source!S856</f>
        <v>3095.42</v>
      </c>
      <c r="K1275" s="21"/>
    </row>
    <row r="1276" spans="1:22" ht="14.25" x14ac:dyDescent="0.2">
      <c r="A1276" s="18"/>
      <c r="B1276" s="18"/>
      <c r="C1276" s="18" t="s">
        <v>1101</v>
      </c>
      <c r="D1276" s="19"/>
      <c r="E1276" s="9"/>
      <c r="F1276" s="21">
        <f>Source!AL856</f>
        <v>19.13</v>
      </c>
      <c r="G1276" s="20" t="str">
        <f>Source!DD856</f>
        <v/>
      </c>
      <c r="H1276" s="9">
        <f>Source!AW856</f>
        <v>1</v>
      </c>
      <c r="I1276" s="9">
        <f>IF(Source!BC856&lt;&gt; 0, Source!BC856, 1)</f>
        <v>1</v>
      </c>
      <c r="J1276" s="21">
        <f>Source!P856</f>
        <v>7.59</v>
      </c>
      <c r="K1276" s="21"/>
    </row>
    <row r="1277" spans="1:22" ht="14.25" x14ac:dyDescent="0.2">
      <c r="A1277" s="18"/>
      <c r="B1277" s="18"/>
      <c r="C1277" s="18" t="s">
        <v>1102</v>
      </c>
      <c r="D1277" s="19" t="s">
        <v>1103</v>
      </c>
      <c r="E1277" s="9">
        <f>Source!AT856</f>
        <v>70</v>
      </c>
      <c r="F1277" s="21"/>
      <c r="G1277" s="20"/>
      <c r="H1277" s="9"/>
      <c r="I1277" s="9"/>
      <c r="J1277" s="21">
        <f>SUM(R1273:R1276)</f>
        <v>2166.79</v>
      </c>
      <c r="K1277" s="21"/>
    </row>
    <row r="1278" spans="1:22" ht="14.25" x14ac:dyDescent="0.2">
      <c r="A1278" s="18"/>
      <c r="B1278" s="18"/>
      <c r="C1278" s="18" t="s">
        <v>1104</v>
      </c>
      <c r="D1278" s="19" t="s">
        <v>1103</v>
      </c>
      <c r="E1278" s="9">
        <f>Source!AU856</f>
        <v>10</v>
      </c>
      <c r="F1278" s="21"/>
      <c r="G1278" s="20"/>
      <c r="H1278" s="9"/>
      <c r="I1278" s="9"/>
      <c r="J1278" s="21">
        <f>SUM(T1273:T1277)</f>
        <v>309.54000000000002</v>
      </c>
      <c r="K1278" s="21"/>
    </row>
    <row r="1279" spans="1:22" ht="14.25" x14ac:dyDescent="0.2">
      <c r="A1279" s="18"/>
      <c r="B1279" s="18"/>
      <c r="C1279" s="18" t="s">
        <v>1105</v>
      </c>
      <c r="D1279" s="19" t="s">
        <v>1106</v>
      </c>
      <c r="E1279" s="9">
        <f>Source!AQ856</f>
        <v>14.58</v>
      </c>
      <c r="F1279" s="21"/>
      <c r="G1279" s="20" t="str">
        <f>Source!DI856</f>
        <v/>
      </c>
      <c r="H1279" s="9">
        <f>Source!AV856</f>
        <v>1</v>
      </c>
      <c r="I1279" s="9"/>
      <c r="J1279" s="21"/>
      <c r="K1279" s="21">
        <f>Source!U856</f>
        <v>5.7824280000000003</v>
      </c>
    </row>
    <row r="1280" spans="1:22" ht="15" x14ac:dyDescent="0.25">
      <c r="A1280" s="23"/>
      <c r="B1280" s="23"/>
      <c r="C1280" s="23"/>
      <c r="D1280" s="23"/>
      <c r="E1280" s="23"/>
      <c r="F1280" s="23"/>
      <c r="G1280" s="23"/>
      <c r="H1280" s="23"/>
      <c r="I1280" s="44">
        <f>J1275+J1276+J1277+J1278</f>
        <v>5579.34</v>
      </c>
      <c r="J1280" s="44"/>
      <c r="K1280" s="24">
        <f>IF(Source!I856&lt;&gt;0, ROUND(I1280/Source!I856, 2), 0)</f>
        <v>14067.93</v>
      </c>
      <c r="P1280" s="22">
        <f>I1280</f>
        <v>5579.34</v>
      </c>
    </row>
    <row r="1281" spans="1:22" ht="71.25" x14ac:dyDescent="0.2">
      <c r="A1281" s="18">
        <v>145</v>
      </c>
      <c r="B1281" s="18" t="str">
        <f>Source!F857</f>
        <v>1.21-2103-9-8/1</v>
      </c>
      <c r="C1281" s="18" t="str">
        <f>Source!G857</f>
        <v>Техническое обслуживание силовых сетей, проложенных по кирпичным и бетонным основаниям, добавлять на каждый следующий провод к поз. 21-2103-9-7</v>
      </c>
      <c r="D1281" s="19" t="str">
        <f>Source!H857</f>
        <v>100 м</v>
      </c>
      <c r="E1281" s="9">
        <f>Source!I857</f>
        <v>0.39660000000000001</v>
      </c>
      <c r="F1281" s="21"/>
      <c r="G1281" s="20"/>
      <c r="H1281" s="9"/>
      <c r="I1281" s="9"/>
      <c r="J1281" s="21"/>
      <c r="K1281" s="21"/>
      <c r="Q1281">
        <f>ROUND((Source!BZ857/100)*ROUND((Source!AF857*Source!AV857)*Source!I857, 2), 2)</f>
        <v>481.51</v>
      </c>
      <c r="R1281">
        <f>Source!X857</f>
        <v>481.51</v>
      </c>
      <c r="S1281">
        <f>ROUND((Source!CA857/100)*ROUND((Source!AF857*Source!AV857)*Source!I857, 2), 2)</f>
        <v>68.790000000000006</v>
      </c>
      <c r="T1281">
        <f>Source!Y857</f>
        <v>68.790000000000006</v>
      </c>
      <c r="U1281">
        <f>ROUND((175/100)*ROUND((Source!AE857*Source!AV857)*Source!I857, 2), 2)</f>
        <v>0</v>
      </c>
      <c r="V1281">
        <f>ROUND((108/100)*ROUND(Source!CS857*Source!I857, 2), 2)</f>
        <v>0</v>
      </c>
    </row>
    <row r="1282" spans="1:22" ht="38.25" x14ac:dyDescent="0.2">
      <c r="C1282" s="28" t="str">
        <f>"Объем: "&amp;Source!I857&amp;"=(303+"&amp;"611+"&amp;"412+"&amp;"186+"&amp;"360+"&amp;"111)*"&amp;"0,2*"&amp;"0,1/"&amp;"100"</f>
        <v>Объем: 0,3966=(303+611+412+186+360+111)*0,2*0,1/100</v>
      </c>
    </row>
    <row r="1283" spans="1:22" ht="14.25" x14ac:dyDescent="0.2">
      <c r="A1283" s="18"/>
      <c r="B1283" s="18"/>
      <c r="C1283" s="18" t="s">
        <v>1100</v>
      </c>
      <c r="D1283" s="19"/>
      <c r="E1283" s="9"/>
      <c r="F1283" s="21">
        <f>Source!AO857</f>
        <v>1734.42</v>
      </c>
      <c r="G1283" s="20" t="str">
        <f>Source!DG857</f>
        <v/>
      </c>
      <c r="H1283" s="9">
        <f>Source!AV857</f>
        <v>1</v>
      </c>
      <c r="I1283" s="9">
        <f>IF(Source!BA857&lt;&gt; 0, Source!BA857, 1)</f>
        <v>1</v>
      </c>
      <c r="J1283" s="21">
        <f>Source!S857</f>
        <v>687.87</v>
      </c>
      <c r="K1283" s="21"/>
    </row>
    <row r="1284" spans="1:22" ht="14.25" x14ac:dyDescent="0.2">
      <c r="A1284" s="18"/>
      <c r="B1284" s="18"/>
      <c r="C1284" s="18" t="s">
        <v>1101</v>
      </c>
      <c r="D1284" s="19"/>
      <c r="E1284" s="9"/>
      <c r="F1284" s="21">
        <f>Source!AL857</f>
        <v>4.13</v>
      </c>
      <c r="G1284" s="20" t="str">
        <f>Source!DD857</f>
        <v/>
      </c>
      <c r="H1284" s="9">
        <f>Source!AW857</f>
        <v>1</v>
      </c>
      <c r="I1284" s="9">
        <f>IF(Source!BC857&lt;&gt; 0, Source!BC857, 1)</f>
        <v>1</v>
      </c>
      <c r="J1284" s="21">
        <f>Source!P857</f>
        <v>1.64</v>
      </c>
      <c r="K1284" s="21"/>
    </row>
    <row r="1285" spans="1:22" ht="14.25" x14ac:dyDescent="0.2">
      <c r="A1285" s="18"/>
      <c r="B1285" s="18"/>
      <c r="C1285" s="18" t="s">
        <v>1102</v>
      </c>
      <c r="D1285" s="19" t="s">
        <v>1103</v>
      </c>
      <c r="E1285" s="9">
        <f>Source!AT857</f>
        <v>70</v>
      </c>
      <c r="F1285" s="21"/>
      <c r="G1285" s="20"/>
      <c r="H1285" s="9"/>
      <c r="I1285" s="9"/>
      <c r="J1285" s="21">
        <f>SUM(R1281:R1284)</f>
        <v>481.51</v>
      </c>
      <c r="K1285" s="21"/>
    </row>
    <row r="1286" spans="1:22" ht="14.25" x14ac:dyDescent="0.2">
      <c r="A1286" s="18"/>
      <c r="B1286" s="18"/>
      <c r="C1286" s="18" t="s">
        <v>1104</v>
      </c>
      <c r="D1286" s="19" t="s">
        <v>1103</v>
      </c>
      <c r="E1286" s="9">
        <f>Source!AU857</f>
        <v>10</v>
      </c>
      <c r="F1286" s="21"/>
      <c r="G1286" s="20"/>
      <c r="H1286" s="9"/>
      <c r="I1286" s="9"/>
      <c r="J1286" s="21">
        <f>SUM(T1281:T1285)</f>
        <v>68.790000000000006</v>
      </c>
      <c r="K1286" s="21"/>
    </row>
    <row r="1287" spans="1:22" ht="14.25" x14ac:dyDescent="0.2">
      <c r="A1287" s="18"/>
      <c r="B1287" s="18"/>
      <c r="C1287" s="18" t="s">
        <v>1105</v>
      </c>
      <c r="D1287" s="19" t="s">
        <v>1106</v>
      </c>
      <c r="E1287" s="9">
        <f>Source!AQ857</f>
        <v>3.24</v>
      </c>
      <c r="F1287" s="21"/>
      <c r="G1287" s="20" t="str">
        <f>Source!DI857</f>
        <v/>
      </c>
      <c r="H1287" s="9">
        <f>Source!AV857</f>
        <v>1</v>
      </c>
      <c r="I1287" s="9"/>
      <c r="J1287" s="21"/>
      <c r="K1287" s="21">
        <f>Source!U857</f>
        <v>1.2849840000000001</v>
      </c>
    </row>
    <row r="1288" spans="1:22" ht="15" x14ac:dyDescent="0.25">
      <c r="A1288" s="23"/>
      <c r="B1288" s="23"/>
      <c r="C1288" s="23"/>
      <c r="D1288" s="23"/>
      <c r="E1288" s="23"/>
      <c r="F1288" s="23"/>
      <c r="G1288" s="23"/>
      <c r="H1288" s="23"/>
      <c r="I1288" s="44">
        <f>J1283+J1284+J1285+J1286</f>
        <v>1239.81</v>
      </c>
      <c r="J1288" s="44"/>
      <c r="K1288" s="24">
        <f>IF(Source!I857&lt;&gt;0, ROUND(I1288/Source!I857, 2), 0)</f>
        <v>3126.1</v>
      </c>
      <c r="P1288" s="22">
        <f>I1288</f>
        <v>1239.81</v>
      </c>
    </row>
    <row r="1290" spans="1:22" ht="15" customHeight="1" x14ac:dyDescent="0.25">
      <c r="A1290" s="46" t="str">
        <f>CONCATENATE("Итого по подразделу: ",IF(Source!G860&lt;&gt;"Новый подраздел", Source!G860, ""))</f>
        <v>Итого по подразделу: Электроснабжение</v>
      </c>
      <c r="B1290" s="46"/>
      <c r="C1290" s="46"/>
      <c r="D1290" s="46"/>
      <c r="E1290" s="46"/>
      <c r="F1290" s="46"/>
      <c r="G1290" s="46"/>
      <c r="H1290" s="46"/>
      <c r="I1290" s="45">
        <f>SUM(P825:P1289)</f>
        <v>1299055.97</v>
      </c>
      <c r="J1290" s="45"/>
      <c r="K1290" s="26"/>
    </row>
    <row r="1293" spans="1:22" ht="16.5" customHeight="1" x14ac:dyDescent="0.25">
      <c r="A1293" s="48" t="str">
        <f>CONCATENATE("Подраздел: ",IF(Source!G890&lt;&gt;"Новый подраздел", Source!G890, ""))</f>
        <v>Подраздел: Система молниезащиты и заземления</v>
      </c>
      <c r="B1293" s="48"/>
      <c r="C1293" s="48"/>
      <c r="D1293" s="48"/>
      <c r="E1293" s="48"/>
      <c r="F1293" s="48"/>
      <c r="G1293" s="48"/>
      <c r="H1293" s="48"/>
      <c r="I1293" s="48"/>
      <c r="J1293" s="48"/>
      <c r="K1293" s="48"/>
    </row>
    <row r="1295" spans="1:22" ht="15" customHeight="1" x14ac:dyDescent="0.25">
      <c r="A1295" s="46" t="str">
        <f>CONCATENATE("Итого по подразделу: ",IF(Source!G897&lt;&gt;"Новый подраздел", Source!G897, ""))</f>
        <v>Итого по подразделу: Система молниезащиты и заземления</v>
      </c>
      <c r="B1295" s="46"/>
      <c r="C1295" s="46"/>
      <c r="D1295" s="46"/>
      <c r="E1295" s="46"/>
      <c r="F1295" s="46"/>
      <c r="G1295" s="46"/>
      <c r="H1295" s="46"/>
      <c r="I1295" s="45">
        <f>SUM(P1293:P1294)</f>
        <v>0</v>
      </c>
      <c r="J1295" s="45"/>
      <c r="K1295" s="26"/>
    </row>
    <row r="1298" spans="1:22" ht="15" customHeight="1" x14ac:dyDescent="0.25">
      <c r="A1298" s="46" t="str">
        <f>CONCATENATE("Итого по разделу: ",IF(Source!G927&lt;&gt;"Новый раздел", Source!G927, ""))</f>
        <v>Итого по разделу: 4. Системы электроснабжения</v>
      </c>
      <c r="B1298" s="46"/>
      <c r="C1298" s="46"/>
      <c r="D1298" s="46"/>
      <c r="E1298" s="46"/>
      <c r="F1298" s="46"/>
      <c r="G1298" s="46"/>
      <c r="H1298" s="46"/>
      <c r="I1298" s="45">
        <f>SUM(P823:P1297)</f>
        <v>1299055.97</v>
      </c>
      <c r="J1298" s="45"/>
      <c r="K1298" s="26"/>
    </row>
    <row r="1301" spans="1:22" ht="16.5" customHeight="1" x14ac:dyDescent="0.25">
      <c r="A1301" s="48" t="str">
        <f>CONCATENATE("Раздел: ",IF(Source!G957&lt;&gt;"Новый раздел", Source!G957, ""))</f>
        <v>Раздел: 5. Автоматизация и диспетчеризация инженерных систем.</v>
      </c>
      <c r="B1301" s="48"/>
      <c r="C1301" s="48"/>
      <c r="D1301" s="48"/>
      <c r="E1301" s="48"/>
      <c r="F1301" s="48"/>
      <c r="G1301" s="48"/>
      <c r="H1301" s="48"/>
      <c r="I1301" s="48"/>
      <c r="J1301" s="48"/>
      <c r="K1301" s="48"/>
    </row>
    <row r="1302" spans="1:22" ht="143.25" x14ac:dyDescent="0.2">
      <c r="A1302" s="18">
        <v>146</v>
      </c>
      <c r="B1302" s="18" t="s">
        <v>1122</v>
      </c>
      <c r="C1302" s="18" t="s">
        <v>1123</v>
      </c>
      <c r="D1302" s="19" t="str">
        <f>Source!H961</f>
        <v>шт.</v>
      </c>
      <c r="E1302" s="9">
        <f>Source!I961</f>
        <v>1</v>
      </c>
      <c r="F1302" s="21"/>
      <c r="G1302" s="20"/>
      <c r="H1302" s="9"/>
      <c r="I1302" s="9"/>
      <c r="J1302" s="21"/>
      <c r="K1302" s="21"/>
      <c r="Q1302">
        <f>ROUND((Source!BZ961/100)*ROUND((Source!AF961*Source!AV961)*Source!I961, 2), 2)</f>
        <v>302.52999999999997</v>
      </c>
      <c r="R1302">
        <f>Source!X961</f>
        <v>302.52999999999997</v>
      </c>
      <c r="S1302">
        <f>ROUND((Source!CA961/100)*ROUND((Source!AF961*Source!AV961)*Source!I961, 2), 2)</f>
        <v>43.22</v>
      </c>
      <c r="T1302">
        <f>Source!Y961</f>
        <v>43.22</v>
      </c>
      <c r="U1302">
        <f>ROUND((175/100)*ROUND((Source!AE961*Source!AV961)*Source!I961, 2), 2)</f>
        <v>50.61</v>
      </c>
      <c r="V1302">
        <f>ROUND((108/100)*ROUND(Source!CS961*Source!I961, 2), 2)</f>
        <v>31.23</v>
      </c>
    </row>
    <row r="1303" spans="1:22" ht="14.25" x14ac:dyDescent="0.2">
      <c r="A1303" s="18"/>
      <c r="B1303" s="18"/>
      <c r="C1303" s="18" t="s">
        <v>1100</v>
      </c>
      <c r="D1303" s="19"/>
      <c r="E1303" s="9"/>
      <c r="F1303" s="21">
        <f>Source!AO961</f>
        <v>617.4</v>
      </c>
      <c r="G1303" s="20" t="str">
        <f>Source!DG961</f>
        <v>)*0,70</v>
      </c>
      <c r="H1303" s="9">
        <f>Source!AV961</f>
        <v>1</v>
      </c>
      <c r="I1303" s="9">
        <f>IF(Source!BA961&lt;&gt; 0, Source!BA961, 1)</f>
        <v>1</v>
      </c>
      <c r="J1303" s="21">
        <f>Source!S961</f>
        <v>432.18</v>
      </c>
      <c r="K1303" s="21"/>
    </row>
    <row r="1304" spans="1:22" ht="14.25" x14ac:dyDescent="0.2">
      <c r="A1304" s="18"/>
      <c r="B1304" s="18"/>
      <c r="C1304" s="18" t="s">
        <v>1107</v>
      </c>
      <c r="D1304" s="19"/>
      <c r="E1304" s="9"/>
      <c r="F1304" s="21">
        <f>Source!AM961</f>
        <v>65.150000000000006</v>
      </c>
      <c r="G1304" s="20" t="str">
        <f>Source!DE961</f>
        <v>)*0,70</v>
      </c>
      <c r="H1304" s="9">
        <f>Source!AV961</f>
        <v>1</v>
      </c>
      <c r="I1304" s="9">
        <f>IF(Source!BB961&lt;&gt; 0, Source!BB961, 1)</f>
        <v>1</v>
      </c>
      <c r="J1304" s="21">
        <f>Source!Q961</f>
        <v>45.61</v>
      </c>
      <c r="K1304" s="21"/>
    </row>
    <row r="1305" spans="1:22" ht="14.25" x14ac:dyDescent="0.2">
      <c r="A1305" s="18"/>
      <c r="B1305" s="18"/>
      <c r="C1305" s="18" t="s">
        <v>1108</v>
      </c>
      <c r="D1305" s="19"/>
      <c r="E1305" s="9"/>
      <c r="F1305" s="21">
        <f>Source!AN961</f>
        <v>41.31</v>
      </c>
      <c r="G1305" s="20" t="str">
        <f>Source!DF961</f>
        <v>)*0,70</v>
      </c>
      <c r="H1305" s="9">
        <f>Source!AV961</f>
        <v>1</v>
      </c>
      <c r="I1305" s="9">
        <f>IF(Source!BS961&lt;&gt; 0, Source!BS961, 1)</f>
        <v>1</v>
      </c>
      <c r="J1305" s="25">
        <f>Source!R961</f>
        <v>28.92</v>
      </c>
      <c r="K1305" s="21"/>
    </row>
    <row r="1306" spans="1:22" ht="14.25" x14ac:dyDescent="0.2">
      <c r="A1306" s="18"/>
      <c r="B1306" s="18"/>
      <c r="C1306" s="18" t="s">
        <v>1101</v>
      </c>
      <c r="D1306" s="19"/>
      <c r="E1306" s="9"/>
      <c r="F1306" s="21">
        <f>Source!AL961</f>
        <v>0.47</v>
      </c>
      <c r="G1306" s="20" t="str">
        <f>Source!DD961</f>
        <v>)*1</v>
      </c>
      <c r="H1306" s="9">
        <f>Source!AW961</f>
        <v>1</v>
      </c>
      <c r="I1306" s="9">
        <f>IF(Source!BC961&lt;&gt; 0, Source!BC961, 1)</f>
        <v>1</v>
      </c>
      <c r="J1306" s="21">
        <f>Source!P961</f>
        <v>0.47</v>
      </c>
      <c r="K1306" s="21"/>
    </row>
    <row r="1307" spans="1:22" ht="14.25" x14ac:dyDescent="0.2">
      <c r="A1307" s="18"/>
      <c r="B1307" s="18"/>
      <c r="C1307" s="18" t="s">
        <v>1102</v>
      </c>
      <c r="D1307" s="19" t="s">
        <v>1103</v>
      </c>
      <c r="E1307" s="9">
        <f>Source!AT961</f>
        <v>70</v>
      </c>
      <c r="F1307" s="21"/>
      <c r="G1307" s="20"/>
      <c r="H1307" s="9"/>
      <c r="I1307" s="9"/>
      <c r="J1307" s="21">
        <f>SUM(R1302:R1306)</f>
        <v>302.52999999999997</v>
      </c>
      <c r="K1307" s="21"/>
    </row>
    <row r="1308" spans="1:22" ht="14.25" x14ac:dyDescent="0.2">
      <c r="A1308" s="18"/>
      <c r="B1308" s="18"/>
      <c r="C1308" s="18" t="s">
        <v>1104</v>
      </c>
      <c r="D1308" s="19" t="s">
        <v>1103</v>
      </c>
      <c r="E1308" s="9">
        <f>Source!AU961</f>
        <v>10</v>
      </c>
      <c r="F1308" s="21"/>
      <c r="G1308" s="20"/>
      <c r="H1308" s="9"/>
      <c r="I1308" s="9"/>
      <c r="J1308" s="21">
        <f>SUM(T1302:T1307)</f>
        <v>43.22</v>
      </c>
      <c r="K1308" s="21"/>
    </row>
    <row r="1309" spans="1:22" ht="14.25" x14ac:dyDescent="0.2">
      <c r="A1309" s="18"/>
      <c r="B1309" s="18"/>
      <c r="C1309" s="18" t="s">
        <v>1109</v>
      </c>
      <c r="D1309" s="19" t="s">
        <v>1103</v>
      </c>
      <c r="E1309" s="9">
        <f>108</f>
        <v>108</v>
      </c>
      <c r="F1309" s="21"/>
      <c r="G1309" s="20"/>
      <c r="H1309" s="9"/>
      <c r="I1309" s="9"/>
      <c r="J1309" s="21">
        <f>SUM(V1302:V1308)</f>
        <v>31.23</v>
      </c>
      <c r="K1309" s="21"/>
    </row>
    <row r="1310" spans="1:22" ht="14.25" x14ac:dyDescent="0.2">
      <c r="A1310" s="18"/>
      <c r="B1310" s="18"/>
      <c r="C1310" s="18" t="s">
        <v>1105</v>
      </c>
      <c r="D1310" s="19" t="s">
        <v>1106</v>
      </c>
      <c r="E1310" s="9">
        <f>Source!AQ961</f>
        <v>0.87</v>
      </c>
      <c r="F1310" s="21"/>
      <c r="G1310" s="20" t="str">
        <f>Source!DI961</f>
        <v>)*0,70</v>
      </c>
      <c r="H1310" s="9">
        <f>Source!AV961</f>
        <v>1</v>
      </c>
      <c r="I1310" s="9"/>
      <c r="J1310" s="21"/>
      <c r="K1310" s="21">
        <f>Source!U961</f>
        <v>0.60899999999999999</v>
      </c>
    </row>
    <row r="1311" spans="1:22" ht="15" x14ac:dyDescent="0.25">
      <c r="A1311" s="23"/>
      <c r="B1311" s="23"/>
      <c r="C1311" s="23"/>
      <c r="D1311" s="23"/>
      <c r="E1311" s="23"/>
      <c r="F1311" s="23"/>
      <c r="G1311" s="23"/>
      <c r="H1311" s="23"/>
      <c r="I1311" s="44">
        <f>J1303+J1304+J1306+J1307+J1308+J1309</f>
        <v>855.24</v>
      </c>
      <c r="J1311" s="44"/>
      <c r="K1311" s="24">
        <f>IF(Source!I961&lt;&gt;0, ROUND(I1311/Source!I961, 2), 0)</f>
        <v>855.24</v>
      </c>
      <c r="P1311" s="22">
        <f>I1311</f>
        <v>855.24</v>
      </c>
    </row>
    <row r="1312" spans="1:22" ht="57" x14ac:dyDescent="0.2">
      <c r="A1312" s="18">
        <v>147</v>
      </c>
      <c r="B1312" s="18" t="str">
        <f>Source!F963</f>
        <v>1.23-2103-9-7/1</v>
      </c>
      <c r="C1312" s="18" t="str">
        <f>Source!G963</f>
        <v>Техническое обслуживание приборов для измерения температуры, регулятор температуры дилатометрический, тип ТУДЭ</v>
      </c>
      <c r="D1312" s="19" t="str">
        <f>Source!H963</f>
        <v>шт.</v>
      </c>
      <c r="E1312" s="9">
        <f>Source!I963</f>
        <v>1</v>
      </c>
      <c r="F1312" s="21"/>
      <c r="G1312" s="20"/>
      <c r="H1312" s="9"/>
      <c r="I1312" s="9"/>
      <c r="J1312" s="21"/>
      <c r="K1312" s="21"/>
      <c r="Q1312">
        <f>ROUND((Source!BZ963/100)*ROUND((Source!AF963*Source!AV963)*Source!I963, 2), 2)</f>
        <v>691.59</v>
      </c>
      <c r="R1312">
        <f>Source!X963</f>
        <v>691.59</v>
      </c>
      <c r="S1312">
        <f>ROUND((Source!CA963/100)*ROUND((Source!AF963*Source!AV963)*Source!I963, 2), 2)</f>
        <v>98.8</v>
      </c>
      <c r="T1312">
        <f>Source!Y963</f>
        <v>98.8</v>
      </c>
      <c r="U1312">
        <f>ROUND((175/100)*ROUND((Source!AE963*Source!AV963)*Source!I963, 2), 2)</f>
        <v>0</v>
      </c>
      <c r="V1312">
        <f>ROUND((108/100)*ROUND(Source!CS963*Source!I963, 2), 2)</f>
        <v>0</v>
      </c>
    </row>
    <row r="1313" spans="1:22" ht="14.25" x14ac:dyDescent="0.2">
      <c r="A1313" s="18"/>
      <c r="B1313" s="18"/>
      <c r="C1313" s="18" t="s">
        <v>1100</v>
      </c>
      <c r="D1313" s="19"/>
      <c r="E1313" s="9"/>
      <c r="F1313" s="21">
        <f>Source!AO963</f>
        <v>493.99</v>
      </c>
      <c r="G1313" s="20" t="str">
        <f>Source!DG963</f>
        <v>)*2</v>
      </c>
      <c r="H1313" s="9">
        <f>Source!AV963</f>
        <v>1</v>
      </c>
      <c r="I1313" s="9">
        <f>IF(Source!BA963&lt;&gt; 0, Source!BA963, 1)</f>
        <v>1</v>
      </c>
      <c r="J1313" s="21">
        <f>Source!S963</f>
        <v>987.98</v>
      </c>
      <c r="K1313" s="21"/>
    </row>
    <row r="1314" spans="1:22" ht="14.25" x14ac:dyDescent="0.2">
      <c r="A1314" s="18"/>
      <c r="B1314" s="18"/>
      <c r="C1314" s="18" t="s">
        <v>1102</v>
      </c>
      <c r="D1314" s="19" t="s">
        <v>1103</v>
      </c>
      <c r="E1314" s="9">
        <f>Source!AT963</f>
        <v>70</v>
      </c>
      <c r="F1314" s="21"/>
      <c r="G1314" s="20"/>
      <c r="H1314" s="9"/>
      <c r="I1314" s="9"/>
      <c r="J1314" s="21">
        <f>SUM(R1312:R1313)</f>
        <v>691.59</v>
      </c>
      <c r="K1314" s="21"/>
    </row>
    <row r="1315" spans="1:22" ht="14.25" x14ac:dyDescent="0.2">
      <c r="A1315" s="18"/>
      <c r="B1315" s="18"/>
      <c r="C1315" s="18" t="s">
        <v>1104</v>
      </c>
      <c r="D1315" s="19" t="s">
        <v>1103</v>
      </c>
      <c r="E1315" s="9">
        <f>Source!AU963</f>
        <v>10</v>
      </c>
      <c r="F1315" s="21"/>
      <c r="G1315" s="20"/>
      <c r="H1315" s="9"/>
      <c r="I1315" s="9"/>
      <c r="J1315" s="21">
        <f>SUM(T1312:T1314)</f>
        <v>98.8</v>
      </c>
      <c r="K1315" s="21"/>
    </row>
    <row r="1316" spans="1:22" ht="14.25" x14ac:dyDescent="0.2">
      <c r="A1316" s="18"/>
      <c r="B1316" s="18"/>
      <c r="C1316" s="18" t="s">
        <v>1105</v>
      </c>
      <c r="D1316" s="19" t="s">
        <v>1106</v>
      </c>
      <c r="E1316" s="9">
        <f>Source!AQ963</f>
        <v>0.8</v>
      </c>
      <c r="F1316" s="21"/>
      <c r="G1316" s="20" t="str">
        <f>Source!DI963</f>
        <v>)*2</v>
      </c>
      <c r="H1316" s="9">
        <f>Source!AV963</f>
        <v>1</v>
      </c>
      <c r="I1316" s="9"/>
      <c r="J1316" s="21"/>
      <c r="K1316" s="21">
        <f>Source!U963</f>
        <v>1.6</v>
      </c>
    </row>
    <row r="1317" spans="1:22" ht="15" x14ac:dyDescent="0.25">
      <c r="A1317" s="23"/>
      <c r="B1317" s="23"/>
      <c r="C1317" s="23"/>
      <c r="D1317" s="23"/>
      <c r="E1317" s="23"/>
      <c r="F1317" s="23"/>
      <c r="G1317" s="23"/>
      <c r="H1317" s="23"/>
      <c r="I1317" s="44">
        <f>J1313+J1314+J1315</f>
        <v>1778.3700000000001</v>
      </c>
      <c r="J1317" s="44"/>
      <c r="K1317" s="24">
        <f>IF(Source!I963&lt;&gt;0, ROUND(I1317/Source!I963, 2), 0)</f>
        <v>1778.37</v>
      </c>
      <c r="P1317" s="22">
        <f>I1317</f>
        <v>1778.3700000000001</v>
      </c>
    </row>
    <row r="1318" spans="1:22" ht="28.5" x14ac:dyDescent="0.2">
      <c r="A1318" s="18">
        <v>148</v>
      </c>
      <c r="B1318" s="18" t="str">
        <f>Source!F964</f>
        <v>1.23-2303-12-1/1</v>
      </c>
      <c r="C1318" s="18" t="str">
        <f>Source!G964</f>
        <v>Техническое обслуживание контроллеров логических операций</v>
      </c>
      <c r="D1318" s="19" t="str">
        <f>Source!H964</f>
        <v>шт.</v>
      </c>
      <c r="E1318" s="9">
        <f>Source!I964</f>
        <v>14</v>
      </c>
      <c r="F1318" s="21"/>
      <c r="G1318" s="20"/>
      <c r="H1318" s="9"/>
      <c r="I1318" s="9"/>
      <c r="J1318" s="21"/>
      <c r="K1318" s="21"/>
      <c r="Q1318">
        <f>ROUND((Source!BZ964/100)*ROUND((Source!AF964*Source!AV964)*Source!I964, 2), 2)</f>
        <v>51742.82</v>
      </c>
      <c r="R1318">
        <f>Source!X964</f>
        <v>51742.82</v>
      </c>
      <c r="S1318">
        <f>ROUND((Source!CA964/100)*ROUND((Source!AF964*Source!AV964)*Source!I964, 2), 2)</f>
        <v>7391.83</v>
      </c>
      <c r="T1318">
        <f>Source!Y964</f>
        <v>7391.83</v>
      </c>
      <c r="U1318">
        <f>ROUND((175/100)*ROUND((Source!AE964*Source!AV964)*Source!I964, 2), 2)</f>
        <v>0</v>
      </c>
      <c r="V1318">
        <f>ROUND((108/100)*ROUND(Source!CS964*Source!I964, 2), 2)</f>
        <v>0</v>
      </c>
    </row>
    <row r="1319" spans="1:22" ht="14.25" x14ac:dyDescent="0.2">
      <c r="A1319" s="18"/>
      <c r="B1319" s="18"/>
      <c r="C1319" s="18" t="s">
        <v>1100</v>
      </c>
      <c r="D1319" s="19"/>
      <c r="E1319" s="9"/>
      <c r="F1319" s="21">
        <f>Source!AO964</f>
        <v>2639.94</v>
      </c>
      <c r="G1319" s="20" t="str">
        <f>Source!DG964</f>
        <v>)*2</v>
      </c>
      <c r="H1319" s="9">
        <f>Source!AV964</f>
        <v>1</v>
      </c>
      <c r="I1319" s="9">
        <f>IF(Source!BA964&lt;&gt; 0, Source!BA964, 1)</f>
        <v>1</v>
      </c>
      <c r="J1319" s="21">
        <f>Source!S964</f>
        <v>73918.320000000007</v>
      </c>
      <c r="K1319" s="21"/>
    </row>
    <row r="1320" spans="1:22" ht="14.25" x14ac:dyDescent="0.2">
      <c r="A1320" s="18"/>
      <c r="B1320" s="18"/>
      <c r="C1320" s="18" t="s">
        <v>1101</v>
      </c>
      <c r="D1320" s="19"/>
      <c r="E1320" s="9"/>
      <c r="F1320" s="21">
        <f>Source!AL964</f>
        <v>4.97</v>
      </c>
      <c r="G1320" s="20" t="str">
        <f>Source!DD964</f>
        <v>)*3</v>
      </c>
      <c r="H1320" s="9">
        <f>Source!AW964</f>
        <v>1</v>
      </c>
      <c r="I1320" s="9">
        <f>IF(Source!BC964&lt;&gt; 0, Source!BC964, 1)</f>
        <v>1</v>
      </c>
      <c r="J1320" s="21">
        <f>Source!P964</f>
        <v>208.74</v>
      </c>
      <c r="K1320" s="21"/>
    </row>
    <row r="1321" spans="1:22" ht="14.25" x14ac:dyDescent="0.2">
      <c r="A1321" s="18"/>
      <c r="B1321" s="18"/>
      <c r="C1321" s="18" t="s">
        <v>1102</v>
      </c>
      <c r="D1321" s="19" t="s">
        <v>1103</v>
      </c>
      <c r="E1321" s="9">
        <f>Source!AT964</f>
        <v>70</v>
      </c>
      <c r="F1321" s="21"/>
      <c r="G1321" s="20"/>
      <c r="H1321" s="9"/>
      <c r="I1321" s="9"/>
      <c r="J1321" s="21">
        <f>SUM(R1318:R1320)</f>
        <v>51742.82</v>
      </c>
      <c r="K1321" s="21"/>
    </row>
    <row r="1322" spans="1:22" ht="14.25" x14ac:dyDescent="0.2">
      <c r="A1322" s="18"/>
      <c r="B1322" s="18"/>
      <c r="C1322" s="18" t="s">
        <v>1104</v>
      </c>
      <c r="D1322" s="19" t="s">
        <v>1103</v>
      </c>
      <c r="E1322" s="9">
        <f>Source!AU964</f>
        <v>10</v>
      </c>
      <c r="F1322" s="21"/>
      <c r="G1322" s="20"/>
      <c r="H1322" s="9"/>
      <c r="I1322" s="9"/>
      <c r="J1322" s="21">
        <f>SUM(T1318:T1321)</f>
        <v>7391.83</v>
      </c>
      <c r="K1322" s="21"/>
    </row>
    <row r="1323" spans="1:22" ht="14.25" x14ac:dyDescent="0.2">
      <c r="A1323" s="18"/>
      <c r="B1323" s="18"/>
      <c r="C1323" s="18" t="s">
        <v>1105</v>
      </c>
      <c r="D1323" s="19" t="s">
        <v>1106</v>
      </c>
      <c r="E1323" s="9">
        <f>Source!AQ964</f>
        <v>3.72</v>
      </c>
      <c r="F1323" s="21"/>
      <c r="G1323" s="20" t="str">
        <f>Source!DI964</f>
        <v>)*2</v>
      </c>
      <c r="H1323" s="9">
        <f>Source!AV964</f>
        <v>1</v>
      </c>
      <c r="I1323" s="9"/>
      <c r="J1323" s="21"/>
      <c r="K1323" s="21">
        <f>Source!U964</f>
        <v>104.16000000000001</v>
      </c>
    </row>
    <row r="1324" spans="1:22" ht="15" x14ac:dyDescent="0.25">
      <c r="A1324" s="23"/>
      <c r="B1324" s="23"/>
      <c r="C1324" s="23"/>
      <c r="D1324" s="23"/>
      <c r="E1324" s="23"/>
      <c r="F1324" s="23"/>
      <c r="G1324" s="23"/>
      <c r="H1324" s="23"/>
      <c r="I1324" s="44">
        <f>J1319+J1320+J1321+J1322</f>
        <v>133261.71</v>
      </c>
      <c r="J1324" s="44"/>
      <c r="K1324" s="24">
        <f>IF(Source!I964&lt;&gt;0, ROUND(I1324/Source!I964, 2), 0)</f>
        <v>9518.69</v>
      </c>
      <c r="P1324" s="22">
        <f>I1324</f>
        <v>133261.71</v>
      </c>
    </row>
    <row r="1325" spans="1:22" ht="28.5" x14ac:dyDescent="0.2">
      <c r="A1325" s="18">
        <v>149</v>
      </c>
      <c r="B1325" s="18" t="str">
        <f>Source!F965</f>
        <v>1.22-2203-78-1/1</v>
      </c>
      <c r="C1325" s="18" t="str">
        <f>Source!G965</f>
        <v>Техническое обслуживание блока питания типа БРП-12-01Л</v>
      </c>
      <c r="D1325" s="19" t="str">
        <f>Source!H965</f>
        <v>шт.</v>
      </c>
      <c r="E1325" s="9">
        <f>Source!I965</f>
        <v>2</v>
      </c>
      <c r="F1325" s="21"/>
      <c r="G1325" s="20"/>
      <c r="H1325" s="9"/>
      <c r="I1325" s="9"/>
      <c r="J1325" s="21"/>
      <c r="K1325" s="21"/>
      <c r="Q1325">
        <f>ROUND((Source!BZ965/100)*ROUND((Source!AF965*Source!AV965)*Source!I965, 2), 2)</f>
        <v>668.89</v>
      </c>
      <c r="R1325">
        <f>Source!X965</f>
        <v>668.89</v>
      </c>
      <c r="S1325">
        <f>ROUND((Source!CA965/100)*ROUND((Source!AF965*Source!AV965)*Source!I965, 2), 2)</f>
        <v>95.56</v>
      </c>
      <c r="T1325">
        <f>Source!Y965</f>
        <v>95.56</v>
      </c>
      <c r="U1325">
        <f>ROUND((175/100)*ROUND((Source!AE965*Source!AV965)*Source!I965, 2), 2)</f>
        <v>0</v>
      </c>
      <c r="V1325">
        <f>ROUND((108/100)*ROUND(Source!CS965*Source!I965, 2), 2)</f>
        <v>0</v>
      </c>
    </row>
    <row r="1326" spans="1:22" x14ac:dyDescent="0.2">
      <c r="C1326" s="28" t="str">
        <f>"Объем: "&amp;Source!I965&amp;"=1+"&amp;"1"</f>
        <v>Объем: 2=1+1</v>
      </c>
    </row>
    <row r="1327" spans="1:22" ht="14.25" x14ac:dyDescent="0.2">
      <c r="A1327" s="18"/>
      <c r="B1327" s="18"/>
      <c r="C1327" s="18" t="s">
        <v>1100</v>
      </c>
      <c r="D1327" s="19"/>
      <c r="E1327" s="9"/>
      <c r="F1327" s="21">
        <f>Source!AO965</f>
        <v>477.78</v>
      </c>
      <c r="G1327" s="20" t="str">
        <f>Source!DG965</f>
        <v/>
      </c>
      <c r="H1327" s="9">
        <f>Source!AV965</f>
        <v>1</v>
      </c>
      <c r="I1327" s="9">
        <f>IF(Source!BA965&lt;&gt; 0, Source!BA965, 1)</f>
        <v>1</v>
      </c>
      <c r="J1327" s="21">
        <f>Source!S965</f>
        <v>955.56</v>
      </c>
      <c r="K1327" s="21"/>
    </row>
    <row r="1328" spans="1:22" ht="14.25" x14ac:dyDescent="0.2">
      <c r="A1328" s="18"/>
      <c r="B1328" s="18"/>
      <c r="C1328" s="18" t="s">
        <v>1101</v>
      </c>
      <c r="D1328" s="19"/>
      <c r="E1328" s="9"/>
      <c r="F1328" s="21">
        <f>Source!AL965</f>
        <v>4.09</v>
      </c>
      <c r="G1328" s="20" t="str">
        <f>Source!DD965</f>
        <v/>
      </c>
      <c r="H1328" s="9">
        <f>Source!AW965</f>
        <v>1</v>
      </c>
      <c r="I1328" s="9">
        <f>IF(Source!BC965&lt;&gt; 0, Source!BC965, 1)</f>
        <v>1</v>
      </c>
      <c r="J1328" s="21">
        <f>Source!P965</f>
        <v>8.18</v>
      </c>
      <c r="K1328" s="21"/>
    </row>
    <row r="1329" spans="1:22" ht="14.25" x14ac:dyDescent="0.2">
      <c r="A1329" s="18"/>
      <c r="B1329" s="18"/>
      <c r="C1329" s="18" t="s">
        <v>1102</v>
      </c>
      <c r="D1329" s="19" t="s">
        <v>1103</v>
      </c>
      <c r="E1329" s="9">
        <f>Source!AT965</f>
        <v>70</v>
      </c>
      <c r="F1329" s="21"/>
      <c r="G1329" s="20"/>
      <c r="H1329" s="9"/>
      <c r="I1329" s="9"/>
      <c r="J1329" s="21">
        <f>SUM(R1325:R1328)</f>
        <v>668.89</v>
      </c>
      <c r="K1329" s="21"/>
    </row>
    <row r="1330" spans="1:22" ht="14.25" x14ac:dyDescent="0.2">
      <c r="A1330" s="18"/>
      <c r="B1330" s="18"/>
      <c r="C1330" s="18" t="s">
        <v>1104</v>
      </c>
      <c r="D1330" s="19" t="s">
        <v>1103</v>
      </c>
      <c r="E1330" s="9">
        <f>Source!AU965</f>
        <v>10</v>
      </c>
      <c r="F1330" s="21"/>
      <c r="G1330" s="20"/>
      <c r="H1330" s="9"/>
      <c r="I1330" s="9"/>
      <c r="J1330" s="21">
        <f>SUM(T1325:T1329)</f>
        <v>95.56</v>
      </c>
      <c r="K1330" s="21"/>
    </row>
    <row r="1331" spans="1:22" ht="14.25" x14ac:dyDescent="0.2">
      <c r="A1331" s="18"/>
      <c r="B1331" s="18"/>
      <c r="C1331" s="18" t="s">
        <v>1105</v>
      </c>
      <c r="D1331" s="19" t="s">
        <v>1106</v>
      </c>
      <c r="E1331" s="9">
        <f>Source!AQ965</f>
        <v>0.72</v>
      </c>
      <c r="F1331" s="21"/>
      <c r="G1331" s="20" t="str">
        <f>Source!DI965</f>
        <v/>
      </c>
      <c r="H1331" s="9">
        <f>Source!AV965</f>
        <v>1</v>
      </c>
      <c r="I1331" s="9"/>
      <c r="J1331" s="21"/>
      <c r="K1331" s="21">
        <f>Source!U965</f>
        <v>1.44</v>
      </c>
    </row>
    <row r="1332" spans="1:22" ht="15" x14ac:dyDescent="0.25">
      <c r="A1332" s="23"/>
      <c r="B1332" s="23"/>
      <c r="C1332" s="23"/>
      <c r="D1332" s="23"/>
      <c r="E1332" s="23"/>
      <c r="F1332" s="23"/>
      <c r="G1332" s="23"/>
      <c r="H1332" s="23"/>
      <c r="I1332" s="44">
        <f>J1327+J1328+J1329+J1330</f>
        <v>1728.1899999999998</v>
      </c>
      <c r="J1332" s="44"/>
      <c r="K1332" s="24">
        <f>IF(Source!I965&lt;&gt;0, ROUND(I1332/Source!I965, 2), 0)</f>
        <v>864.1</v>
      </c>
      <c r="P1332" s="22">
        <f>I1332</f>
        <v>1728.1899999999998</v>
      </c>
    </row>
    <row r="1334" spans="1:22" ht="15" customHeight="1" x14ac:dyDescent="0.25">
      <c r="B1334" s="47" t="str">
        <f>Source!G970</f>
        <v>Вентустановки</v>
      </c>
      <c r="C1334" s="47"/>
      <c r="D1334" s="47"/>
      <c r="E1334" s="47"/>
      <c r="F1334" s="47"/>
      <c r="G1334" s="47"/>
      <c r="H1334" s="47"/>
      <c r="I1334" s="47"/>
      <c r="J1334" s="47"/>
    </row>
    <row r="1335" spans="1:22" ht="28.5" x14ac:dyDescent="0.2">
      <c r="A1335" s="18">
        <v>150</v>
      </c>
      <c r="B1335" s="18" t="str">
        <f>Source!F971</f>
        <v>1.22-2103-2-1/1</v>
      </c>
      <c r="C1335" s="18" t="str">
        <f>Source!G971</f>
        <v>Техническое обслуживание сетевой линии связи</v>
      </c>
      <c r="D1335" s="19" t="str">
        <f>Source!H971</f>
        <v>100 м</v>
      </c>
      <c r="E1335" s="9">
        <f>Source!I971</f>
        <v>7.3</v>
      </c>
      <c r="F1335" s="21"/>
      <c r="G1335" s="20"/>
      <c r="H1335" s="9"/>
      <c r="I1335" s="9"/>
      <c r="J1335" s="21"/>
      <c r="K1335" s="21"/>
      <c r="Q1335">
        <f>ROUND((Source!BZ971/100)*ROUND((Source!AF971*Source!AV971)*Source!I971, 2), 2)</f>
        <v>2538.4499999999998</v>
      </c>
      <c r="R1335">
        <f>Source!X971</f>
        <v>2538.4499999999998</v>
      </c>
      <c r="S1335">
        <f>ROUND((Source!CA971/100)*ROUND((Source!AF971*Source!AV971)*Source!I971, 2), 2)</f>
        <v>362.64</v>
      </c>
      <c r="T1335">
        <f>Source!Y971</f>
        <v>362.64</v>
      </c>
      <c r="U1335">
        <f>ROUND((175/100)*ROUND((Source!AE971*Source!AV971)*Source!I971, 2), 2)</f>
        <v>0</v>
      </c>
      <c r="V1335">
        <f>ROUND((108/100)*ROUND(Source!CS971*Source!I971, 2), 2)</f>
        <v>0</v>
      </c>
    </row>
    <row r="1336" spans="1:22" ht="38.25" x14ac:dyDescent="0.2">
      <c r="C1336" s="28" t="str">
        <f>"Объем: "&amp;Source!I971&amp;"=(1500+"&amp;"1000+"&amp;"500+"&amp;"50+"&amp;"100+"&amp;"100+"&amp;"50+"&amp;"2500+"&amp;"1500)*"&amp;"0,1/"&amp;"100"</f>
        <v>Объем: 7,3=(1500+1000+500+50+100+100+50+2500+1500)*0,1/100</v>
      </c>
    </row>
    <row r="1337" spans="1:22" ht="14.25" x14ac:dyDescent="0.2">
      <c r="A1337" s="18"/>
      <c r="B1337" s="18"/>
      <c r="C1337" s="18" t="s">
        <v>1100</v>
      </c>
      <c r="D1337" s="19"/>
      <c r="E1337" s="9"/>
      <c r="F1337" s="21">
        <f>Source!AO971</f>
        <v>496.76</v>
      </c>
      <c r="G1337" s="20" t="str">
        <f>Source!DG971</f>
        <v/>
      </c>
      <c r="H1337" s="9">
        <f>Source!AV971</f>
        <v>1</v>
      </c>
      <c r="I1337" s="9">
        <f>IF(Source!BA971&lt;&gt; 0, Source!BA971, 1)</f>
        <v>1</v>
      </c>
      <c r="J1337" s="21">
        <f>Source!S971</f>
        <v>3626.35</v>
      </c>
      <c r="K1337" s="21"/>
    </row>
    <row r="1338" spans="1:22" ht="14.25" x14ac:dyDescent="0.2">
      <c r="A1338" s="18"/>
      <c r="B1338" s="18"/>
      <c r="C1338" s="18" t="s">
        <v>1102</v>
      </c>
      <c r="D1338" s="19" t="s">
        <v>1103</v>
      </c>
      <c r="E1338" s="9">
        <f>Source!AT971</f>
        <v>70</v>
      </c>
      <c r="F1338" s="21"/>
      <c r="G1338" s="20"/>
      <c r="H1338" s="9"/>
      <c r="I1338" s="9"/>
      <c r="J1338" s="21">
        <f>SUM(R1335:R1337)</f>
        <v>2538.4499999999998</v>
      </c>
      <c r="K1338" s="21"/>
    </row>
    <row r="1339" spans="1:22" ht="14.25" x14ac:dyDescent="0.2">
      <c r="A1339" s="18"/>
      <c r="B1339" s="18"/>
      <c r="C1339" s="18" t="s">
        <v>1104</v>
      </c>
      <c r="D1339" s="19" t="s">
        <v>1103</v>
      </c>
      <c r="E1339" s="9">
        <f>Source!AU971</f>
        <v>10</v>
      </c>
      <c r="F1339" s="21"/>
      <c r="G1339" s="20"/>
      <c r="H1339" s="9"/>
      <c r="I1339" s="9"/>
      <c r="J1339" s="21">
        <f>SUM(T1335:T1338)</f>
        <v>362.64</v>
      </c>
      <c r="K1339" s="21"/>
    </row>
    <row r="1340" spans="1:22" ht="14.25" x14ac:dyDescent="0.2">
      <c r="A1340" s="18"/>
      <c r="B1340" s="18"/>
      <c r="C1340" s="18" t="s">
        <v>1105</v>
      </c>
      <c r="D1340" s="19" t="s">
        <v>1106</v>
      </c>
      <c r="E1340" s="9">
        <f>Source!AQ971</f>
        <v>0.7</v>
      </c>
      <c r="F1340" s="21"/>
      <c r="G1340" s="20" t="str">
        <f>Source!DI971</f>
        <v/>
      </c>
      <c r="H1340" s="9">
        <f>Source!AV971</f>
        <v>1</v>
      </c>
      <c r="I1340" s="9"/>
      <c r="J1340" s="21"/>
      <c r="K1340" s="21">
        <f>Source!U971</f>
        <v>5.1099999999999994</v>
      </c>
    </row>
    <row r="1341" spans="1:22" ht="15" x14ac:dyDescent="0.25">
      <c r="A1341" s="23"/>
      <c r="B1341" s="23"/>
      <c r="C1341" s="23"/>
      <c r="D1341" s="23"/>
      <c r="E1341" s="23"/>
      <c r="F1341" s="23"/>
      <c r="G1341" s="23"/>
      <c r="H1341" s="23"/>
      <c r="I1341" s="44">
        <f>J1337+J1338+J1339</f>
        <v>6527.44</v>
      </c>
      <c r="J1341" s="44"/>
      <c r="K1341" s="24">
        <f>IF(Source!I971&lt;&gt;0, ROUND(I1341/Source!I971, 2), 0)</f>
        <v>894.17</v>
      </c>
      <c r="P1341" s="22">
        <f>I1341</f>
        <v>6527.44</v>
      </c>
    </row>
    <row r="1343" spans="1:22" ht="15" customHeight="1" x14ac:dyDescent="0.25">
      <c r="B1343" s="47" t="str">
        <f>Source!G972</f>
        <v>Система защиты от протечек</v>
      </c>
      <c r="C1343" s="47"/>
      <c r="D1343" s="47"/>
      <c r="E1343" s="47"/>
      <c r="F1343" s="47"/>
      <c r="G1343" s="47"/>
      <c r="H1343" s="47"/>
      <c r="I1343" s="47"/>
      <c r="J1343" s="47"/>
    </row>
    <row r="1344" spans="1:22" ht="28.5" x14ac:dyDescent="0.2">
      <c r="A1344" s="18">
        <v>151</v>
      </c>
      <c r="B1344" s="18" t="str">
        <f>Source!F973</f>
        <v>1.22-2103-2-1/1</v>
      </c>
      <c r="C1344" s="18" t="str">
        <f>Source!G973</f>
        <v>Техническое обслуживание сетевой линии связи</v>
      </c>
      <c r="D1344" s="19" t="str">
        <f>Source!H973</f>
        <v>100 м</v>
      </c>
      <c r="E1344" s="9">
        <f>Source!I973</f>
        <v>1.55</v>
      </c>
      <c r="F1344" s="21"/>
      <c r="G1344" s="20"/>
      <c r="H1344" s="9"/>
      <c r="I1344" s="9"/>
      <c r="J1344" s="21"/>
      <c r="K1344" s="21"/>
      <c r="Q1344">
        <f>ROUND((Source!BZ973/100)*ROUND((Source!AF973*Source!AV973)*Source!I973, 2), 2)</f>
        <v>538.99</v>
      </c>
      <c r="R1344">
        <f>Source!X973</f>
        <v>538.99</v>
      </c>
      <c r="S1344">
        <f>ROUND((Source!CA973/100)*ROUND((Source!AF973*Source!AV973)*Source!I973, 2), 2)</f>
        <v>77</v>
      </c>
      <c r="T1344">
        <f>Source!Y973</f>
        <v>77</v>
      </c>
      <c r="U1344">
        <f>ROUND((175/100)*ROUND((Source!AE973*Source!AV973)*Source!I973, 2), 2)</f>
        <v>0</v>
      </c>
      <c r="V1344">
        <f>ROUND((108/100)*ROUND(Source!CS973*Source!I973, 2), 2)</f>
        <v>0</v>
      </c>
    </row>
    <row r="1345" spans="1:16" x14ac:dyDescent="0.2">
      <c r="C1345" s="28" t="str">
        <f>"Объем: "&amp;Source!I973&amp;"=(50+"&amp;"1500)*"&amp;"0,1/"&amp;"100"</f>
        <v>Объем: 1,55=(50+1500)*0,1/100</v>
      </c>
    </row>
    <row r="1346" spans="1:16" ht="14.25" x14ac:dyDescent="0.2">
      <c r="A1346" s="18"/>
      <c r="B1346" s="18"/>
      <c r="C1346" s="18" t="s">
        <v>1100</v>
      </c>
      <c r="D1346" s="19"/>
      <c r="E1346" s="9"/>
      <c r="F1346" s="21">
        <f>Source!AO973</f>
        <v>496.76</v>
      </c>
      <c r="G1346" s="20" t="str">
        <f>Source!DG973</f>
        <v/>
      </c>
      <c r="H1346" s="9">
        <f>Source!AV973</f>
        <v>1</v>
      </c>
      <c r="I1346" s="9">
        <f>IF(Source!BA973&lt;&gt; 0, Source!BA973, 1)</f>
        <v>1</v>
      </c>
      <c r="J1346" s="21">
        <f>Source!S973</f>
        <v>769.98</v>
      </c>
      <c r="K1346" s="21"/>
    </row>
    <row r="1347" spans="1:16" ht="14.25" x14ac:dyDescent="0.2">
      <c r="A1347" s="18"/>
      <c r="B1347" s="18"/>
      <c r="C1347" s="18" t="s">
        <v>1102</v>
      </c>
      <c r="D1347" s="19" t="s">
        <v>1103</v>
      </c>
      <c r="E1347" s="9">
        <f>Source!AT973</f>
        <v>70</v>
      </c>
      <c r="F1347" s="21"/>
      <c r="G1347" s="20"/>
      <c r="H1347" s="9"/>
      <c r="I1347" s="9"/>
      <c r="J1347" s="21">
        <f>SUM(R1344:R1346)</f>
        <v>538.99</v>
      </c>
      <c r="K1347" s="21"/>
    </row>
    <row r="1348" spans="1:16" ht="14.25" x14ac:dyDescent="0.2">
      <c r="A1348" s="18"/>
      <c r="B1348" s="18"/>
      <c r="C1348" s="18" t="s">
        <v>1104</v>
      </c>
      <c r="D1348" s="19" t="s">
        <v>1103</v>
      </c>
      <c r="E1348" s="9">
        <f>Source!AU973</f>
        <v>10</v>
      </c>
      <c r="F1348" s="21"/>
      <c r="G1348" s="20"/>
      <c r="H1348" s="9"/>
      <c r="I1348" s="9"/>
      <c r="J1348" s="21">
        <f>SUM(T1344:T1347)</f>
        <v>77</v>
      </c>
      <c r="K1348" s="21"/>
    </row>
    <row r="1349" spans="1:16" ht="14.25" x14ac:dyDescent="0.2">
      <c r="A1349" s="18"/>
      <c r="B1349" s="18"/>
      <c r="C1349" s="18" t="s">
        <v>1105</v>
      </c>
      <c r="D1349" s="19" t="s">
        <v>1106</v>
      </c>
      <c r="E1349" s="9">
        <f>Source!AQ973</f>
        <v>0.7</v>
      </c>
      <c r="F1349" s="21"/>
      <c r="G1349" s="20" t="str">
        <f>Source!DI973</f>
        <v/>
      </c>
      <c r="H1349" s="9">
        <f>Source!AV973</f>
        <v>1</v>
      </c>
      <c r="I1349" s="9"/>
      <c r="J1349" s="21"/>
      <c r="K1349" s="21">
        <f>Source!U973</f>
        <v>1.085</v>
      </c>
    </row>
    <row r="1350" spans="1:16" ht="15" x14ac:dyDescent="0.25">
      <c r="A1350" s="23"/>
      <c r="B1350" s="23"/>
      <c r="C1350" s="23"/>
      <c r="D1350" s="23"/>
      <c r="E1350" s="23"/>
      <c r="F1350" s="23"/>
      <c r="G1350" s="23"/>
      <c r="H1350" s="23"/>
      <c r="I1350" s="44">
        <f>J1346+J1347+J1348</f>
        <v>1385.97</v>
      </c>
      <c r="J1350" s="44"/>
      <c r="K1350" s="24">
        <f>IF(Source!I973&lt;&gt;0, ROUND(I1350/Source!I973, 2), 0)</f>
        <v>894.17</v>
      </c>
      <c r="P1350" s="22">
        <f>I1350</f>
        <v>1385.97</v>
      </c>
    </row>
    <row r="1352" spans="1:16" ht="15" customHeight="1" x14ac:dyDescent="0.25">
      <c r="A1352" s="46" t="str">
        <f>CONCATENATE("Итого по разделу: ",IF(Source!G975&lt;&gt;"Новый раздел", Source!G975, ""))</f>
        <v>Итого по разделу: 5. Автоматизация и диспетчеризация инженерных систем.</v>
      </c>
      <c r="B1352" s="46"/>
      <c r="C1352" s="46"/>
      <c r="D1352" s="46"/>
      <c r="E1352" s="46"/>
      <c r="F1352" s="46"/>
      <c r="G1352" s="46"/>
      <c r="H1352" s="46"/>
      <c r="I1352" s="45">
        <f>SUM(P1301:P1351)</f>
        <v>145536.91999999998</v>
      </c>
      <c r="J1352" s="45"/>
      <c r="K1352" s="26"/>
    </row>
    <row r="1355" spans="1:16" ht="15" customHeight="1" x14ac:dyDescent="0.25">
      <c r="A1355" s="46" t="str">
        <f>CONCATENATE("Итого по локальной смете: ",IF(Source!G1005&lt;&gt;"Новая локальная смета", Source!G1005, ""))</f>
        <v xml:space="preserve">Итого по локальной смете: </v>
      </c>
      <c r="B1355" s="46"/>
      <c r="C1355" s="46"/>
      <c r="D1355" s="46"/>
      <c r="E1355" s="46"/>
      <c r="F1355" s="46"/>
      <c r="G1355" s="46"/>
      <c r="H1355" s="46"/>
      <c r="I1355" s="45">
        <f>SUM(P32:P1354)</f>
        <v>2470974.8999999994</v>
      </c>
      <c r="J1355" s="45"/>
      <c r="K1355" s="26"/>
    </row>
    <row r="1358" spans="1:16" ht="15" customHeight="1" x14ac:dyDescent="0.25">
      <c r="A1358" s="46" t="str">
        <f>CONCATENATE("Итого по смете: ",IF(Source!G1035&lt;&gt;"Новый объект", Source!G1035, ""))</f>
        <v>Итого по смете: СН_1.5_на 4 мес. (10%) испр.</v>
      </c>
      <c r="B1358" s="46"/>
      <c r="C1358" s="46"/>
      <c r="D1358" s="46"/>
      <c r="E1358" s="46"/>
      <c r="F1358" s="46"/>
      <c r="G1358" s="46"/>
      <c r="H1358" s="46"/>
      <c r="I1358" s="45">
        <f>SUM(P1:P1357)</f>
        <v>2470974.8999999994</v>
      </c>
      <c r="J1358" s="45"/>
      <c r="K1358" s="26"/>
    </row>
    <row r="1359" spans="1:16" ht="14.25" x14ac:dyDescent="0.2">
      <c r="C1359" s="42" t="str">
        <f>Source!H1064</f>
        <v>Итого</v>
      </c>
      <c r="D1359" s="42"/>
      <c r="E1359" s="42"/>
      <c r="F1359" s="42"/>
      <c r="G1359" s="42"/>
      <c r="H1359" s="42"/>
      <c r="I1359" s="43">
        <f>IF(Source!F1064=0, "", Source!F1064)</f>
        <v>2470974.9</v>
      </c>
      <c r="J1359" s="43"/>
    </row>
    <row r="1360" spans="1:16" ht="14.25" x14ac:dyDescent="0.2">
      <c r="C1360" s="42" t="str">
        <f>Source!H1065</f>
        <v>НДС, 22%</v>
      </c>
      <c r="D1360" s="42"/>
      <c r="E1360" s="42"/>
      <c r="F1360" s="42"/>
      <c r="G1360" s="42"/>
      <c r="H1360" s="42"/>
      <c r="I1360" s="43">
        <f>IF(Source!F1065=0, "", Source!F1065)</f>
        <v>543614.48</v>
      </c>
      <c r="J1360" s="43"/>
    </row>
    <row r="1361" spans="1:11" ht="14.25" x14ac:dyDescent="0.2">
      <c r="C1361" s="42" t="str">
        <f>Source!H1066</f>
        <v>Всего с НДС</v>
      </c>
      <c r="D1361" s="42"/>
      <c r="E1361" s="42"/>
      <c r="F1361" s="42"/>
      <c r="G1361" s="42"/>
      <c r="H1361" s="42"/>
      <c r="I1361" s="43">
        <f>IF(Source!F1066=0, "", Source!F1066)</f>
        <v>3014589.38</v>
      </c>
      <c r="J1361" s="43"/>
    </row>
    <row r="1364" spans="1:11" ht="14.25" x14ac:dyDescent="0.2">
      <c r="A1364" s="40" t="s">
        <v>1124</v>
      </c>
      <c r="B1364" s="40"/>
      <c r="C1364" s="31" t="str">
        <f>IF(Source!AC12&lt;&gt;"", Source!AC12," ")</f>
        <v xml:space="preserve"> </v>
      </c>
      <c r="D1364" s="31"/>
      <c r="E1364" s="31"/>
      <c r="F1364" s="31"/>
      <c r="G1364" s="31"/>
      <c r="H1364" s="10" t="str">
        <f>IF(Source!AB12&lt;&gt;"", Source!AB12," ")</f>
        <v xml:space="preserve"> </v>
      </c>
      <c r="I1364" s="10"/>
      <c r="J1364" s="10"/>
      <c r="K1364" s="10"/>
    </row>
    <row r="1365" spans="1:11" ht="14.25" x14ac:dyDescent="0.2">
      <c r="A1365" s="10"/>
      <c r="B1365" s="10"/>
      <c r="C1365" s="41" t="s">
        <v>1125</v>
      </c>
      <c r="D1365" s="41"/>
      <c r="E1365" s="41"/>
      <c r="F1365" s="41"/>
      <c r="G1365" s="41"/>
      <c r="H1365" s="10"/>
      <c r="I1365" s="10"/>
      <c r="J1365" s="10"/>
      <c r="K1365" s="10"/>
    </row>
    <row r="1366" spans="1:11" ht="14.25" x14ac:dyDescent="0.2">
      <c r="A1366" s="10"/>
      <c r="B1366" s="10"/>
      <c r="C1366" s="10"/>
      <c r="D1366" s="10"/>
      <c r="E1366" s="10"/>
      <c r="F1366" s="10"/>
      <c r="G1366" s="10"/>
      <c r="H1366" s="10"/>
      <c r="I1366" s="10"/>
      <c r="J1366" s="10"/>
      <c r="K1366" s="10"/>
    </row>
    <row r="1367" spans="1:11" ht="14.25" x14ac:dyDescent="0.2">
      <c r="A1367" s="40" t="s">
        <v>1126</v>
      </c>
      <c r="B1367" s="40"/>
      <c r="C1367" s="31" t="str">
        <f>IF(Source!AE12&lt;&gt;"", Source!AE12," ")</f>
        <v xml:space="preserve"> </v>
      </c>
      <c r="D1367" s="31"/>
      <c r="E1367" s="31"/>
      <c r="F1367" s="31"/>
      <c r="G1367" s="31"/>
      <c r="H1367" s="10" t="str">
        <f>IF(Source!AD12&lt;&gt;"", Source!AD12," ")</f>
        <v xml:space="preserve"> </v>
      </c>
      <c r="I1367" s="10"/>
      <c r="J1367" s="10"/>
      <c r="K1367" s="10"/>
    </row>
    <row r="1368" spans="1:11" ht="14.25" x14ac:dyDescent="0.2">
      <c r="A1368" s="10"/>
      <c r="B1368" s="10"/>
      <c r="C1368" s="41" t="s">
        <v>1125</v>
      </c>
      <c r="D1368" s="41"/>
      <c r="E1368" s="41"/>
      <c r="F1368" s="41"/>
      <c r="G1368" s="41"/>
      <c r="H1368" s="10"/>
      <c r="I1368" s="10"/>
      <c r="J1368" s="10"/>
      <c r="K1368" s="10"/>
    </row>
  </sheetData>
  <mergeCells count="276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I52:J52"/>
    <mergeCell ref="I54:J54"/>
    <mergeCell ref="A54:H54"/>
    <mergeCell ref="A57:K57"/>
    <mergeCell ref="I64:J64"/>
    <mergeCell ref="I71:J71"/>
    <mergeCell ref="I27:I29"/>
    <mergeCell ref="J27:J29"/>
    <mergeCell ref="A32:K32"/>
    <mergeCell ref="A34:K34"/>
    <mergeCell ref="A36:K36"/>
    <mergeCell ref="I43:J43"/>
    <mergeCell ref="A98:K98"/>
    <mergeCell ref="I100:J100"/>
    <mergeCell ref="A100:H100"/>
    <mergeCell ref="A103:K103"/>
    <mergeCell ref="I110:J110"/>
    <mergeCell ref="I118:J118"/>
    <mergeCell ref="I81:J81"/>
    <mergeCell ref="I83:J83"/>
    <mergeCell ref="A83:H83"/>
    <mergeCell ref="A86:K86"/>
    <mergeCell ref="I93:J93"/>
    <mergeCell ref="I95:J95"/>
    <mergeCell ref="A95:H95"/>
    <mergeCell ref="I160:J160"/>
    <mergeCell ref="I170:J170"/>
    <mergeCell ref="I179:J179"/>
    <mergeCell ref="B181:J181"/>
    <mergeCell ref="I188:J188"/>
    <mergeCell ref="I197:J197"/>
    <mergeCell ref="I120:J120"/>
    <mergeCell ref="A120:H120"/>
    <mergeCell ref="A123:K123"/>
    <mergeCell ref="I134:J134"/>
    <mergeCell ref="I145:J145"/>
    <mergeCell ref="I152:J152"/>
    <mergeCell ref="I218:J218"/>
    <mergeCell ref="I227:J227"/>
    <mergeCell ref="I235:J235"/>
    <mergeCell ref="I242:J242"/>
    <mergeCell ref="I252:J252"/>
    <mergeCell ref="I259:J259"/>
    <mergeCell ref="I199:J199"/>
    <mergeCell ref="A199:H199"/>
    <mergeCell ref="I202:J202"/>
    <mergeCell ref="A202:H202"/>
    <mergeCell ref="A205:K205"/>
    <mergeCell ref="A207:K207"/>
    <mergeCell ref="I319:J319"/>
    <mergeCell ref="I326:J326"/>
    <mergeCell ref="I333:J333"/>
    <mergeCell ref="I340:J340"/>
    <mergeCell ref="I347:J347"/>
    <mergeCell ref="I355:J355"/>
    <mergeCell ref="I266:J266"/>
    <mergeCell ref="I276:J276"/>
    <mergeCell ref="I284:J284"/>
    <mergeCell ref="I291:J291"/>
    <mergeCell ref="I302:J302"/>
    <mergeCell ref="I310:J310"/>
    <mergeCell ref="I387:J387"/>
    <mergeCell ref="I394:J394"/>
    <mergeCell ref="I402:J402"/>
    <mergeCell ref="I409:J409"/>
    <mergeCell ref="I415:J415"/>
    <mergeCell ref="I422:J422"/>
    <mergeCell ref="I357:J357"/>
    <mergeCell ref="A357:H357"/>
    <mergeCell ref="A360:K360"/>
    <mergeCell ref="B362:J362"/>
    <mergeCell ref="I371:J371"/>
    <mergeCell ref="I377:J377"/>
    <mergeCell ref="I474:J474"/>
    <mergeCell ref="I481:J481"/>
    <mergeCell ref="B483:J483"/>
    <mergeCell ref="I490:J490"/>
    <mergeCell ref="I500:J500"/>
    <mergeCell ref="I507:J507"/>
    <mergeCell ref="I429:J429"/>
    <mergeCell ref="I438:J438"/>
    <mergeCell ref="I447:J447"/>
    <mergeCell ref="I454:J454"/>
    <mergeCell ref="I460:J460"/>
    <mergeCell ref="I467:J467"/>
    <mergeCell ref="I550:J550"/>
    <mergeCell ref="I557:J557"/>
    <mergeCell ref="I566:J566"/>
    <mergeCell ref="I574:J574"/>
    <mergeCell ref="I581:J581"/>
    <mergeCell ref="I588:J588"/>
    <mergeCell ref="I514:J514"/>
    <mergeCell ref="B516:J516"/>
    <mergeCell ref="I522:J522"/>
    <mergeCell ref="I528:J528"/>
    <mergeCell ref="I535:J535"/>
    <mergeCell ref="I542:J542"/>
    <mergeCell ref="I616:J616"/>
    <mergeCell ref="A616:H616"/>
    <mergeCell ref="A619:K619"/>
    <mergeCell ref="A621:K621"/>
    <mergeCell ref="I631:J631"/>
    <mergeCell ref="I641:J641"/>
    <mergeCell ref="B590:J590"/>
    <mergeCell ref="I597:J597"/>
    <mergeCell ref="I604:J604"/>
    <mergeCell ref="I611:J611"/>
    <mergeCell ref="I613:J613"/>
    <mergeCell ref="A613:H613"/>
    <mergeCell ref="I697:J697"/>
    <mergeCell ref="B699:J699"/>
    <mergeCell ref="I709:J709"/>
    <mergeCell ref="I716:J716"/>
    <mergeCell ref="I723:J723"/>
    <mergeCell ref="I725:J725"/>
    <mergeCell ref="A725:H725"/>
    <mergeCell ref="I651:J651"/>
    <mergeCell ref="I661:J661"/>
    <mergeCell ref="I671:J671"/>
    <mergeCell ref="I678:J678"/>
    <mergeCell ref="I685:J685"/>
    <mergeCell ref="B687:J687"/>
    <mergeCell ref="I785:J785"/>
    <mergeCell ref="I795:J795"/>
    <mergeCell ref="B797:J797"/>
    <mergeCell ref="B799:J799"/>
    <mergeCell ref="I801:J801"/>
    <mergeCell ref="A801:H801"/>
    <mergeCell ref="A728:K728"/>
    <mergeCell ref="I738:J738"/>
    <mergeCell ref="I749:J749"/>
    <mergeCell ref="I758:J758"/>
    <mergeCell ref="I768:J768"/>
    <mergeCell ref="I775:J775"/>
    <mergeCell ref="A823:K823"/>
    <mergeCell ref="A825:K825"/>
    <mergeCell ref="B827:J827"/>
    <mergeCell ref="I835:J835"/>
    <mergeCell ref="I843:J843"/>
    <mergeCell ref="I850:J850"/>
    <mergeCell ref="A804:K804"/>
    <mergeCell ref="I815:J815"/>
    <mergeCell ref="I817:J817"/>
    <mergeCell ref="A817:H817"/>
    <mergeCell ref="I820:J820"/>
    <mergeCell ref="A820:H820"/>
    <mergeCell ref="I903:J903"/>
    <mergeCell ref="B905:J905"/>
    <mergeCell ref="I913:J913"/>
    <mergeCell ref="I921:J921"/>
    <mergeCell ref="I928:J928"/>
    <mergeCell ref="I936:J936"/>
    <mergeCell ref="I857:J857"/>
    <mergeCell ref="I864:J864"/>
    <mergeCell ref="I871:J871"/>
    <mergeCell ref="I879:J879"/>
    <mergeCell ref="I886:J886"/>
    <mergeCell ref="I893:J893"/>
    <mergeCell ref="I985:J985"/>
    <mergeCell ref="I992:J992"/>
    <mergeCell ref="I999:J999"/>
    <mergeCell ref="I1006:J1006"/>
    <mergeCell ref="I1014:J1014"/>
    <mergeCell ref="I1021:J1021"/>
    <mergeCell ref="I943:J943"/>
    <mergeCell ref="I950:J950"/>
    <mergeCell ref="I960:J960"/>
    <mergeCell ref="B962:J962"/>
    <mergeCell ref="I970:J970"/>
    <mergeCell ref="I978:J978"/>
    <mergeCell ref="I1069:J1069"/>
    <mergeCell ref="I1076:J1076"/>
    <mergeCell ref="I1086:J1086"/>
    <mergeCell ref="B1088:J1088"/>
    <mergeCell ref="I1095:J1095"/>
    <mergeCell ref="I1102:J1102"/>
    <mergeCell ref="I1028:J1028"/>
    <mergeCell ref="I1038:J1038"/>
    <mergeCell ref="B1040:J1040"/>
    <mergeCell ref="I1047:J1047"/>
    <mergeCell ref="I1054:J1054"/>
    <mergeCell ref="I1062:J1062"/>
    <mergeCell ref="I1151:J1151"/>
    <mergeCell ref="I1158:J1158"/>
    <mergeCell ref="I1166:J1166"/>
    <mergeCell ref="I1172:J1172"/>
    <mergeCell ref="I1182:J1182"/>
    <mergeCell ref="B1184:J1184"/>
    <mergeCell ref="I1109:J1109"/>
    <mergeCell ref="I1116:J1116"/>
    <mergeCell ref="I1123:J1123"/>
    <mergeCell ref="I1130:J1130"/>
    <mergeCell ref="I1137:J1137"/>
    <mergeCell ref="I1144:J1144"/>
    <mergeCell ref="I1230:J1230"/>
    <mergeCell ref="B1232:J1232"/>
    <mergeCell ref="I1240:J1240"/>
    <mergeCell ref="I1248:J1248"/>
    <mergeCell ref="I1256:J1256"/>
    <mergeCell ref="I1264:J1264"/>
    <mergeCell ref="I1192:J1192"/>
    <mergeCell ref="B1194:J1194"/>
    <mergeCell ref="I1201:J1201"/>
    <mergeCell ref="I1208:J1208"/>
    <mergeCell ref="I1215:J1215"/>
    <mergeCell ref="I1223:J1223"/>
    <mergeCell ref="I1295:J1295"/>
    <mergeCell ref="A1295:H1295"/>
    <mergeCell ref="I1298:J1298"/>
    <mergeCell ref="A1298:H1298"/>
    <mergeCell ref="A1301:K1301"/>
    <mergeCell ref="I1311:J1311"/>
    <mergeCell ref="I1272:J1272"/>
    <mergeCell ref="I1280:J1280"/>
    <mergeCell ref="I1288:J1288"/>
    <mergeCell ref="I1290:J1290"/>
    <mergeCell ref="A1290:H1290"/>
    <mergeCell ref="A1293:K1293"/>
    <mergeCell ref="I1350:J1350"/>
    <mergeCell ref="I1352:J1352"/>
    <mergeCell ref="A1352:H1352"/>
    <mergeCell ref="I1355:J1355"/>
    <mergeCell ref="A1355:H1355"/>
    <mergeCell ref="I1358:J1358"/>
    <mergeCell ref="A1358:H1358"/>
    <mergeCell ref="I1317:J1317"/>
    <mergeCell ref="I1324:J1324"/>
    <mergeCell ref="I1332:J1332"/>
    <mergeCell ref="B1334:J1334"/>
    <mergeCell ref="I1341:J1341"/>
    <mergeCell ref="B1343:J1343"/>
    <mergeCell ref="A1364:B1364"/>
    <mergeCell ref="C1365:G1365"/>
    <mergeCell ref="A1367:B1367"/>
    <mergeCell ref="C1368:G1368"/>
    <mergeCell ref="C1359:H1359"/>
    <mergeCell ref="I1359:J1359"/>
    <mergeCell ref="C1360:H1360"/>
    <mergeCell ref="I1360:J1360"/>
    <mergeCell ref="C1361:H1361"/>
    <mergeCell ref="I1361:J1361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1374"/>
  <sheetViews>
    <sheetView zoomScaleNormal="100" workbookViewId="0"/>
  </sheetViews>
  <sheetFormatPr defaultRowHeight="12.75" x14ac:dyDescent="0.2"/>
  <cols>
    <col min="1" max="2" width="5.7109375" customWidth="1"/>
    <col min="3" max="3" width="11.7109375" customWidth="1"/>
    <col min="4" max="4" width="40.7109375" customWidth="1"/>
    <col min="5" max="7" width="11.7109375" customWidth="1"/>
    <col min="8" max="12" width="12.7109375" customWidth="1"/>
    <col min="15" max="28" width="0" hidden="1" customWidth="1"/>
    <col min="29" max="29" width="135.7109375" hidden="1" customWidth="1"/>
    <col min="30" max="31" width="0" hidden="1" customWidth="1"/>
    <col min="32" max="32" width="121.7109375" hidden="1" customWidth="1"/>
    <col min="33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6"/>
      <c r="D2" s="26"/>
      <c r="E2" s="26"/>
      <c r="F2" s="10"/>
      <c r="G2" s="10"/>
      <c r="H2" s="10"/>
      <c r="I2" s="73" t="s">
        <v>1127</v>
      </c>
      <c r="J2" s="73"/>
      <c r="K2" s="73"/>
      <c r="L2" s="73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73" t="s">
        <v>1128</v>
      </c>
      <c r="J3" s="73"/>
      <c r="K3" s="73"/>
      <c r="L3" s="73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73" t="s">
        <v>1129</v>
      </c>
      <c r="J4" s="73"/>
      <c r="K4" s="73"/>
      <c r="L4" s="73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3" t="s">
        <v>1130</v>
      </c>
      <c r="K6" s="63"/>
      <c r="L6" s="63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1131</v>
      </c>
      <c r="J7" s="74" t="s">
        <v>1132</v>
      </c>
      <c r="K7" s="74"/>
      <c r="L7" s="74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3" t="str">
        <f>IF(Source!AT15 &lt;&gt; "", Source!AT15, "")</f>
        <v/>
      </c>
      <c r="K8" s="63"/>
      <c r="L8" s="63"/>
    </row>
    <row r="9" spans="1:12" ht="14.25" x14ac:dyDescent="0.2">
      <c r="A9" s="10" t="s">
        <v>1133</v>
      </c>
      <c r="B9" s="10"/>
      <c r="C9" s="72" t="str">
        <f>IF(Source!BA15 &lt;&gt; "", Source!BA15, IF(Source!AU15 &lt;&gt; "", Source!AU15, ""))</f>
        <v/>
      </c>
      <c r="D9" s="72"/>
      <c r="E9" s="72"/>
      <c r="F9" s="72"/>
      <c r="G9" s="72"/>
      <c r="H9" s="72"/>
      <c r="I9" s="9" t="s">
        <v>1134</v>
      </c>
      <c r="J9" s="63"/>
      <c r="K9" s="63"/>
      <c r="L9" s="63"/>
    </row>
    <row r="10" spans="1:12" ht="14.25" x14ac:dyDescent="0.2">
      <c r="A10" s="10"/>
      <c r="B10" s="10"/>
      <c r="C10" s="41" t="s">
        <v>1135</v>
      </c>
      <c r="D10" s="41"/>
      <c r="E10" s="41"/>
      <c r="F10" s="41"/>
      <c r="G10" s="41"/>
      <c r="H10" s="41"/>
      <c r="I10" s="10"/>
      <c r="J10" s="63" t="str">
        <f>IF(Source!AK15 &lt;&gt; "", Source!AK15, "")</f>
        <v/>
      </c>
      <c r="K10" s="63"/>
      <c r="L10" s="63"/>
    </row>
    <row r="11" spans="1:12" ht="14.25" x14ac:dyDescent="0.2">
      <c r="A11" s="10" t="s">
        <v>1136</v>
      </c>
      <c r="B11" s="10"/>
      <c r="C11" s="72" t="str">
        <f>IF(Source!AX12&lt;&gt; "", Source!AX12, IF(Source!AJ12 &lt;&gt; "", Source!AJ12, ""))</f>
        <v/>
      </c>
      <c r="D11" s="72"/>
      <c r="E11" s="72"/>
      <c r="F11" s="72"/>
      <c r="G11" s="72"/>
      <c r="H11" s="72"/>
      <c r="I11" s="9" t="s">
        <v>1134</v>
      </c>
      <c r="J11" s="63"/>
      <c r="K11" s="63"/>
      <c r="L11" s="63"/>
    </row>
    <row r="12" spans="1:12" ht="14.25" x14ac:dyDescent="0.2">
      <c r="A12" s="10"/>
      <c r="B12" s="10"/>
      <c r="C12" s="41" t="s">
        <v>1135</v>
      </c>
      <c r="D12" s="41"/>
      <c r="E12" s="41"/>
      <c r="F12" s="41"/>
      <c r="G12" s="41"/>
      <c r="H12" s="41"/>
      <c r="I12" s="10"/>
      <c r="J12" s="63" t="str">
        <f>IF(Source!AO15 &lt;&gt; "", Source!AO15, "")</f>
        <v/>
      </c>
      <c r="K12" s="63"/>
      <c r="L12" s="63"/>
    </row>
    <row r="13" spans="1:12" ht="14.25" x14ac:dyDescent="0.2">
      <c r="A13" s="10" t="s">
        <v>1137</v>
      </c>
      <c r="B13" s="10"/>
      <c r="C13" s="72" t="str">
        <f>IF(Source!AY12&lt;&gt; "", Source!AY12, IF(Source!AN12 &lt;&gt; "", Source!AN12, ""))</f>
        <v/>
      </c>
      <c r="D13" s="72"/>
      <c r="E13" s="72"/>
      <c r="F13" s="72"/>
      <c r="G13" s="72"/>
      <c r="H13" s="72"/>
      <c r="I13" s="9" t="s">
        <v>1134</v>
      </c>
      <c r="J13" s="63"/>
      <c r="K13" s="63"/>
      <c r="L13" s="63"/>
    </row>
    <row r="14" spans="1:12" ht="14.25" x14ac:dyDescent="0.2">
      <c r="A14" s="10"/>
      <c r="B14" s="10"/>
      <c r="C14" s="41" t="s">
        <v>1135</v>
      </c>
      <c r="D14" s="41"/>
      <c r="E14" s="41"/>
      <c r="F14" s="41"/>
      <c r="G14" s="41"/>
      <c r="H14" s="41"/>
      <c r="I14" s="10"/>
      <c r="J14" s="63" t="str">
        <f>IF(Source!CO15 &lt;&gt; "", Source!CO15, "")</f>
        <v/>
      </c>
      <c r="K14" s="63"/>
      <c r="L14" s="63"/>
    </row>
    <row r="15" spans="1:12" ht="14.25" x14ac:dyDescent="0.2">
      <c r="A15" s="10" t="s">
        <v>1138</v>
      </c>
      <c r="B15" s="10"/>
      <c r="C15" s="72" t="s">
        <v>5</v>
      </c>
      <c r="D15" s="72"/>
      <c r="E15" s="72"/>
      <c r="F15" s="72"/>
      <c r="G15" s="72"/>
      <c r="H15" s="72"/>
      <c r="I15" s="10"/>
      <c r="J15" s="63"/>
      <c r="K15" s="63"/>
      <c r="L15" s="63"/>
    </row>
    <row r="16" spans="1:12" ht="14.25" x14ac:dyDescent="0.2">
      <c r="A16" s="10"/>
      <c r="B16" s="10"/>
      <c r="C16" s="41" t="s">
        <v>1139</v>
      </c>
      <c r="D16" s="41"/>
      <c r="E16" s="41"/>
      <c r="F16" s="41"/>
      <c r="G16" s="41"/>
      <c r="H16" s="41"/>
      <c r="I16" s="10"/>
      <c r="J16" s="63" t="str">
        <f>IF(Source!CP15 &lt;&gt; "", Source!CP15, "")</f>
        <v/>
      </c>
      <c r="K16" s="63"/>
      <c r="L16" s="63"/>
    </row>
    <row r="17" spans="1:12" ht="14.25" x14ac:dyDescent="0.2">
      <c r="A17" s="10" t="s">
        <v>1140</v>
      </c>
      <c r="B17" s="10"/>
      <c r="C17" s="42" t="str">
        <f>IF(Source!G12&lt;&gt;"Новый объект", Source!G12, "")</f>
        <v>СН_1.5_на 4 мес. (10%) испр.</v>
      </c>
      <c r="D17" s="42"/>
      <c r="E17" s="42"/>
      <c r="F17" s="42"/>
      <c r="G17" s="42"/>
      <c r="H17" s="42"/>
      <c r="I17" s="10"/>
      <c r="J17" s="63"/>
      <c r="K17" s="63"/>
      <c r="L17" s="63"/>
    </row>
    <row r="18" spans="1:12" ht="14.25" x14ac:dyDescent="0.2">
      <c r="A18" s="10"/>
      <c r="B18" s="10"/>
      <c r="C18" s="41" t="s">
        <v>1141</v>
      </c>
      <c r="D18" s="41"/>
      <c r="E18" s="41"/>
      <c r="F18" s="41"/>
      <c r="G18" s="41"/>
      <c r="H18" s="41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55" t="s">
        <v>1142</v>
      </c>
      <c r="H19" s="55"/>
      <c r="I19" s="55"/>
      <c r="J19" s="63" t="str">
        <f>IF(Source!CQ15 &lt;&gt; "", Source!CQ15, "")</f>
        <v/>
      </c>
      <c r="K19" s="63"/>
      <c r="L19" s="63"/>
    </row>
    <row r="20" spans="1:12" ht="14.25" x14ac:dyDescent="0.2">
      <c r="A20" s="10"/>
      <c r="B20" s="10"/>
      <c r="C20" s="10"/>
      <c r="D20" s="10"/>
      <c r="E20" s="10"/>
      <c r="F20" s="10"/>
      <c r="G20" s="55" t="s">
        <v>1143</v>
      </c>
      <c r="H20" s="70"/>
      <c r="I20" s="32" t="s">
        <v>1144</v>
      </c>
      <c r="J20" s="63" t="str">
        <f>IF(Source!CR15 &lt;&gt; "", Source!CR15, "")</f>
        <v/>
      </c>
      <c r="K20" s="63"/>
      <c r="L20" s="63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3" t="s">
        <v>1145</v>
      </c>
      <c r="J21" s="71" t="str">
        <f>IF(Source!CS15 &lt;&gt; 0, Source!CS15, "")</f>
        <v/>
      </c>
      <c r="K21" s="71"/>
      <c r="L21" s="71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1146</v>
      </c>
      <c r="J22" s="63" t="str">
        <f>IF(Source!CT15 &lt;&gt; "", Source!CT15, "")</f>
        <v/>
      </c>
      <c r="K22" s="63"/>
      <c r="L22" s="63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4" t="s">
        <v>1147</v>
      </c>
      <c r="H24" s="66" t="s">
        <v>1148</v>
      </c>
      <c r="I24" s="66" t="s">
        <v>1149</v>
      </c>
      <c r="J24" s="68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5"/>
      <c r="H25" s="67"/>
      <c r="I25" s="36" t="s">
        <v>1150</v>
      </c>
      <c r="J25" s="35" t="s">
        <v>1151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3" t="str">
        <f>IF(Source!CN15 &lt;&gt; "", Source!CN15, "")</f>
        <v/>
      </c>
      <c r="H26" s="37" t="str">
        <f>IF(Source!CX15 &lt;&gt; 0, Source!CX15, "")</f>
        <v/>
      </c>
      <c r="I26" s="34" t="str">
        <f>IF(Source!CV15 &lt;&gt; 0, Source!CV15, "")</f>
        <v/>
      </c>
      <c r="J26" s="34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9" t="s">
        <v>1152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</row>
    <row r="29" spans="1:12" ht="18" x14ac:dyDescent="0.25">
      <c r="A29" s="69" t="s">
        <v>1153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1154</v>
      </c>
      <c r="B31" s="10"/>
      <c r="C31" s="10"/>
      <c r="D31" s="10"/>
      <c r="E31" s="10"/>
      <c r="F31" s="10"/>
      <c r="G31" s="10"/>
      <c r="H31" s="61">
        <f>ROUND((Source!F1063/1000), 2)</f>
        <v>2470.9699999999998</v>
      </c>
      <c r="I31" s="61"/>
      <c r="J31" s="10" t="s">
        <v>1155</v>
      </c>
      <c r="K31" s="10"/>
      <c r="L31" s="10"/>
    </row>
    <row r="32" spans="1:12" ht="14.25" x14ac:dyDescent="0.2">
      <c r="A32" s="10" t="s">
        <v>1099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62" t="s">
        <v>1156</v>
      </c>
      <c r="B33" s="62"/>
      <c r="C33" s="49" t="s">
        <v>1087</v>
      </c>
      <c r="D33" s="49" t="s">
        <v>1088</v>
      </c>
      <c r="E33" s="49" t="s">
        <v>1089</v>
      </c>
      <c r="F33" s="49" t="s">
        <v>1090</v>
      </c>
      <c r="G33" s="49" t="s">
        <v>1091</v>
      </c>
      <c r="H33" s="49" t="s">
        <v>1092</v>
      </c>
      <c r="I33" s="49" t="s">
        <v>1093</v>
      </c>
      <c r="J33" s="49" t="s">
        <v>1094</v>
      </c>
      <c r="K33" s="49" t="s">
        <v>1095</v>
      </c>
      <c r="L33" s="39" t="s">
        <v>1096</v>
      </c>
    </row>
    <row r="34" spans="1:22" ht="28.5" x14ac:dyDescent="0.2">
      <c r="A34" s="60" t="s">
        <v>1157</v>
      </c>
      <c r="B34" s="60" t="s">
        <v>1158</v>
      </c>
      <c r="C34" s="50"/>
      <c r="D34" s="50"/>
      <c r="E34" s="50"/>
      <c r="F34" s="50"/>
      <c r="G34" s="50"/>
      <c r="H34" s="50"/>
      <c r="I34" s="50"/>
      <c r="J34" s="50"/>
      <c r="K34" s="50"/>
      <c r="L34" s="38" t="s">
        <v>1097</v>
      </c>
    </row>
    <row r="35" spans="1:22" ht="28.5" x14ac:dyDescent="0.2">
      <c r="A35" s="60"/>
      <c r="B35" s="60"/>
      <c r="C35" s="50"/>
      <c r="D35" s="50"/>
      <c r="E35" s="50"/>
      <c r="F35" s="50"/>
      <c r="G35" s="50"/>
      <c r="H35" s="50"/>
      <c r="I35" s="50"/>
      <c r="J35" s="50"/>
      <c r="K35" s="50"/>
      <c r="L35" s="38" t="s">
        <v>1098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8" spans="1:22" ht="16.5" x14ac:dyDescent="0.25">
      <c r="A38" s="48" t="str">
        <f>CONCATENATE("Локальная смета: ",IF(Source!G20&lt;&gt;"Новая локальная смета", Source!G20, ""))</f>
        <v xml:space="preserve">Локальная смета: 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40" spans="1:22" ht="16.5" x14ac:dyDescent="0.25">
      <c r="A40" s="48" t="str">
        <f>CONCATENATE("Раздел: ",IF(Source!G24&lt;&gt;"Новый раздел", Source!G24, ""))</f>
        <v>Раздел: 1. Система водоснабжение и водоотведение.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</row>
    <row r="42" spans="1:22" ht="16.5" x14ac:dyDescent="0.25">
      <c r="A42" s="48" t="str">
        <f>CONCATENATE("Подраздел: ",IF(Source!G28&lt;&gt;"Новый подраздел", Source!G28, ""))</f>
        <v>Подраздел: Водомерный узел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</row>
    <row r="43" spans="1:22" ht="42.75" x14ac:dyDescent="0.2">
      <c r="A43" s="18">
        <v>1</v>
      </c>
      <c r="B43" s="18">
        <v>1</v>
      </c>
      <c r="C43" s="18" t="str">
        <f>Source!F32</f>
        <v>1.23-2103-39-2/1</v>
      </c>
      <c r="D43" s="18" t="str">
        <f>Source!G32</f>
        <v>Техническое обслуживание счетчиков холодной и горячей воды условным диаметром 25-40 мм.</v>
      </c>
      <c r="E43" s="19" t="str">
        <f>Source!H32</f>
        <v>шт.</v>
      </c>
      <c r="F43" s="9">
        <f>Source!I32</f>
        <v>1</v>
      </c>
      <c r="G43" s="21"/>
      <c r="H43" s="20"/>
      <c r="I43" s="9"/>
      <c r="J43" s="9"/>
      <c r="K43" s="21"/>
      <c r="L43" s="21"/>
      <c r="Q43">
        <f>ROUND((Source!BZ32/100)*ROUND((Source!AF32*Source!AV32)*Source!I32, 2), 2)</f>
        <v>818.52</v>
      </c>
      <c r="R43">
        <f>Source!X32</f>
        <v>818.52</v>
      </c>
      <c r="S43">
        <f>ROUND((Source!CA32/100)*ROUND((Source!AF32*Source!AV32)*Source!I32, 2), 2)</f>
        <v>116.93</v>
      </c>
      <c r="T43">
        <f>Source!Y32</f>
        <v>116.93</v>
      </c>
      <c r="U43">
        <f>ROUND((175/100)*ROUND((Source!AE32*Source!AV32)*Source!I32, 2), 2)</f>
        <v>0</v>
      </c>
      <c r="V43">
        <f>ROUND((108/100)*ROUND(Source!CS32*Source!I32, 2), 2)</f>
        <v>0</v>
      </c>
    </row>
    <row r="44" spans="1:22" ht="14.25" x14ac:dyDescent="0.2">
      <c r="A44" s="18"/>
      <c r="B44" s="18"/>
      <c r="C44" s="18"/>
      <c r="D44" s="18" t="s">
        <v>1100</v>
      </c>
      <c r="E44" s="19"/>
      <c r="F44" s="9"/>
      <c r="G44" s="21">
        <f>Source!AO32</f>
        <v>1169.31</v>
      </c>
      <c r="H44" s="20" t="str">
        <f>Source!DG32</f>
        <v/>
      </c>
      <c r="I44" s="9">
        <f>Source!AV32</f>
        <v>1</v>
      </c>
      <c r="J44" s="9">
        <f>IF(Source!BA32&lt;&gt; 0, Source!BA32, 1)</f>
        <v>1</v>
      </c>
      <c r="K44" s="21">
        <f>Source!S32</f>
        <v>1169.31</v>
      </c>
      <c r="L44" s="21"/>
    </row>
    <row r="45" spans="1:22" ht="14.25" x14ac:dyDescent="0.2">
      <c r="A45" s="18"/>
      <c r="B45" s="18"/>
      <c r="C45" s="18"/>
      <c r="D45" s="18" t="s">
        <v>1101</v>
      </c>
      <c r="E45" s="19"/>
      <c r="F45" s="9"/>
      <c r="G45" s="21">
        <f>Source!AL32</f>
        <v>0.19</v>
      </c>
      <c r="H45" s="20" t="str">
        <f>Source!DD32</f>
        <v/>
      </c>
      <c r="I45" s="9">
        <f>Source!AW32</f>
        <v>1</v>
      </c>
      <c r="J45" s="9">
        <f>IF(Source!BC32&lt;&gt; 0, Source!BC32, 1)</f>
        <v>1</v>
      </c>
      <c r="K45" s="21">
        <f>Source!P32</f>
        <v>0.19</v>
      </c>
      <c r="L45" s="21"/>
    </row>
    <row r="46" spans="1:22" ht="14.25" x14ac:dyDescent="0.2">
      <c r="A46" s="18"/>
      <c r="B46" s="18"/>
      <c r="C46" s="18"/>
      <c r="D46" s="18" t="s">
        <v>1102</v>
      </c>
      <c r="E46" s="19" t="s">
        <v>1103</v>
      </c>
      <c r="F46" s="9">
        <f>Source!AT32</f>
        <v>70</v>
      </c>
      <c r="G46" s="21"/>
      <c r="H46" s="20"/>
      <c r="I46" s="9"/>
      <c r="J46" s="9"/>
      <c r="K46" s="21">
        <f>SUM(R43:R45)</f>
        <v>818.52</v>
      </c>
      <c r="L46" s="21"/>
    </row>
    <row r="47" spans="1:22" ht="14.25" x14ac:dyDescent="0.2">
      <c r="A47" s="18"/>
      <c r="B47" s="18"/>
      <c r="C47" s="18"/>
      <c r="D47" s="18" t="s">
        <v>1104</v>
      </c>
      <c r="E47" s="19" t="s">
        <v>1103</v>
      </c>
      <c r="F47" s="9">
        <f>Source!AU32</f>
        <v>10</v>
      </c>
      <c r="G47" s="21"/>
      <c r="H47" s="20"/>
      <c r="I47" s="9"/>
      <c r="J47" s="9"/>
      <c r="K47" s="21">
        <f>SUM(T43:T46)</f>
        <v>116.93</v>
      </c>
      <c r="L47" s="21"/>
    </row>
    <row r="48" spans="1:22" ht="14.25" x14ac:dyDescent="0.2">
      <c r="A48" s="18"/>
      <c r="B48" s="18"/>
      <c r="C48" s="18"/>
      <c r="D48" s="18" t="s">
        <v>1105</v>
      </c>
      <c r="E48" s="19" t="s">
        <v>1106</v>
      </c>
      <c r="F48" s="9">
        <f>Source!AQ32</f>
        <v>2.08</v>
      </c>
      <c r="G48" s="21"/>
      <c r="H48" s="20" t="str">
        <f>Source!DI32</f>
        <v/>
      </c>
      <c r="I48" s="9">
        <f>Source!AV32</f>
        <v>1</v>
      </c>
      <c r="J48" s="9"/>
      <c r="K48" s="21"/>
      <c r="L48" s="21">
        <f>Source!U32</f>
        <v>2.08</v>
      </c>
    </row>
    <row r="49" spans="1:22" ht="15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44">
        <f>K44+K45+K46+K47</f>
        <v>2104.9499999999998</v>
      </c>
      <c r="K49" s="44"/>
      <c r="L49" s="24">
        <f>IF(Source!I32&lt;&gt;0, ROUND(J49/Source!I32, 2), 0)</f>
        <v>2104.9499999999998</v>
      </c>
      <c r="P49" s="22">
        <f>J49</f>
        <v>2104.9499999999998</v>
      </c>
    </row>
    <row r="50" spans="1:22" ht="71.25" x14ac:dyDescent="0.2">
      <c r="A50" s="18">
        <v>2</v>
      </c>
      <c r="B50" s="18">
        <v>2</v>
      </c>
      <c r="C50" s="18" t="str">
        <f>Source!F34</f>
        <v>1.23-2103-41-1/1</v>
      </c>
      <c r="D50" s="18" t="str">
        <f>Source!G34</f>
        <v>Техническое обслуживание регулирующего клапана / Вентиль запорный муфтовый 15ч8р2 d=15 мм  , Трехходовой кран 14м1, Ру=1,6Мпа d=15 мм ТУ 26-07-1061-73</v>
      </c>
      <c r="E50" s="19" t="str">
        <f>Source!H34</f>
        <v>шт.</v>
      </c>
      <c r="F50" s="9">
        <f>Source!I34</f>
        <v>2</v>
      </c>
      <c r="G50" s="21"/>
      <c r="H50" s="20"/>
      <c r="I50" s="9"/>
      <c r="J50" s="9"/>
      <c r="K50" s="21"/>
      <c r="L50" s="21"/>
      <c r="Q50">
        <f>ROUND((Source!BZ34/100)*ROUND((Source!AF34*Source!AV34)*Source!I34, 2), 2)</f>
        <v>291.2</v>
      </c>
      <c r="R50">
        <f>Source!X34</f>
        <v>291.2</v>
      </c>
      <c r="S50">
        <f>ROUND((Source!CA34/100)*ROUND((Source!AF34*Source!AV34)*Source!I34, 2), 2)</f>
        <v>41.6</v>
      </c>
      <c r="T50">
        <f>Source!Y34</f>
        <v>41.6</v>
      </c>
      <c r="U50">
        <f>ROUND((175/100)*ROUND((Source!AE34*Source!AV34)*Source!I34, 2), 2)</f>
        <v>173.5</v>
      </c>
      <c r="V50">
        <f>ROUND((108/100)*ROUND(Source!CS34*Source!I34, 2), 2)</f>
        <v>107.07</v>
      </c>
    </row>
    <row r="51" spans="1:22" ht="14.25" x14ac:dyDescent="0.2">
      <c r="A51" s="18"/>
      <c r="B51" s="18"/>
      <c r="C51" s="18"/>
      <c r="D51" s="18" t="s">
        <v>1100</v>
      </c>
      <c r="E51" s="19"/>
      <c r="F51" s="9"/>
      <c r="G51" s="21">
        <f>Source!AO34</f>
        <v>208</v>
      </c>
      <c r="H51" s="20" t="str">
        <f>Source!DG34</f>
        <v/>
      </c>
      <c r="I51" s="9">
        <f>Source!AV34</f>
        <v>1</v>
      </c>
      <c r="J51" s="9">
        <f>IF(Source!BA34&lt;&gt; 0, Source!BA34, 1)</f>
        <v>1</v>
      </c>
      <c r="K51" s="21">
        <f>Source!S34</f>
        <v>416</v>
      </c>
      <c r="L51" s="21"/>
    </row>
    <row r="52" spans="1:22" ht="14.25" x14ac:dyDescent="0.2">
      <c r="A52" s="18"/>
      <c r="B52" s="18"/>
      <c r="C52" s="18"/>
      <c r="D52" s="18" t="s">
        <v>1107</v>
      </c>
      <c r="E52" s="19"/>
      <c r="F52" s="9"/>
      <c r="G52" s="21">
        <f>Source!AM34</f>
        <v>78.180000000000007</v>
      </c>
      <c r="H52" s="20" t="str">
        <f>Source!DE34</f>
        <v/>
      </c>
      <c r="I52" s="9">
        <f>Source!AV34</f>
        <v>1</v>
      </c>
      <c r="J52" s="9">
        <f>IF(Source!BB34&lt;&gt; 0, Source!BB34, 1)</f>
        <v>1</v>
      </c>
      <c r="K52" s="21">
        <f>Source!Q34</f>
        <v>156.36000000000001</v>
      </c>
      <c r="L52" s="21"/>
    </row>
    <row r="53" spans="1:22" ht="14.25" x14ac:dyDescent="0.2">
      <c r="A53" s="18"/>
      <c r="B53" s="18"/>
      <c r="C53" s="18"/>
      <c r="D53" s="18" t="s">
        <v>1108</v>
      </c>
      <c r="E53" s="19"/>
      <c r="F53" s="9"/>
      <c r="G53" s="21">
        <f>Source!AN34</f>
        <v>49.57</v>
      </c>
      <c r="H53" s="20" t="str">
        <f>Source!DF34</f>
        <v/>
      </c>
      <c r="I53" s="9">
        <f>Source!AV34</f>
        <v>1</v>
      </c>
      <c r="J53" s="9">
        <f>IF(Source!BS34&lt;&gt; 0, Source!BS34, 1)</f>
        <v>1</v>
      </c>
      <c r="K53" s="25">
        <f>Source!R34</f>
        <v>99.14</v>
      </c>
      <c r="L53" s="21"/>
    </row>
    <row r="54" spans="1:22" ht="14.25" x14ac:dyDescent="0.2">
      <c r="A54" s="18"/>
      <c r="B54" s="18"/>
      <c r="C54" s="18"/>
      <c r="D54" s="18" t="s">
        <v>1102</v>
      </c>
      <c r="E54" s="19" t="s">
        <v>1103</v>
      </c>
      <c r="F54" s="9">
        <f>Source!AT34</f>
        <v>70</v>
      </c>
      <c r="G54" s="21"/>
      <c r="H54" s="20"/>
      <c r="I54" s="9"/>
      <c r="J54" s="9"/>
      <c r="K54" s="21">
        <f>SUM(R50:R53)</f>
        <v>291.2</v>
      </c>
      <c r="L54" s="21"/>
    </row>
    <row r="55" spans="1:22" ht="14.25" x14ac:dyDescent="0.2">
      <c r="A55" s="18"/>
      <c r="B55" s="18"/>
      <c r="C55" s="18"/>
      <c r="D55" s="18" t="s">
        <v>1104</v>
      </c>
      <c r="E55" s="19" t="s">
        <v>1103</v>
      </c>
      <c r="F55" s="9">
        <f>Source!AU34</f>
        <v>10</v>
      </c>
      <c r="G55" s="21"/>
      <c r="H55" s="20"/>
      <c r="I55" s="9"/>
      <c r="J55" s="9"/>
      <c r="K55" s="21">
        <f>SUM(T50:T54)</f>
        <v>41.6</v>
      </c>
      <c r="L55" s="21"/>
    </row>
    <row r="56" spans="1:22" ht="14.25" x14ac:dyDescent="0.2">
      <c r="A56" s="18"/>
      <c r="B56" s="18"/>
      <c r="C56" s="18"/>
      <c r="D56" s="18" t="s">
        <v>1109</v>
      </c>
      <c r="E56" s="19" t="s">
        <v>1103</v>
      </c>
      <c r="F56" s="9">
        <f>108</f>
        <v>108</v>
      </c>
      <c r="G56" s="21"/>
      <c r="H56" s="20"/>
      <c r="I56" s="9"/>
      <c r="J56" s="9"/>
      <c r="K56" s="21">
        <f>SUM(V50:V55)</f>
        <v>107.07</v>
      </c>
      <c r="L56" s="21"/>
    </row>
    <row r="57" spans="1:22" ht="14.25" x14ac:dyDescent="0.2">
      <c r="A57" s="18"/>
      <c r="B57" s="18"/>
      <c r="C57" s="18"/>
      <c r="D57" s="18" t="s">
        <v>1105</v>
      </c>
      <c r="E57" s="19" t="s">
        <v>1106</v>
      </c>
      <c r="F57" s="9">
        <f>Source!AQ34</f>
        <v>0.37</v>
      </c>
      <c r="G57" s="21"/>
      <c r="H57" s="20" t="str">
        <f>Source!DI34</f>
        <v/>
      </c>
      <c r="I57" s="9">
        <f>Source!AV34</f>
        <v>1</v>
      </c>
      <c r="J57" s="9"/>
      <c r="K57" s="21"/>
      <c r="L57" s="21">
        <f>Source!U34</f>
        <v>0.74</v>
      </c>
    </row>
    <row r="58" spans="1:22" ht="1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44">
        <f>K51+K52+K54+K55+K56</f>
        <v>1012.23</v>
      </c>
      <c r="K58" s="44"/>
      <c r="L58" s="24">
        <f>IF(Source!I34&lt;&gt;0, ROUND(J58/Source!I34, 2), 0)</f>
        <v>506.12</v>
      </c>
      <c r="P58" s="22">
        <f>J58</f>
        <v>1012.23</v>
      </c>
    </row>
    <row r="60" spans="1:22" ht="15" x14ac:dyDescent="0.25">
      <c r="A60" s="46" t="str">
        <f>CONCATENATE("Итого по подразделу: ",IF(Source!G37&lt;&gt;"Новый подраздел", Source!G37, ""))</f>
        <v>Итого по подразделу: Водомерный узел</v>
      </c>
      <c r="B60" s="46"/>
      <c r="C60" s="46"/>
      <c r="D60" s="46"/>
      <c r="E60" s="46"/>
      <c r="F60" s="46"/>
      <c r="G60" s="46"/>
      <c r="H60" s="46"/>
      <c r="I60" s="46"/>
      <c r="J60" s="45">
        <f>SUM(P42:P59)</f>
        <v>3117.18</v>
      </c>
      <c r="K60" s="59"/>
      <c r="L60" s="26"/>
    </row>
    <row r="63" spans="1:22" ht="16.5" x14ac:dyDescent="0.25">
      <c r="A63" s="48" t="str">
        <f>CONCATENATE("Подраздел: ",IF(Source!G67&lt;&gt;"Новый подраздел", Source!G67, ""))</f>
        <v>Подраздел: Хозяйственно-питьевой водопровод холодной воды В1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</row>
    <row r="64" spans="1:22" ht="42.75" x14ac:dyDescent="0.2">
      <c r="A64" s="18">
        <v>3</v>
      </c>
      <c r="B64" s="18">
        <v>3</v>
      </c>
      <c r="C64" s="18" t="str">
        <f>Source!F71</f>
        <v>1.15-2203-7-1/1</v>
      </c>
      <c r="D64" s="18" t="str">
        <f>Source!G71</f>
        <v>Техническое обслуживание крана шарового латунного никелированного диаметром до 25 мм</v>
      </c>
      <c r="E64" s="19" t="str">
        <f>Source!H71</f>
        <v>10 шт.</v>
      </c>
      <c r="F64" s="9">
        <f>Source!I71</f>
        <v>4.7</v>
      </c>
      <c r="G64" s="21"/>
      <c r="H64" s="20"/>
      <c r="I64" s="9"/>
      <c r="J64" s="9"/>
      <c r="K64" s="21"/>
      <c r="L64" s="21"/>
      <c r="Q64">
        <f>ROUND((Source!BZ71/100)*ROUND((Source!AF71*Source!AV71)*Source!I71, 2), 2)</f>
        <v>914.19</v>
      </c>
      <c r="R64">
        <f>Source!X71</f>
        <v>914.19</v>
      </c>
      <c r="S64">
        <f>ROUND((Source!CA71/100)*ROUND((Source!AF71*Source!AV71)*Source!I71, 2), 2)</f>
        <v>130.6</v>
      </c>
      <c r="T64">
        <f>Source!Y71</f>
        <v>130.6</v>
      </c>
      <c r="U64">
        <f>ROUND((175/100)*ROUND((Source!AE71*Source!AV71)*Source!I71, 2), 2)</f>
        <v>0</v>
      </c>
      <c r="V64">
        <f>ROUND((108/100)*ROUND(Source!CS71*Source!I71, 2), 2)</f>
        <v>0</v>
      </c>
    </row>
    <row r="65" spans="1:22" x14ac:dyDescent="0.2">
      <c r="D65" s="28" t="str">
        <f>"Объем: "&amp;Source!I71&amp;"=(34+"&amp;"13)/"&amp;"10"</f>
        <v>Объем: 4,7=(34+13)/10</v>
      </c>
    </row>
    <row r="66" spans="1:22" ht="14.25" x14ac:dyDescent="0.2">
      <c r="A66" s="18"/>
      <c r="B66" s="18"/>
      <c r="C66" s="18"/>
      <c r="D66" s="18" t="s">
        <v>1100</v>
      </c>
      <c r="E66" s="19"/>
      <c r="F66" s="9"/>
      <c r="G66" s="21">
        <f>Source!AO71</f>
        <v>277.87</v>
      </c>
      <c r="H66" s="20" t="str">
        <f>Source!DG71</f>
        <v/>
      </c>
      <c r="I66" s="9">
        <f>Source!AV71</f>
        <v>1</v>
      </c>
      <c r="J66" s="9">
        <f>IF(Source!BA71&lt;&gt; 0, Source!BA71, 1)</f>
        <v>1</v>
      </c>
      <c r="K66" s="21">
        <f>Source!S71</f>
        <v>1305.99</v>
      </c>
      <c r="L66" s="21"/>
    </row>
    <row r="67" spans="1:22" ht="14.25" x14ac:dyDescent="0.2">
      <c r="A67" s="18"/>
      <c r="B67" s="18"/>
      <c r="C67" s="18"/>
      <c r="D67" s="18" t="s">
        <v>1102</v>
      </c>
      <c r="E67" s="19" t="s">
        <v>1103</v>
      </c>
      <c r="F67" s="9">
        <f>Source!AT71</f>
        <v>70</v>
      </c>
      <c r="G67" s="21"/>
      <c r="H67" s="20"/>
      <c r="I67" s="9"/>
      <c r="J67" s="9"/>
      <c r="K67" s="21">
        <f>SUM(R64:R66)</f>
        <v>914.19</v>
      </c>
      <c r="L67" s="21"/>
    </row>
    <row r="68" spans="1:22" ht="14.25" x14ac:dyDescent="0.2">
      <c r="A68" s="18"/>
      <c r="B68" s="18"/>
      <c r="C68" s="18"/>
      <c r="D68" s="18" t="s">
        <v>1104</v>
      </c>
      <c r="E68" s="19" t="s">
        <v>1103</v>
      </c>
      <c r="F68" s="9">
        <f>Source!AU71</f>
        <v>10</v>
      </c>
      <c r="G68" s="21"/>
      <c r="H68" s="20"/>
      <c r="I68" s="9"/>
      <c r="J68" s="9"/>
      <c r="K68" s="21">
        <f>SUM(T64:T67)</f>
        <v>130.6</v>
      </c>
      <c r="L68" s="21"/>
    </row>
    <row r="69" spans="1:22" ht="14.25" x14ac:dyDescent="0.2">
      <c r="A69" s="18"/>
      <c r="B69" s="18"/>
      <c r="C69" s="18"/>
      <c r="D69" s="18" t="s">
        <v>1105</v>
      </c>
      <c r="E69" s="19" t="s">
        <v>1106</v>
      </c>
      <c r="F69" s="9">
        <f>Source!AQ71</f>
        <v>0.45</v>
      </c>
      <c r="G69" s="21"/>
      <c r="H69" s="20" t="str">
        <f>Source!DI71</f>
        <v/>
      </c>
      <c r="I69" s="9">
        <f>Source!AV71</f>
        <v>1</v>
      </c>
      <c r="J69" s="9"/>
      <c r="K69" s="21"/>
      <c r="L69" s="21">
        <f>Source!U71</f>
        <v>2.1150000000000002</v>
      </c>
    </row>
    <row r="70" spans="1:22" ht="15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44">
        <f>K66+K67+K68</f>
        <v>2350.7800000000002</v>
      </c>
      <c r="K70" s="44"/>
      <c r="L70" s="24">
        <f>IF(Source!I71&lt;&gt;0, ROUND(J70/Source!I71, 2), 0)</f>
        <v>500.17</v>
      </c>
      <c r="P70" s="22">
        <f>J70</f>
        <v>2350.7800000000002</v>
      </c>
    </row>
    <row r="71" spans="1:22" ht="42.75" x14ac:dyDescent="0.2">
      <c r="A71" s="18">
        <v>4</v>
      </c>
      <c r="B71" s="18">
        <v>4</v>
      </c>
      <c r="C71" s="18" t="str">
        <f>Source!F72</f>
        <v>1.15-2203-7-2/1</v>
      </c>
      <c r="D71" s="18" t="str">
        <f>Source!G72</f>
        <v>Техническое обслуживание крана шарового латунного никелированного диаметром до 50 мм</v>
      </c>
      <c r="E71" s="19" t="str">
        <f>Source!H72</f>
        <v>10 шт.</v>
      </c>
      <c r="F71" s="9">
        <f>Source!I72</f>
        <v>0.3</v>
      </c>
      <c r="G71" s="21"/>
      <c r="H71" s="20"/>
      <c r="I71" s="9"/>
      <c r="J71" s="9"/>
      <c r="K71" s="21"/>
      <c r="L71" s="21"/>
      <c r="Q71">
        <f>ROUND((Source!BZ72/100)*ROUND((Source!AF72*Source!AV72)*Source!I72, 2), 2)</f>
        <v>79.099999999999994</v>
      </c>
      <c r="R71">
        <f>Source!X72</f>
        <v>79.099999999999994</v>
      </c>
      <c r="S71">
        <f>ROUND((Source!CA72/100)*ROUND((Source!AF72*Source!AV72)*Source!I72, 2), 2)</f>
        <v>11.3</v>
      </c>
      <c r="T71">
        <f>Source!Y72</f>
        <v>11.3</v>
      </c>
      <c r="U71">
        <f>ROUND((175/100)*ROUND((Source!AE72*Source!AV72)*Source!I72, 2), 2)</f>
        <v>0</v>
      </c>
      <c r="V71">
        <f>ROUND((108/100)*ROUND(Source!CS72*Source!I72, 2), 2)</f>
        <v>0</v>
      </c>
    </row>
    <row r="72" spans="1:22" x14ac:dyDescent="0.2">
      <c r="D72" s="28" t="str">
        <f>"Объем: "&amp;Source!I72&amp;"=3/"&amp;"10"</f>
        <v>Объем: 0,3=3/10</v>
      </c>
    </row>
    <row r="73" spans="1:22" ht="14.25" x14ac:dyDescent="0.2">
      <c r="A73" s="18"/>
      <c r="B73" s="18"/>
      <c r="C73" s="18"/>
      <c r="D73" s="18" t="s">
        <v>1100</v>
      </c>
      <c r="E73" s="19"/>
      <c r="F73" s="9"/>
      <c r="G73" s="21">
        <f>Source!AO72</f>
        <v>376.67</v>
      </c>
      <c r="H73" s="20" t="str">
        <f>Source!DG72</f>
        <v/>
      </c>
      <c r="I73" s="9">
        <f>Source!AV72</f>
        <v>1</v>
      </c>
      <c r="J73" s="9">
        <f>IF(Source!BA72&lt;&gt; 0, Source!BA72, 1)</f>
        <v>1</v>
      </c>
      <c r="K73" s="21">
        <f>Source!S72</f>
        <v>113</v>
      </c>
      <c r="L73" s="21"/>
    </row>
    <row r="74" spans="1:22" ht="14.25" x14ac:dyDescent="0.2">
      <c r="A74" s="18"/>
      <c r="B74" s="18"/>
      <c r="C74" s="18"/>
      <c r="D74" s="18" t="s">
        <v>1102</v>
      </c>
      <c r="E74" s="19" t="s">
        <v>1103</v>
      </c>
      <c r="F74" s="9">
        <f>Source!AT72</f>
        <v>70</v>
      </c>
      <c r="G74" s="21"/>
      <c r="H74" s="20"/>
      <c r="I74" s="9"/>
      <c r="J74" s="9"/>
      <c r="K74" s="21">
        <f>SUM(R71:R73)</f>
        <v>79.099999999999994</v>
      </c>
      <c r="L74" s="21"/>
    </row>
    <row r="75" spans="1:22" ht="14.25" x14ac:dyDescent="0.2">
      <c r="A75" s="18"/>
      <c r="B75" s="18"/>
      <c r="C75" s="18"/>
      <c r="D75" s="18" t="s">
        <v>1104</v>
      </c>
      <c r="E75" s="19" t="s">
        <v>1103</v>
      </c>
      <c r="F75" s="9">
        <f>Source!AU72</f>
        <v>10</v>
      </c>
      <c r="G75" s="21"/>
      <c r="H75" s="20"/>
      <c r="I75" s="9"/>
      <c r="J75" s="9"/>
      <c r="K75" s="21">
        <f>SUM(T71:T74)</f>
        <v>11.3</v>
      </c>
      <c r="L75" s="21"/>
    </row>
    <row r="76" spans="1:22" ht="14.25" x14ac:dyDescent="0.2">
      <c r="A76" s="18"/>
      <c r="B76" s="18"/>
      <c r="C76" s="18"/>
      <c r="D76" s="18" t="s">
        <v>1105</v>
      </c>
      <c r="E76" s="19" t="s">
        <v>1106</v>
      </c>
      <c r="F76" s="9">
        <f>Source!AQ72</f>
        <v>0.61</v>
      </c>
      <c r="G76" s="21"/>
      <c r="H76" s="20" t="str">
        <f>Source!DI72</f>
        <v/>
      </c>
      <c r="I76" s="9">
        <f>Source!AV72</f>
        <v>1</v>
      </c>
      <c r="J76" s="9"/>
      <c r="K76" s="21"/>
      <c r="L76" s="21">
        <f>Source!U72</f>
        <v>0.183</v>
      </c>
    </row>
    <row r="77" spans="1:22" ht="15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44">
        <f>K73+K74+K75</f>
        <v>203.4</v>
      </c>
      <c r="K77" s="44"/>
      <c r="L77" s="24">
        <f>IF(Source!I72&lt;&gt;0, ROUND(J77/Source!I72, 2), 0)</f>
        <v>678</v>
      </c>
      <c r="P77" s="22">
        <f>J77</f>
        <v>203.4</v>
      </c>
    </row>
    <row r="78" spans="1:22" ht="71.25" x14ac:dyDescent="0.2">
      <c r="A78" s="18">
        <v>5</v>
      </c>
      <c r="B78" s="18">
        <v>5</v>
      </c>
      <c r="C78" s="18" t="str">
        <f>Source!F73</f>
        <v>1.23-2103-41-1/1</v>
      </c>
      <c r="D78" s="18" t="str">
        <f>Source!G73</f>
        <v>Техническое обслуживание регулирующего клапана / Смеситель локтевой однорычажный для умывальника ,  Смеситель настенный для душевого поддона</v>
      </c>
      <c r="E78" s="19" t="str">
        <f>Source!H73</f>
        <v>шт.</v>
      </c>
      <c r="F78" s="9">
        <f>Source!I73</f>
        <v>24</v>
      </c>
      <c r="G78" s="21"/>
      <c r="H78" s="20"/>
      <c r="I78" s="9"/>
      <c r="J78" s="9"/>
      <c r="K78" s="21"/>
      <c r="L78" s="21"/>
      <c r="Q78">
        <f>ROUND((Source!BZ73/100)*ROUND((Source!AF73*Source!AV73)*Source!I73, 2), 2)</f>
        <v>3494.4</v>
      </c>
      <c r="R78">
        <f>Source!X73</f>
        <v>3494.4</v>
      </c>
      <c r="S78">
        <f>ROUND((Source!CA73/100)*ROUND((Source!AF73*Source!AV73)*Source!I73, 2), 2)</f>
        <v>499.2</v>
      </c>
      <c r="T78">
        <f>Source!Y73</f>
        <v>499.2</v>
      </c>
      <c r="U78">
        <f>ROUND((175/100)*ROUND((Source!AE73*Source!AV73)*Source!I73, 2), 2)</f>
        <v>2081.94</v>
      </c>
      <c r="V78">
        <f>ROUND((108/100)*ROUND(Source!CS73*Source!I73, 2), 2)</f>
        <v>1284.8499999999999</v>
      </c>
    </row>
    <row r="79" spans="1:22" x14ac:dyDescent="0.2">
      <c r="D79" s="28" t="str">
        <f>"Объем: "&amp;Source!I73&amp;"=14+"&amp;"10"</f>
        <v>Объем: 24=14+10</v>
      </c>
    </row>
    <row r="80" spans="1:22" ht="14.25" x14ac:dyDescent="0.2">
      <c r="A80" s="18"/>
      <c r="B80" s="18"/>
      <c r="C80" s="18"/>
      <c r="D80" s="18" t="s">
        <v>1100</v>
      </c>
      <c r="E80" s="19"/>
      <c r="F80" s="9"/>
      <c r="G80" s="21">
        <f>Source!AO73</f>
        <v>208</v>
      </c>
      <c r="H80" s="20" t="str">
        <f>Source!DG73</f>
        <v/>
      </c>
      <c r="I80" s="9">
        <f>Source!AV73</f>
        <v>1</v>
      </c>
      <c r="J80" s="9">
        <f>IF(Source!BA73&lt;&gt; 0, Source!BA73, 1)</f>
        <v>1</v>
      </c>
      <c r="K80" s="21">
        <f>Source!S73</f>
        <v>4992</v>
      </c>
      <c r="L80" s="21"/>
    </row>
    <row r="81" spans="1:22" ht="14.25" x14ac:dyDescent="0.2">
      <c r="A81" s="18"/>
      <c r="B81" s="18"/>
      <c r="C81" s="18"/>
      <c r="D81" s="18" t="s">
        <v>1107</v>
      </c>
      <c r="E81" s="19"/>
      <c r="F81" s="9"/>
      <c r="G81" s="21">
        <f>Source!AM73</f>
        <v>78.180000000000007</v>
      </c>
      <c r="H81" s="20" t="str">
        <f>Source!DE73</f>
        <v/>
      </c>
      <c r="I81" s="9">
        <f>Source!AV73</f>
        <v>1</v>
      </c>
      <c r="J81" s="9">
        <f>IF(Source!BB73&lt;&gt; 0, Source!BB73, 1)</f>
        <v>1</v>
      </c>
      <c r="K81" s="21">
        <f>Source!Q73</f>
        <v>1876.32</v>
      </c>
      <c r="L81" s="21"/>
    </row>
    <row r="82" spans="1:22" ht="14.25" x14ac:dyDescent="0.2">
      <c r="A82" s="18"/>
      <c r="B82" s="18"/>
      <c r="C82" s="18"/>
      <c r="D82" s="18" t="s">
        <v>1108</v>
      </c>
      <c r="E82" s="19"/>
      <c r="F82" s="9"/>
      <c r="G82" s="21">
        <f>Source!AN73</f>
        <v>49.57</v>
      </c>
      <c r="H82" s="20" t="str">
        <f>Source!DF73</f>
        <v/>
      </c>
      <c r="I82" s="9">
        <f>Source!AV73</f>
        <v>1</v>
      </c>
      <c r="J82" s="9">
        <f>IF(Source!BS73&lt;&gt; 0, Source!BS73, 1)</f>
        <v>1</v>
      </c>
      <c r="K82" s="25">
        <f>Source!R73</f>
        <v>1189.68</v>
      </c>
      <c r="L82" s="21"/>
    </row>
    <row r="83" spans="1:22" ht="14.25" x14ac:dyDescent="0.2">
      <c r="A83" s="18"/>
      <c r="B83" s="18"/>
      <c r="C83" s="18"/>
      <c r="D83" s="18" t="s">
        <v>1102</v>
      </c>
      <c r="E83" s="19" t="s">
        <v>1103</v>
      </c>
      <c r="F83" s="9">
        <f>Source!AT73</f>
        <v>70</v>
      </c>
      <c r="G83" s="21"/>
      <c r="H83" s="20"/>
      <c r="I83" s="9"/>
      <c r="J83" s="9"/>
      <c r="K83" s="21">
        <f>SUM(R78:R82)</f>
        <v>3494.4</v>
      </c>
      <c r="L83" s="21"/>
    </row>
    <row r="84" spans="1:22" ht="14.25" x14ac:dyDescent="0.2">
      <c r="A84" s="18"/>
      <c r="B84" s="18"/>
      <c r="C84" s="18"/>
      <c r="D84" s="18" t="s">
        <v>1104</v>
      </c>
      <c r="E84" s="19" t="s">
        <v>1103</v>
      </c>
      <c r="F84" s="9">
        <f>Source!AU73</f>
        <v>10</v>
      </c>
      <c r="G84" s="21"/>
      <c r="H84" s="20"/>
      <c r="I84" s="9"/>
      <c r="J84" s="9"/>
      <c r="K84" s="21">
        <f>SUM(T78:T83)</f>
        <v>499.2</v>
      </c>
      <c r="L84" s="21"/>
    </row>
    <row r="85" spans="1:22" ht="14.25" x14ac:dyDescent="0.2">
      <c r="A85" s="18"/>
      <c r="B85" s="18"/>
      <c r="C85" s="18"/>
      <c r="D85" s="18" t="s">
        <v>1109</v>
      </c>
      <c r="E85" s="19" t="s">
        <v>1103</v>
      </c>
      <c r="F85" s="9">
        <f>108</f>
        <v>108</v>
      </c>
      <c r="G85" s="21"/>
      <c r="H85" s="20"/>
      <c r="I85" s="9"/>
      <c r="J85" s="9"/>
      <c r="K85" s="21">
        <f>SUM(V78:V84)</f>
        <v>1284.8499999999999</v>
      </c>
      <c r="L85" s="21"/>
    </row>
    <row r="86" spans="1:22" ht="14.25" x14ac:dyDescent="0.2">
      <c r="A86" s="18"/>
      <c r="B86" s="18"/>
      <c r="C86" s="18"/>
      <c r="D86" s="18" t="s">
        <v>1105</v>
      </c>
      <c r="E86" s="19" t="s">
        <v>1106</v>
      </c>
      <c r="F86" s="9">
        <f>Source!AQ73</f>
        <v>0.37</v>
      </c>
      <c r="G86" s="21"/>
      <c r="H86" s="20" t="str">
        <f>Source!DI73</f>
        <v/>
      </c>
      <c r="I86" s="9">
        <f>Source!AV73</f>
        <v>1</v>
      </c>
      <c r="J86" s="9"/>
      <c r="K86" s="21"/>
      <c r="L86" s="21">
        <f>Source!U73</f>
        <v>8.879999999999999</v>
      </c>
    </row>
    <row r="87" spans="1:22" ht="15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44">
        <f>K80+K81+K83+K84+K85</f>
        <v>12146.77</v>
      </c>
      <c r="K87" s="44"/>
      <c r="L87" s="24">
        <f>IF(Source!I73&lt;&gt;0, ROUND(J87/Source!I73, 2), 0)</f>
        <v>506.12</v>
      </c>
      <c r="P87" s="22">
        <f>J87</f>
        <v>12146.77</v>
      </c>
    </row>
    <row r="89" spans="1:22" ht="15" x14ac:dyDescent="0.25">
      <c r="A89" s="46" t="str">
        <f>CONCATENATE("Итого по подразделу: ",IF(Source!G77&lt;&gt;"Новый подраздел", Source!G77, ""))</f>
        <v>Итого по подразделу: Хозяйственно-питьевой водопровод холодной воды В1</v>
      </c>
      <c r="B89" s="46"/>
      <c r="C89" s="46"/>
      <c r="D89" s="46"/>
      <c r="E89" s="46"/>
      <c r="F89" s="46"/>
      <c r="G89" s="46"/>
      <c r="H89" s="46"/>
      <c r="I89" s="46"/>
      <c r="J89" s="45">
        <f>SUM(P63:P88)</f>
        <v>14700.95</v>
      </c>
      <c r="K89" s="59"/>
      <c r="L89" s="26"/>
    </row>
    <row r="92" spans="1:22" ht="16.5" x14ac:dyDescent="0.25">
      <c r="A92" s="48" t="str">
        <f>CONCATENATE("Подраздел: ",IF(Source!G107&lt;&gt;"Новый подраздел", Source!G107, ""))</f>
        <v>Подраздел: Горячий и циркуляционный Водопровод Т3, Т4</v>
      </c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</row>
    <row r="93" spans="1:22" ht="42.75" x14ac:dyDescent="0.2">
      <c r="A93" s="18">
        <v>6</v>
      </c>
      <c r="B93" s="18">
        <v>6</v>
      </c>
      <c r="C93" s="18" t="str">
        <f>Source!F111</f>
        <v>1.15-2203-7-1/1</v>
      </c>
      <c r="D93" s="18" t="str">
        <f>Source!G111</f>
        <v>Техническое обслуживание крана шарового латунного никелированного диаметром до 25 мм</v>
      </c>
      <c r="E93" s="19" t="str">
        <f>Source!H111</f>
        <v>10 шт.</v>
      </c>
      <c r="F93" s="9">
        <f>Source!I111</f>
        <v>3.2</v>
      </c>
      <c r="G93" s="21"/>
      <c r="H93" s="20"/>
      <c r="I93" s="9"/>
      <c r="J93" s="9"/>
      <c r="K93" s="21"/>
      <c r="L93" s="21"/>
      <c r="Q93">
        <f>ROUND((Source!BZ111/100)*ROUND((Source!AF111*Source!AV111)*Source!I111, 2), 2)</f>
        <v>622.42999999999995</v>
      </c>
      <c r="R93">
        <f>Source!X111</f>
        <v>622.42999999999995</v>
      </c>
      <c r="S93">
        <f>ROUND((Source!CA111/100)*ROUND((Source!AF111*Source!AV111)*Source!I111, 2), 2)</f>
        <v>88.92</v>
      </c>
      <c r="T93">
        <f>Source!Y111</f>
        <v>88.92</v>
      </c>
      <c r="U93">
        <f>ROUND((175/100)*ROUND((Source!AE111*Source!AV111)*Source!I111, 2), 2)</f>
        <v>0</v>
      </c>
      <c r="V93">
        <f>ROUND((108/100)*ROUND(Source!CS111*Source!I111, 2), 2)</f>
        <v>0</v>
      </c>
    </row>
    <row r="94" spans="1:22" x14ac:dyDescent="0.2">
      <c r="D94" s="28" t="str">
        <f>"Объем: "&amp;Source!I111&amp;"=(32)/"&amp;"10"</f>
        <v>Объем: 3,2=(32)/10</v>
      </c>
    </row>
    <row r="95" spans="1:22" ht="14.25" x14ac:dyDescent="0.2">
      <c r="A95" s="18"/>
      <c r="B95" s="18"/>
      <c r="C95" s="18"/>
      <c r="D95" s="18" t="s">
        <v>1100</v>
      </c>
      <c r="E95" s="19"/>
      <c r="F95" s="9"/>
      <c r="G95" s="21">
        <f>Source!AO111</f>
        <v>277.87</v>
      </c>
      <c r="H95" s="20" t="str">
        <f>Source!DG111</f>
        <v/>
      </c>
      <c r="I95" s="9">
        <f>Source!AV111</f>
        <v>1</v>
      </c>
      <c r="J95" s="9">
        <f>IF(Source!BA111&lt;&gt; 0, Source!BA111, 1)</f>
        <v>1</v>
      </c>
      <c r="K95" s="21">
        <f>Source!S111</f>
        <v>889.18</v>
      </c>
      <c r="L95" s="21"/>
    </row>
    <row r="96" spans="1:22" ht="14.25" x14ac:dyDescent="0.2">
      <c r="A96" s="18"/>
      <c r="B96" s="18"/>
      <c r="C96" s="18"/>
      <c r="D96" s="18" t="s">
        <v>1102</v>
      </c>
      <c r="E96" s="19" t="s">
        <v>1103</v>
      </c>
      <c r="F96" s="9">
        <f>Source!AT111</f>
        <v>70</v>
      </c>
      <c r="G96" s="21"/>
      <c r="H96" s="20"/>
      <c r="I96" s="9"/>
      <c r="J96" s="9"/>
      <c r="K96" s="21">
        <f>SUM(R93:R95)</f>
        <v>622.42999999999995</v>
      </c>
      <c r="L96" s="21"/>
    </row>
    <row r="97" spans="1:22" ht="14.25" x14ac:dyDescent="0.2">
      <c r="A97" s="18"/>
      <c r="B97" s="18"/>
      <c r="C97" s="18"/>
      <c r="D97" s="18" t="s">
        <v>1104</v>
      </c>
      <c r="E97" s="19" t="s">
        <v>1103</v>
      </c>
      <c r="F97" s="9">
        <f>Source!AU111</f>
        <v>10</v>
      </c>
      <c r="G97" s="21"/>
      <c r="H97" s="20"/>
      <c r="I97" s="9"/>
      <c r="J97" s="9"/>
      <c r="K97" s="21">
        <f>SUM(T93:T96)</f>
        <v>88.92</v>
      </c>
      <c r="L97" s="21"/>
    </row>
    <row r="98" spans="1:22" ht="14.25" x14ac:dyDescent="0.2">
      <c r="A98" s="18"/>
      <c r="B98" s="18"/>
      <c r="C98" s="18"/>
      <c r="D98" s="18" t="s">
        <v>1105</v>
      </c>
      <c r="E98" s="19" t="s">
        <v>1106</v>
      </c>
      <c r="F98" s="9">
        <f>Source!AQ111</f>
        <v>0.45</v>
      </c>
      <c r="G98" s="21"/>
      <c r="H98" s="20" t="str">
        <f>Source!DI111</f>
        <v/>
      </c>
      <c r="I98" s="9">
        <f>Source!AV111</f>
        <v>1</v>
      </c>
      <c r="J98" s="9"/>
      <c r="K98" s="21"/>
      <c r="L98" s="21">
        <f>Source!U111</f>
        <v>1.4400000000000002</v>
      </c>
    </row>
    <row r="99" spans="1:22" ht="15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44">
        <f>K95+K96+K97</f>
        <v>1600.53</v>
      </c>
      <c r="K99" s="44"/>
      <c r="L99" s="24">
        <f>IF(Source!I111&lt;&gt;0, ROUND(J99/Source!I111, 2), 0)</f>
        <v>500.17</v>
      </c>
      <c r="P99" s="22">
        <f>J99</f>
        <v>1600.53</v>
      </c>
    </row>
    <row r="101" spans="1:22" ht="15" x14ac:dyDescent="0.25">
      <c r="A101" s="46" t="str">
        <f>CONCATENATE("Итого по подразделу: ",IF(Source!G115&lt;&gt;"Новый подраздел", Source!G115, ""))</f>
        <v>Итого по подразделу: Горячий и циркуляционный Водопровод Т3, Т4</v>
      </c>
      <c r="B101" s="46"/>
      <c r="C101" s="46"/>
      <c r="D101" s="46"/>
      <c r="E101" s="46"/>
      <c r="F101" s="46"/>
      <c r="G101" s="46"/>
      <c r="H101" s="46"/>
      <c r="I101" s="46"/>
      <c r="J101" s="45">
        <f>SUM(P92:P100)</f>
        <v>1600.53</v>
      </c>
      <c r="K101" s="59"/>
      <c r="L101" s="26"/>
    </row>
    <row r="104" spans="1:22" ht="16.5" x14ac:dyDescent="0.25">
      <c r="A104" s="48" t="str">
        <f>CONCATENATE("Подраздел: ",IF(Source!G145&lt;&gt;"Новый подраздел", Source!G145, ""))</f>
        <v>Подраздел: Хозяйственно-бытовая канализация К1</v>
      </c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</row>
    <row r="106" spans="1:22" ht="15" x14ac:dyDescent="0.25">
      <c r="A106" s="46" t="str">
        <f>CONCATENATE("Итого по подразделу: ",IF(Source!G157&lt;&gt;"Новый подраздел", Source!G157, ""))</f>
        <v>Итого по подразделу: Хозяйственно-бытовая канализация К1</v>
      </c>
      <c r="B106" s="46"/>
      <c r="C106" s="46"/>
      <c r="D106" s="46"/>
      <c r="E106" s="46"/>
      <c r="F106" s="46"/>
      <c r="G106" s="46"/>
      <c r="H106" s="46"/>
      <c r="I106" s="46"/>
      <c r="J106" s="45">
        <f>SUM(P104:P105)</f>
        <v>0</v>
      </c>
      <c r="K106" s="59"/>
      <c r="L106" s="26"/>
    </row>
    <row r="109" spans="1:22" ht="16.5" x14ac:dyDescent="0.25">
      <c r="A109" s="48" t="str">
        <f>CONCATENATE("Подраздел: ",IF(Source!G187&lt;&gt;"Новый подраздел", Source!G187, ""))</f>
        <v>Подраздел: Внутренний водосток</v>
      </c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</row>
    <row r="110" spans="1:22" ht="42.75" x14ac:dyDescent="0.2">
      <c r="A110" s="18">
        <v>7</v>
      </c>
      <c r="B110" s="18">
        <v>7</v>
      </c>
      <c r="C110" s="18" t="str">
        <f>Source!F196</f>
        <v>1.23-2103-15-1/1</v>
      </c>
      <c r="D110" s="18" t="str">
        <f>Source!G196</f>
        <v>Техническое обслуживание сигнализатора уровня / Датчик контроля протечек SW007</v>
      </c>
      <c r="E110" s="19" t="str">
        <f>Source!H196</f>
        <v>шт.</v>
      </c>
      <c r="F110" s="9">
        <f>Source!I196</f>
        <v>9</v>
      </c>
      <c r="G110" s="21"/>
      <c r="H110" s="20"/>
      <c r="I110" s="9"/>
      <c r="J110" s="9"/>
      <c r="K110" s="21"/>
      <c r="L110" s="21"/>
      <c r="Q110">
        <f>ROUND((Source!BZ196/100)*ROUND((Source!AF196*Source!AV196)*Source!I196, 2), 2)</f>
        <v>9615.19</v>
      </c>
      <c r="R110">
        <f>Source!X196</f>
        <v>9615.19</v>
      </c>
      <c r="S110">
        <f>ROUND((Source!CA196/100)*ROUND((Source!AF196*Source!AV196)*Source!I196, 2), 2)</f>
        <v>1373.6</v>
      </c>
      <c r="T110">
        <f>Source!Y196</f>
        <v>1373.6</v>
      </c>
      <c r="U110">
        <f>ROUND((175/100)*ROUND((Source!AE196*Source!AV196)*Source!I196, 2), 2)</f>
        <v>0</v>
      </c>
      <c r="V110">
        <f>ROUND((108/100)*ROUND(Source!CS196*Source!I196, 2), 2)</f>
        <v>0</v>
      </c>
    </row>
    <row r="111" spans="1:22" ht="14.25" x14ac:dyDescent="0.2">
      <c r="A111" s="18"/>
      <c r="B111" s="18"/>
      <c r="C111" s="18"/>
      <c r="D111" s="18" t="s">
        <v>1100</v>
      </c>
      <c r="E111" s="19"/>
      <c r="F111" s="9"/>
      <c r="G111" s="21">
        <f>Source!AO196</f>
        <v>763.11</v>
      </c>
      <c r="H111" s="20" t="str">
        <f>Source!DG196</f>
        <v>)*2</v>
      </c>
      <c r="I111" s="9">
        <f>Source!AV196</f>
        <v>1</v>
      </c>
      <c r="J111" s="9">
        <f>IF(Source!BA196&lt;&gt; 0, Source!BA196, 1)</f>
        <v>1</v>
      </c>
      <c r="K111" s="21">
        <f>Source!S196</f>
        <v>13735.98</v>
      </c>
      <c r="L111" s="21"/>
    </row>
    <row r="112" spans="1:22" ht="14.25" x14ac:dyDescent="0.2">
      <c r="A112" s="18"/>
      <c r="B112" s="18"/>
      <c r="C112" s="18"/>
      <c r="D112" s="18" t="s">
        <v>1101</v>
      </c>
      <c r="E112" s="19"/>
      <c r="F112" s="9"/>
      <c r="G112" s="21">
        <f>Source!AL196</f>
        <v>22.54</v>
      </c>
      <c r="H112" s="20" t="str">
        <f>Source!DD196</f>
        <v>)*2</v>
      </c>
      <c r="I112" s="9">
        <f>Source!AW196</f>
        <v>1</v>
      </c>
      <c r="J112" s="9">
        <f>IF(Source!BC196&lt;&gt; 0, Source!BC196, 1)</f>
        <v>1</v>
      </c>
      <c r="K112" s="21">
        <f>Source!P196</f>
        <v>405.72</v>
      </c>
      <c r="L112" s="21"/>
    </row>
    <row r="113" spans="1:22" ht="14.25" x14ac:dyDescent="0.2">
      <c r="A113" s="18"/>
      <c r="B113" s="18"/>
      <c r="C113" s="18"/>
      <c r="D113" s="18" t="s">
        <v>1102</v>
      </c>
      <c r="E113" s="19" t="s">
        <v>1103</v>
      </c>
      <c r="F113" s="9">
        <f>Source!AT196</f>
        <v>70</v>
      </c>
      <c r="G113" s="21"/>
      <c r="H113" s="20"/>
      <c r="I113" s="9"/>
      <c r="J113" s="9"/>
      <c r="K113" s="21">
        <f>SUM(R110:R112)</f>
        <v>9615.19</v>
      </c>
      <c r="L113" s="21"/>
    </row>
    <row r="114" spans="1:22" ht="14.25" x14ac:dyDescent="0.2">
      <c r="A114" s="18"/>
      <c r="B114" s="18"/>
      <c r="C114" s="18"/>
      <c r="D114" s="18" t="s">
        <v>1104</v>
      </c>
      <c r="E114" s="19" t="s">
        <v>1103</v>
      </c>
      <c r="F114" s="9">
        <f>Source!AU196</f>
        <v>10</v>
      </c>
      <c r="G114" s="21"/>
      <c r="H114" s="20"/>
      <c r="I114" s="9"/>
      <c r="J114" s="9"/>
      <c r="K114" s="21">
        <f>SUM(T110:T113)</f>
        <v>1373.6</v>
      </c>
      <c r="L114" s="21"/>
    </row>
    <row r="115" spans="1:22" ht="14.25" x14ac:dyDescent="0.2">
      <c r="A115" s="18"/>
      <c r="B115" s="18"/>
      <c r="C115" s="18"/>
      <c r="D115" s="18" t="s">
        <v>1105</v>
      </c>
      <c r="E115" s="19" t="s">
        <v>1106</v>
      </c>
      <c r="F115" s="9">
        <f>Source!AQ196</f>
        <v>0.92</v>
      </c>
      <c r="G115" s="21"/>
      <c r="H115" s="20" t="str">
        <f>Source!DI196</f>
        <v>)*2</v>
      </c>
      <c r="I115" s="9">
        <f>Source!AV196</f>
        <v>1</v>
      </c>
      <c r="J115" s="9"/>
      <c r="K115" s="21"/>
      <c r="L115" s="21">
        <f>Source!U196</f>
        <v>16.560000000000002</v>
      </c>
    </row>
    <row r="116" spans="1:22" ht="15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44">
        <f>K111+K112+K113+K114</f>
        <v>25130.489999999998</v>
      </c>
      <c r="K116" s="44"/>
      <c r="L116" s="24">
        <f>IF(Source!I196&lt;&gt;0, ROUND(J116/Source!I196, 2), 0)</f>
        <v>2792.28</v>
      </c>
      <c r="P116" s="22">
        <f>J116</f>
        <v>25130.489999999998</v>
      </c>
    </row>
    <row r="117" spans="1:22" ht="28.5" x14ac:dyDescent="0.2">
      <c r="A117" s="18">
        <v>8</v>
      </c>
      <c r="B117" s="18">
        <v>8</v>
      </c>
      <c r="C117" s="18" t="str">
        <f>Source!F197</f>
        <v>1.16-2203-1-1/1</v>
      </c>
      <c r="D117" s="18" t="str">
        <f>Source!G197</f>
        <v>Прочистка сифонов</v>
      </c>
      <c r="E117" s="19" t="str">
        <f>Source!H197</f>
        <v>100 шт.</v>
      </c>
      <c r="F117" s="9">
        <f>Source!I197</f>
        <v>0.37</v>
      </c>
      <c r="G117" s="21"/>
      <c r="H117" s="20"/>
      <c r="I117" s="9"/>
      <c r="J117" s="9"/>
      <c r="K117" s="21"/>
      <c r="L117" s="21"/>
      <c r="Q117">
        <f>ROUND((Source!BZ197/100)*ROUND((Source!AF197*Source!AV197)*Source!I197, 2), 2)</f>
        <v>3678.3</v>
      </c>
      <c r="R117">
        <f>Source!X197</f>
        <v>3678.3</v>
      </c>
      <c r="S117">
        <f>ROUND((Source!CA197/100)*ROUND((Source!AF197*Source!AV197)*Source!I197, 2), 2)</f>
        <v>525.47</v>
      </c>
      <c r="T117">
        <f>Source!Y197</f>
        <v>525.47</v>
      </c>
      <c r="U117">
        <f>ROUND((175/100)*ROUND((Source!AE197*Source!AV197)*Source!I197, 2), 2)</f>
        <v>0</v>
      </c>
      <c r="V117">
        <f>ROUND((108/100)*ROUND(Source!CS197*Source!I197, 2), 2)</f>
        <v>0</v>
      </c>
    </row>
    <row r="118" spans="1:22" x14ac:dyDescent="0.2">
      <c r="D118" s="28" t="str">
        <f>"Объем: "&amp;Source!I197&amp;"=(4+"&amp;"33)/"&amp;"100"</f>
        <v>Объем: 0,37=(4+33)/100</v>
      </c>
    </row>
    <row r="119" spans="1:22" ht="14.25" x14ac:dyDescent="0.2">
      <c r="A119" s="18"/>
      <c r="B119" s="18"/>
      <c r="C119" s="18"/>
      <c r="D119" s="18" t="s">
        <v>1100</v>
      </c>
      <c r="E119" s="19"/>
      <c r="F119" s="9"/>
      <c r="G119" s="21">
        <f>Source!AO197</f>
        <v>14201.94</v>
      </c>
      <c r="H119" s="20" t="str">
        <f>Source!DG197</f>
        <v/>
      </c>
      <c r="I119" s="9">
        <f>Source!AV197</f>
        <v>1</v>
      </c>
      <c r="J119" s="9">
        <f>IF(Source!BA197&lt;&gt; 0, Source!BA197, 1)</f>
        <v>1</v>
      </c>
      <c r="K119" s="21">
        <f>Source!S197</f>
        <v>5254.72</v>
      </c>
      <c r="L119" s="21"/>
    </row>
    <row r="120" spans="1:22" ht="14.25" x14ac:dyDescent="0.2">
      <c r="A120" s="18"/>
      <c r="B120" s="18"/>
      <c r="C120" s="18"/>
      <c r="D120" s="18" t="s">
        <v>1101</v>
      </c>
      <c r="E120" s="19"/>
      <c r="F120" s="9"/>
      <c r="G120" s="21">
        <f>Source!AL197</f>
        <v>243.57</v>
      </c>
      <c r="H120" s="20" t="str">
        <f>Source!DD197</f>
        <v/>
      </c>
      <c r="I120" s="9">
        <f>Source!AW197</f>
        <v>1</v>
      </c>
      <c r="J120" s="9">
        <f>IF(Source!BC197&lt;&gt; 0, Source!BC197, 1)</f>
        <v>1</v>
      </c>
      <c r="K120" s="21">
        <f>Source!P197</f>
        <v>90.12</v>
      </c>
      <c r="L120" s="21"/>
    </row>
    <row r="121" spans="1:22" ht="14.25" x14ac:dyDescent="0.2">
      <c r="A121" s="18"/>
      <c r="B121" s="18"/>
      <c r="C121" s="18"/>
      <c r="D121" s="18" t="s">
        <v>1102</v>
      </c>
      <c r="E121" s="19" t="s">
        <v>1103</v>
      </c>
      <c r="F121" s="9">
        <f>Source!AT197</f>
        <v>70</v>
      </c>
      <c r="G121" s="21"/>
      <c r="H121" s="20"/>
      <c r="I121" s="9"/>
      <c r="J121" s="9"/>
      <c r="K121" s="21">
        <f>SUM(R117:R120)</f>
        <v>3678.3</v>
      </c>
      <c r="L121" s="21"/>
    </row>
    <row r="122" spans="1:22" ht="14.25" x14ac:dyDescent="0.2">
      <c r="A122" s="18"/>
      <c r="B122" s="18"/>
      <c r="C122" s="18"/>
      <c r="D122" s="18" t="s">
        <v>1104</v>
      </c>
      <c r="E122" s="19" t="s">
        <v>1103</v>
      </c>
      <c r="F122" s="9">
        <f>Source!AU197</f>
        <v>10</v>
      </c>
      <c r="G122" s="21"/>
      <c r="H122" s="20"/>
      <c r="I122" s="9"/>
      <c r="J122" s="9"/>
      <c r="K122" s="21">
        <f>SUM(T117:T121)</f>
        <v>525.47</v>
      </c>
      <c r="L122" s="21"/>
    </row>
    <row r="123" spans="1:22" ht="14.25" x14ac:dyDescent="0.2">
      <c r="A123" s="18"/>
      <c r="B123" s="18"/>
      <c r="C123" s="18"/>
      <c r="D123" s="18" t="s">
        <v>1105</v>
      </c>
      <c r="E123" s="19" t="s">
        <v>1106</v>
      </c>
      <c r="F123" s="9">
        <f>Source!AQ197</f>
        <v>28.02</v>
      </c>
      <c r="G123" s="21"/>
      <c r="H123" s="20" t="str">
        <f>Source!DI197</f>
        <v/>
      </c>
      <c r="I123" s="9">
        <f>Source!AV197</f>
        <v>1</v>
      </c>
      <c r="J123" s="9"/>
      <c r="K123" s="21"/>
      <c r="L123" s="21">
        <f>Source!U197</f>
        <v>10.3674</v>
      </c>
    </row>
    <row r="124" spans="1:22" ht="15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44">
        <f>K119+K120+K121+K122</f>
        <v>9548.6099999999988</v>
      </c>
      <c r="K124" s="44"/>
      <c r="L124" s="24">
        <f>IF(Source!I197&lt;&gt;0, ROUND(J124/Source!I197, 2), 0)</f>
        <v>25807.05</v>
      </c>
      <c r="P124" s="22">
        <f>J124</f>
        <v>9548.6099999999988</v>
      </c>
    </row>
    <row r="126" spans="1:22" ht="15" x14ac:dyDescent="0.25">
      <c r="A126" s="46" t="str">
        <f>CONCATENATE("Итого по подразделу: ",IF(Source!G200&lt;&gt;"Новый подраздел", Source!G200, ""))</f>
        <v>Итого по подразделу: Внутренний водосток</v>
      </c>
      <c r="B126" s="46"/>
      <c r="C126" s="46"/>
      <c r="D126" s="46"/>
      <c r="E126" s="46"/>
      <c r="F126" s="46"/>
      <c r="G126" s="46"/>
      <c r="H126" s="46"/>
      <c r="I126" s="46"/>
      <c r="J126" s="45">
        <f>SUM(P109:P125)</f>
        <v>34679.1</v>
      </c>
      <c r="K126" s="59"/>
      <c r="L126" s="26"/>
    </row>
    <row r="129" spans="1:22" ht="16.5" x14ac:dyDescent="0.25">
      <c r="A129" s="48" t="str">
        <f>CONCATENATE("Подраздел: ",IF(Source!G230&lt;&gt;"Новый подраздел", Source!G230, ""))</f>
        <v>Подраздел: Сантехприборы и оборудование</v>
      </c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</row>
    <row r="130" spans="1:22" ht="28.5" x14ac:dyDescent="0.2">
      <c r="A130" s="18">
        <v>9</v>
      </c>
      <c r="B130" s="18">
        <v>9</v>
      </c>
      <c r="C130" s="18" t="str">
        <f>Source!F237</f>
        <v>1.16-3201-2-1/1</v>
      </c>
      <c r="D130" s="18" t="str">
        <f>Source!G237</f>
        <v>Укрепление расшатавшихся санитарно-технических приборов - умывальники</v>
      </c>
      <c r="E130" s="19" t="str">
        <f>Source!H237</f>
        <v>100 шт.</v>
      </c>
      <c r="F130" s="9">
        <f>Source!I237</f>
        <v>0.15</v>
      </c>
      <c r="G130" s="21"/>
      <c r="H130" s="20"/>
      <c r="I130" s="9"/>
      <c r="J130" s="9"/>
      <c r="K130" s="21"/>
      <c r="L130" s="21"/>
      <c r="Q130">
        <f>ROUND((Source!BZ237/100)*ROUND((Source!AF237*Source!AV237)*Source!I237, 2), 2)</f>
        <v>5558.22</v>
      </c>
      <c r="R130">
        <f>Source!X237</f>
        <v>5558.22</v>
      </c>
      <c r="S130">
        <f>ROUND((Source!CA237/100)*ROUND((Source!AF237*Source!AV237)*Source!I237, 2), 2)</f>
        <v>794.03</v>
      </c>
      <c r="T130">
        <f>Source!Y237</f>
        <v>794.03</v>
      </c>
      <c r="U130">
        <f>ROUND((175/100)*ROUND((Source!AE237*Source!AV237)*Source!I237, 2), 2)</f>
        <v>0.19</v>
      </c>
      <c r="V130">
        <f>ROUND((108/100)*ROUND(Source!CS237*Source!I237, 2), 2)</f>
        <v>0.12</v>
      </c>
    </row>
    <row r="131" spans="1:22" x14ac:dyDescent="0.2">
      <c r="D131" s="28" t="str">
        <f>"Объем: "&amp;Source!I237&amp;"=15/"&amp;"100"</f>
        <v>Объем: 0,15=15/100</v>
      </c>
    </row>
    <row r="132" spans="1:22" ht="14.25" x14ac:dyDescent="0.2">
      <c r="A132" s="18"/>
      <c r="B132" s="18"/>
      <c r="C132" s="18"/>
      <c r="D132" s="18" t="s">
        <v>1100</v>
      </c>
      <c r="E132" s="19"/>
      <c r="F132" s="9"/>
      <c r="G132" s="21">
        <f>Source!AO237</f>
        <v>52935.41</v>
      </c>
      <c r="H132" s="20" t="str">
        <f>Source!DG237</f>
        <v/>
      </c>
      <c r="I132" s="9">
        <f>Source!AV237</f>
        <v>1</v>
      </c>
      <c r="J132" s="9">
        <f>IF(Source!BA237&lt;&gt; 0, Source!BA237, 1)</f>
        <v>1</v>
      </c>
      <c r="K132" s="21">
        <f>Source!S237</f>
        <v>7940.31</v>
      </c>
      <c r="L132" s="21"/>
    </row>
    <row r="133" spans="1:22" ht="14.25" x14ac:dyDescent="0.2">
      <c r="A133" s="18"/>
      <c r="B133" s="18"/>
      <c r="C133" s="18"/>
      <c r="D133" s="18" t="s">
        <v>1107</v>
      </c>
      <c r="E133" s="19"/>
      <c r="F133" s="9"/>
      <c r="G133" s="21">
        <f>Source!AM237</f>
        <v>61.83</v>
      </c>
      <c r="H133" s="20" t="str">
        <f>Source!DE237</f>
        <v/>
      </c>
      <c r="I133" s="9">
        <f>Source!AV237</f>
        <v>1</v>
      </c>
      <c r="J133" s="9">
        <f>IF(Source!BB237&lt;&gt; 0, Source!BB237, 1)</f>
        <v>1</v>
      </c>
      <c r="K133" s="21">
        <f>Source!Q237</f>
        <v>9.27</v>
      </c>
      <c r="L133" s="21"/>
    </row>
    <row r="134" spans="1:22" ht="14.25" x14ac:dyDescent="0.2">
      <c r="A134" s="18"/>
      <c r="B134" s="18"/>
      <c r="C134" s="18"/>
      <c r="D134" s="18" t="s">
        <v>1108</v>
      </c>
      <c r="E134" s="19"/>
      <c r="F134" s="9"/>
      <c r="G134" s="21">
        <f>Source!AN237</f>
        <v>0.7</v>
      </c>
      <c r="H134" s="20" t="str">
        <f>Source!DF237</f>
        <v/>
      </c>
      <c r="I134" s="9">
        <f>Source!AV237</f>
        <v>1</v>
      </c>
      <c r="J134" s="9">
        <f>IF(Source!BS237&lt;&gt; 0, Source!BS237, 1)</f>
        <v>1</v>
      </c>
      <c r="K134" s="25">
        <f>Source!R237</f>
        <v>0.11</v>
      </c>
      <c r="L134" s="21"/>
    </row>
    <row r="135" spans="1:22" ht="14.25" x14ac:dyDescent="0.2">
      <c r="A135" s="18"/>
      <c r="B135" s="18"/>
      <c r="C135" s="18"/>
      <c r="D135" s="18" t="s">
        <v>1101</v>
      </c>
      <c r="E135" s="19"/>
      <c r="F135" s="9"/>
      <c r="G135" s="21">
        <f>Source!AL237</f>
        <v>776.55</v>
      </c>
      <c r="H135" s="20" t="str">
        <f>Source!DD237</f>
        <v/>
      </c>
      <c r="I135" s="9">
        <f>Source!AW237</f>
        <v>1</v>
      </c>
      <c r="J135" s="9">
        <f>IF(Source!BC237&lt;&gt; 0, Source!BC237, 1)</f>
        <v>1</v>
      </c>
      <c r="K135" s="21">
        <f>Source!P237</f>
        <v>116.48</v>
      </c>
      <c r="L135" s="21"/>
    </row>
    <row r="136" spans="1:22" ht="14.25" x14ac:dyDescent="0.2">
      <c r="A136" s="18"/>
      <c r="B136" s="18"/>
      <c r="C136" s="18"/>
      <c r="D136" s="18" t="s">
        <v>1102</v>
      </c>
      <c r="E136" s="19" t="s">
        <v>1103</v>
      </c>
      <c r="F136" s="9">
        <f>Source!AT237</f>
        <v>70</v>
      </c>
      <c r="G136" s="21"/>
      <c r="H136" s="20"/>
      <c r="I136" s="9"/>
      <c r="J136" s="9"/>
      <c r="K136" s="21">
        <f>SUM(R130:R135)</f>
        <v>5558.22</v>
      </c>
      <c r="L136" s="21"/>
    </row>
    <row r="137" spans="1:22" ht="14.25" x14ac:dyDescent="0.2">
      <c r="A137" s="18"/>
      <c r="B137" s="18"/>
      <c r="C137" s="18"/>
      <c r="D137" s="18" t="s">
        <v>1104</v>
      </c>
      <c r="E137" s="19" t="s">
        <v>1103</v>
      </c>
      <c r="F137" s="9">
        <f>Source!AU237</f>
        <v>10</v>
      </c>
      <c r="G137" s="21"/>
      <c r="H137" s="20"/>
      <c r="I137" s="9"/>
      <c r="J137" s="9"/>
      <c r="K137" s="21">
        <f>SUM(T130:T136)</f>
        <v>794.03</v>
      </c>
      <c r="L137" s="21"/>
    </row>
    <row r="138" spans="1:22" ht="14.25" x14ac:dyDescent="0.2">
      <c r="A138" s="18"/>
      <c r="B138" s="18"/>
      <c r="C138" s="18"/>
      <c r="D138" s="18" t="s">
        <v>1109</v>
      </c>
      <c r="E138" s="19" t="s">
        <v>1103</v>
      </c>
      <c r="F138" s="9">
        <f>108</f>
        <v>108</v>
      </c>
      <c r="G138" s="21"/>
      <c r="H138" s="20"/>
      <c r="I138" s="9"/>
      <c r="J138" s="9"/>
      <c r="K138" s="21">
        <f>SUM(V130:V137)</f>
        <v>0.12</v>
      </c>
      <c r="L138" s="21"/>
    </row>
    <row r="139" spans="1:22" ht="14.25" x14ac:dyDescent="0.2">
      <c r="A139" s="18"/>
      <c r="B139" s="18"/>
      <c r="C139" s="18"/>
      <c r="D139" s="18" t="s">
        <v>1105</v>
      </c>
      <c r="E139" s="19" t="s">
        <v>1106</v>
      </c>
      <c r="F139" s="9">
        <f>Source!AQ237</f>
        <v>104.44</v>
      </c>
      <c r="G139" s="21"/>
      <c r="H139" s="20" t="str">
        <f>Source!DI237</f>
        <v/>
      </c>
      <c r="I139" s="9">
        <f>Source!AV237</f>
        <v>1</v>
      </c>
      <c r="J139" s="9"/>
      <c r="K139" s="21"/>
      <c r="L139" s="21">
        <f>Source!U237</f>
        <v>15.665999999999999</v>
      </c>
    </row>
    <row r="140" spans="1:22" ht="15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44">
        <f>K132+K133+K135+K136+K137+K138</f>
        <v>14418.430000000002</v>
      </c>
      <c r="K140" s="44"/>
      <c r="L140" s="24">
        <f>IF(Source!I237&lt;&gt;0, ROUND(J140/Source!I237, 2), 0)</f>
        <v>96122.87</v>
      </c>
      <c r="P140" s="22">
        <f>J140</f>
        <v>14418.430000000002</v>
      </c>
    </row>
    <row r="141" spans="1:22" ht="42.75" x14ac:dyDescent="0.2">
      <c r="A141" s="18">
        <v>10</v>
      </c>
      <c r="B141" s="18">
        <v>10</v>
      </c>
      <c r="C141" s="18" t="str">
        <f>Source!F238</f>
        <v>1.16-3201-2-2/1</v>
      </c>
      <c r="D141" s="18" t="str">
        <f>Source!G238</f>
        <v>Укрепление расшатавшихся санитарно-технических приборов - унитазы и биде</v>
      </c>
      <c r="E141" s="19" t="str">
        <f>Source!H238</f>
        <v>100 шт.</v>
      </c>
      <c r="F141" s="9">
        <f>Source!I238</f>
        <v>0.18</v>
      </c>
      <c r="G141" s="21"/>
      <c r="H141" s="20"/>
      <c r="I141" s="9"/>
      <c r="J141" s="9"/>
      <c r="K141" s="21"/>
      <c r="L141" s="21"/>
      <c r="Q141">
        <f>ROUND((Source!BZ238/100)*ROUND((Source!AF238*Source!AV238)*Source!I238, 2), 2)</f>
        <v>9702.7199999999993</v>
      </c>
      <c r="R141">
        <f>Source!X238</f>
        <v>9702.7199999999993</v>
      </c>
      <c r="S141">
        <f>ROUND((Source!CA238/100)*ROUND((Source!AF238*Source!AV238)*Source!I238, 2), 2)</f>
        <v>1386.1</v>
      </c>
      <c r="T141">
        <f>Source!Y238</f>
        <v>1386.1</v>
      </c>
      <c r="U141">
        <f>ROUND((175/100)*ROUND((Source!AE238*Source!AV238)*Source!I238, 2), 2)</f>
        <v>0.23</v>
      </c>
      <c r="V141">
        <f>ROUND((108/100)*ROUND(Source!CS238*Source!I238, 2), 2)</f>
        <v>0.14000000000000001</v>
      </c>
    </row>
    <row r="142" spans="1:22" x14ac:dyDescent="0.2">
      <c r="D142" s="28" t="str">
        <f>"Объем: "&amp;Source!I238&amp;"=18/"&amp;"100"</f>
        <v>Объем: 0,18=18/100</v>
      </c>
    </row>
    <row r="143" spans="1:22" ht="14.25" x14ac:dyDescent="0.2">
      <c r="A143" s="18"/>
      <c r="B143" s="18"/>
      <c r="C143" s="18"/>
      <c r="D143" s="18" t="s">
        <v>1100</v>
      </c>
      <c r="E143" s="19"/>
      <c r="F143" s="9"/>
      <c r="G143" s="21">
        <f>Source!AO238</f>
        <v>77005.72</v>
      </c>
      <c r="H143" s="20" t="str">
        <f>Source!DG238</f>
        <v/>
      </c>
      <c r="I143" s="9">
        <f>Source!AV238</f>
        <v>1</v>
      </c>
      <c r="J143" s="9">
        <f>IF(Source!BA238&lt;&gt; 0, Source!BA238, 1)</f>
        <v>1</v>
      </c>
      <c r="K143" s="21">
        <f>Source!S238</f>
        <v>13861.03</v>
      </c>
      <c r="L143" s="21"/>
    </row>
    <row r="144" spans="1:22" ht="14.25" x14ac:dyDescent="0.2">
      <c r="A144" s="18"/>
      <c r="B144" s="18"/>
      <c r="C144" s="18"/>
      <c r="D144" s="18" t="s">
        <v>1107</v>
      </c>
      <c r="E144" s="19"/>
      <c r="F144" s="9"/>
      <c r="G144" s="21">
        <f>Source!AM238</f>
        <v>61.83</v>
      </c>
      <c r="H144" s="20" t="str">
        <f>Source!DE238</f>
        <v/>
      </c>
      <c r="I144" s="9">
        <f>Source!AV238</f>
        <v>1</v>
      </c>
      <c r="J144" s="9">
        <f>IF(Source!BB238&lt;&gt; 0, Source!BB238, 1)</f>
        <v>1</v>
      </c>
      <c r="K144" s="21">
        <f>Source!Q238</f>
        <v>11.13</v>
      </c>
      <c r="L144" s="21"/>
    </row>
    <row r="145" spans="1:22" ht="14.25" x14ac:dyDescent="0.2">
      <c r="A145" s="18"/>
      <c r="B145" s="18"/>
      <c r="C145" s="18"/>
      <c r="D145" s="18" t="s">
        <v>1108</v>
      </c>
      <c r="E145" s="19"/>
      <c r="F145" s="9"/>
      <c r="G145" s="21">
        <f>Source!AN238</f>
        <v>0.7</v>
      </c>
      <c r="H145" s="20" t="str">
        <f>Source!DF238</f>
        <v/>
      </c>
      <c r="I145" s="9">
        <f>Source!AV238</f>
        <v>1</v>
      </c>
      <c r="J145" s="9">
        <f>IF(Source!BS238&lt;&gt; 0, Source!BS238, 1)</f>
        <v>1</v>
      </c>
      <c r="K145" s="25">
        <f>Source!R238</f>
        <v>0.13</v>
      </c>
      <c r="L145" s="21"/>
    </row>
    <row r="146" spans="1:22" ht="14.25" x14ac:dyDescent="0.2">
      <c r="A146" s="18"/>
      <c r="B146" s="18"/>
      <c r="C146" s="18"/>
      <c r="D146" s="18" t="s">
        <v>1101</v>
      </c>
      <c r="E146" s="19"/>
      <c r="F146" s="9"/>
      <c r="G146" s="21">
        <f>Source!AL238</f>
        <v>776.55</v>
      </c>
      <c r="H146" s="20" t="str">
        <f>Source!DD238</f>
        <v/>
      </c>
      <c r="I146" s="9">
        <f>Source!AW238</f>
        <v>1</v>
      </c>
      <c r="J146" s="9">
        <f>IF(Source!BC238&lt;&gt; 0, Source!BC238, 1)</f>
        <v>1</v>
      </c>
      <c r="K146" s="21">
        <f>Source!P238</f>
        <v>139.78</v>
      </c>
      <c r="L146" s="21"/>
    </row>
    <row r="147" spans="1:22" ht="14.25" x14ac:dyDescent="0.2">
      <c r="A147" s="18"/>
      <c r="B147" s="18"/>
      <c r="C147" s="18"/>
      <c r="D147" s="18" t="s">
        <v>1102</v>
      </c>
      <c r="E147" s="19" t="s">
        <v>1103</v>
      </c>
      <c r="F147" s="9">
        <f>Source!AT238</f>
        <v>70</v>
      </c>
      <c r="G147" s="21"/>
      <c r="H147" s="20"/>
      <c r="I147" s="9"/>
      <c r="J147" s="9"/>
      <c r="K147" s="21">
        <f>SUM(R141:R146)</f>
        <v>9702.7199999999993</v>
      </c>
      <c r="L147" s="21"/>
    </row>
    <row r="148" spans="1:22" ht="14.25" x14ac:dyDescent="0.2">
      <c r="A148" s="18"/>
      <c r="B148" s="18"/>
      <c r="C148" s="18"/>
      <c r="D148" s="18" t="s">
        <v>1104</v>
      </c>
      <c r="E148" s="19" t="s">
        <v>1103</v>
      </c>
      <c r="F148" s="9">
        <f>Source!AU238</f>
        <v>10</v>
      </c>
      <c r="G148" s="21"/>
      <c r="H148" s="20"/>
      <c r="I148" s="9"/>
      <c r="J148" s="9"/>
      <c r="K148" s="21">
        <f>SUM(T141:T147)</f>
        <v>1386.1</v>
      </c>
      <c r="L148" s="21"/>
    </row>
    <row r="149" spans="1:22" ht="14.25" x14ac:dyDescent="0.2">
      <c r="A149" s="18"/>
      <c r="B149" s="18"/>
      <c r="C149" s="18"/>
      <c r="D149" s="18" t="s">
        <v>1109</v>
      </c>
      <c r="E149" s="19" t="s">
        <v>1103</v>
      </c>
      <c r="F149" s="9">
        <f>108</f>
        <v>108</v>
      </c>
      <c r="G149" s="21"/>
      <c r="H149" s="20"/>
      <c r="I149" s="9"/>
      <c r="J149" s="9"/>
      <c r="K149" s="21">
        <f>SUM(V141:V148)</f>
        <v>0.14000000000000001</v>
      </c>
      <c r="L149" s="21"/>
    </row>
    <row r="150" spans="1:22" ht="14.25" x14ac:dyDescent="0.2">
      <c r="A150" s="18"/>
      <c r="B150" s="18"/>
      <c r="C150" s="18"/>
      <c r="D150" s="18" t="s">
        <v>1105</v>
      </c>
      <c r="E150" s="19" t="s">
        <v>1106</v>
      </c>
      <c r="F150" s="9">
        <f>Source!AQ238</f>
        <v>151.93</v>
      </c>
      <c r="G150" s="21"/>
      <c r="H150" s="20" t="str">
        <f>Source!DI238</f>
        <v/>
      </c>
      <c r="I150" s="9">
        <f>Source!AV238</f>
        <v>1</v>
      </c>
      <c r="J150" s="9"/>
      <c r="K150" s="21"/>
      <c r="L150" s="21">
        <f>Source!U238</f>
        <v>27.3474</v>
      </c>
    </row>
    <row r="151" spans="1:22" ht="15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44">
        <f>K143+K144+K146+K147+K148+K149</f>
        <v>25100.899999999998</v>
      </c>
      <c r="K151" s="44"/>
      <c r="L151" s="24">
        <f>IF(Source!I238&lt;&gt;0, ROUND(J151/Source!I238, 2), 0)</f>
        <v>139449.44</v>
      </c>
      <c r="P151" s="22">
        <f>J151</f>
        <v>25100.899999999998</v>
      </c>
    </row>
    <row r="152" spans="1:22" ht="28.5" x14ac:dyDescent="0.2">
      <c r="A152" s="18">
        <v>11</v>
      </c>
      <c r="B152" s="18">
        <v>11</v>
      </c>
      <c r="C152" s="18" t="str">
        <f>Source!F239</f>
        <v>1.16-3201-1-1/1</v>
      </c>
      <c r="D152" s="18" t="str">
        <f>Source!G239</f>
        <v>Регулировка смывного бачка</v>
      </c>
      <c r="E152" s="19" t="str">
        <f>Source!H239</f>
        <v>100 приборов</v>
      </c>
      <c r="F152" s="9">
        <f>Source!I239</f>
        <v>0.18</v>
      </c>
      <c r="G152" s="21"/>
      <c r="H152" s="20"/>
      <c r="I152" s="9"/>
      <c r="J152" s="9"/>
      <c r="K152" s="21"/>
      <c r="L152" s="21"/>
      <c r="Q152">
        <f>ROUND((Source!BZ239/100)*ROUND((Source!AF239*Source!AV239)*Source!I239, 2), 2)</f>
        <v>2002.91</v>
      </c>
      <c r="R152">
        <f>Source!X239</f>
        <v>2002.91</v>
      </c>
      <c r="S152">
        <f>ROUND((Source!CA239/100)*ROUND((Source!AF239*Source!AV239)*Source!I239, 2), 2)</f>
        <v>286.13</v>
      </c>
      <c r="T152">
        <f>Source!Y239</f>
        <v>286.13</v>
      </c>
      <c r="U152">
        <f>ROUND((175/100)*ROUND((Source!AE239*Source!AV239)*Source!I239, 2), 2)</f>
        <v>0</v>
      </c>
      <c r="V152">
        <f>ROUND((108/100)*ROUND(Source!CS239*Source!I239, 2), 2)</f>
        <v>0</v>
      </c>
    </row>
    <row r="153" spans="1:22" x14ac:dyDescent="0.2">
      <c r="D153" s="28" t="str">
        <f>"Объем: "&amp;Source!I239&amp;"=18/"&amp;"100"</f>
        <v>Объем: 0,18=18/100</v>
      </c>
    </row>
    <row r="154" spans="1:22" ht="14.25" x14ac:dyDescent="0.2">
      <c r="A154" s="18"/>
      <c r="B154" s="18"/>
      <c r="C154" s="18"/>
      <c r="D154" s="18" t="s">
        <v>1100</v>
      </c>
      <c r="E154" s="19"/>
      <c r="F154" s="9"/>
      <c r="G154" s="21">
        <f>Source!AO239</f>
        <v>15896.11</v>
      </c>
      <c r="H154" s="20" t="str">
        <f>Source!DG239</f>
        <v/>
      </c>
      <c r="I154" s="9">
        <f>Source!AV239</f>
        <v>1</v>
      </c>
      <c r="J154" s="9">
        <f>IF(Source!BA239&lt;&gt; 0, Source!BA239, 1)</f>
        <v>1</v>
      </c>
      <c r="K154" s="21">
        <f>Source!S239</f>
        <v>2861.3</v>
      </c>
      <c r="L154" s="21"/>
    </row>
    <row r="155" spans="1:22" ht="14.25" x14ac:dyDescent="0.2">
      <c r="A155" s="18"/>
      <c r="B155" s="18"/>
      <c r="C155" s="18"/>
      <c r="D155" s="18" t="s">
        <v>1102</v>
      </c>
      <c r="E155" s="19" t="s">
        <v>1103</v>
      </c>
      <c r="F155" s="9">
        <f>Source!AT239</f>
        <v>70</v>
      </c>
      <c r="G155" s="21"/>
      <c r="H155" s="20"/>
      <c r="I155" s="9"/>
      <c r="J155" s="9"/>
      <c r="K155" s="21">
        <f>SUM(R152:R154)</f>
        <v>2002.91</v>
      </c>
      <c r="L155" s="21"/>
    </row>
    <row r="156" spans="1:22" ht="14.25" x14ac:dyDescent="0.2">
      <c r="A156" s="18"/>
      <c r="B156" s="18"/>
      <c r="C156" s="18"/>
      <c r="D156" s="18" t="s">
        <v>1104</v>
      </c>
      <c r="E156" s="19" t="s">
        <v>1103</v>
      </c>
      <c r="F156" s="9">
        <f>Source!AU239</f>
        <v>10</v>
      </c>
      <c r="G156" s="21"/>
      <c r="H156" s="20"/>
      <c r="I156" s="9"/>
      <c r="J156" s="9"/>
      <c r="K156" s="21">
        <f>SUM(T152:T155)</f>
        <v>286.13</v>
      </c>
      <c r="L156" s="21"/>
    </row>
    <row r="157" spans="1:22" ht="14.25" x14ac:dyDescent="0.2">
      <c r="A157" s="18"/>
      <c r="B157" s="18"/>
      <c r="C157" s="18"/>
      <c r="D157" s="18" t="s">
        <v>1105</v>
      </c>
      <c r="E157" s="19" t="s">
        <v>1106</v>
      </c>
      <c r="F157" s="9">
        <f>Source!AQ239</f>
        <v>26.7</v>
      </c>
      <c r="G157" s="21"/>
      <c r="H157" s="20" t="str">
        <f>Source!DI239</f>
        <v/>
      </c>
      <c r="I157" s="9">
        <f>Source!AV239</f>
        <v>1</v>
      </c>
      <c r="J157" s="9"/>
      <c r="K157" s="21"/>
      <c r="L157" s="21">
        <f>Source!U239</f>
        <v>4.806</v>
      </c>
    </row>
    <row r="158" spans="1:22" ht="15" x14ac:dyDescent="0.25">
      <c r="A158" s="23"/>
      <c r="B158" s="23"/>
      <c r="C158" s="23"/>
      <c r="D158" s="23"/>
      <c r="E158" s="23"/>
      <c r="F158" s="23"/>
      <c r="G158" s="23"/>
      <c r="H158" s="23"/>
      <c r="I158" s="23"/>
      <c r="J158" s="44">
        <f>K154+K155+K156</f>
        <v>5150.34</v>
      </c>
      <c r="K158" s="44"/>
      <c r="L158" s="24">
        <f>IF(Source!I239&lt;&gt;0, ROUND(J158/Source!I239, 2), 0)</f>
        <v>28613</v>
      </c>
      <c r="P158" s="22">
        <f>J158</f>
        <v>5150.34</v>
      </c>
    </row>
    <row r="159" spans="1:22" ht="28.5" x14ac:dyDescent="0.2">
      <c r="A159" s="18">
        <v>12</v>
      </c>
      <c r="B159" s="18">
        <v>12</v>
      </c>
      <c r="C159" s="18" t="str">
        <f>Source!F240</f>
        <v>1.16-2203-1-1/1</v>
      </c>
      <c r="D159" s="18" t="str">
        <f>Source!G240</f>
        <v>Прочистка сифонов</v>
      </c>
      <c r="E159" s="19" t="str">
        <f>Source!H240</f>
        <v>100 шт.</v>
      </c>
      <c r="F159" s="9">
        <f>Source!I240</f>
        <v>0.25</v>
      </c>
      <c r="G159" s="21"/>
      <c r="H159" s="20"/>
      <c r="I159" s="9"/>
      <c r="J159" s="9"/>
      <c r="K159" s="21"/>
      <c r="L159" s="21"/>
      <c r="Q159">
        <f>ROUND((Source!BZ240/100)*ROUND((Source!AF240*Source!AV240)*Source!I240, 2), 2)</f>
        <v>2485.34</v>
      </c>
      <c r="R159">
        <f>Source!X240</f>
        <v>2485.34</v>
      </c>
      <c r="S159">
        <f>ROUND((Source!CA240/100)*ROUND((Source!AF240*Source!AV240)*Source!I240, 2), 2)</f>
        <v>355.05</v>
      </c>
      <c r="T159">
        <f>Source!Y240</f>
        <v>355.05</v>
      </c>
      <c r="U159">
        <f>ROUND((175/100)*ROUND((Source!AE240*Source!AV240)*Source!I240, 2), 2)</f>
        <v>0</v>
      </c>
      <c r="V159">
        <f>ROUND((108/100)*ROUND(Source!CS240*Source!I240, 2), 2)</f>
        <v>0</v>
      </c>
    </row>
    <row r="160" spans="1:22" x14ac:dyDescent="0.2">
      <c r="D160" s="28" t="str">
        <f>"Объем: "&amp;Source!I240&amp;"=(15+"&amp;"10)/"&amp;"100"</f>
        <v>Объем: 0,25=(15+10)/100</v>
      </c>
    </row>
    <row r="161" spans="1:22" ht="14.25" x14ac:dyDescent="0.2">
      <c r="A161" s="18"/>
      <c r="B161" s="18"/>
      <c r="C161" s="18"/>
      <c r="D161" s="18" t="s">
        <v>1100</v>
      </c>
      <c r="E161" s="19"/>
      <c r="F161" s="9"/>
      <c r="G161" s="21">
        <f>Source!AO240</f>
        <v>14201.94</v>
      </c>
      <c r="H161" s="20" t="str">
        <f>Source!DG240</f>
        <v/>
      </c>
      <c r="I161" s="9">
        <f>Source!AV240</f>
        <v>1</v>
      </c>
      <c r="J161" s="9">
        <f>IF(Source!BA240&lt;&gt; 0, Source!BA240, 1)</f>
        <v>1</v>
      </c>
      <c r="K161" s="21">
        <f>Source!S240</f>
        <v>3550.49</v>
      </c>
      <c r="L161" s="21"/>
    </row>
    <row r="162" spans="1:22" ht="14.25" x14ac:dyDescent="0.2">
      <c r="A162" s="18"/>
      <c r="B162" s="18"/>
      <c r="C162" s="18"/>
      <c r="D162" s="18" t="s">
        <v>1101</v>
      </c>
      <c r="E162" s="19"/>
      <c r="F162" s="9"/>
      <c r="G162" s="21">
        <f>Source!AL240</f>
        <v>243.57</v>
      </c>
      <c r="H162" s="20" t="str">
        <f>Source!DD240</f>
        <v/>
      </c>
      <c r="I162" s="9">
        <f>Source!AW240</f>
        <v>1</v>
      </c>
      <c r="J162" s="9">
        <f>IF(Source!BC240&lt;&gt; 0, Source!BC240, 1)</f>
        <v>1</v>
      </c>
      <c r="K162" s="21">
        <f>Source!P240</f>
        <v>60.89</v>
      </c>
      <c r="L162" s="21"/>
    </row>
    <row r="163" spans="1:22" ht="14.25" x14ac:dyDescent="0.2">
      <c r="A163" s="18"/>
      <c r="B163" s="18"/>
      <c r="C163" s="18"/>
      <c r="D163" s="18" t="s">
        <v>1102</v>
      </c>
      <c r="E163" s="19" t="s">
        <v>1103</v>
      </c>
      <c r="F163" s="9">
        <f>Source!AT240</f>
        <v>70</v>
      </c>
      <c r="G163" s="21"/>
      <c r="H163" s="20"/>
      <c r="I163" s="9"/>
      <c r="J163" s="9"/>
      <c r="K163" s="21">
        <f>SUM(R159:R162)</f>
        <v>2485.34</v>
      </c>
      <c r="L163" s="21"/>
    </row>
    <row r="164" spans="1:22" ht="14.25" x14ac:dyDescent="0.2">
      <c r="A164" s="18"/>
      <c r="B164" s="18"/>
      <c r="C164" s="18"/>
      <c r="D164" s="18" t="s">
        <v>1104</v>
      </c>
      <c r="E164" s="19" t="s">
        <v>1103</v>
      </c>
      <c r="F164" s="9">
        <f>Source!AU240</f>
        <v>10</v>
      </c>
      <c r="G164" s="21"/>
      <c r="H164" s="20"/>
      <c r="I164" s="9"/>
      <c r="J164" s="9"/>
      <c r="K164" s="21">
        <f>SUM(T159:T163)</f>
        <v>355.05</v>
      </c>
      <c r="L164" s="21"/>
    </row>
    <row r="165" spans="1:22" ht="14.25" x14ac:dyDescent="0.2">
      <c r="A165" s="18"/>
      <c r="B165" s="18"/>
      <c r="C165" s="18"/>
      <c r="D165" s="18" t="s">
        <v>1105</v>
      </c>
      <c r="E165" s="19" t="s">
        <v>1106</v>
      </c>
      <c r="F165" s="9">
        <f>Source!AQ240</f>
        <v>28.02</v>
      </c>
      <c r="G165" s="21"/>
      <c r="H165" s="20" t="str">
        <f>Source!DI240</f>
        <v/>
      </c>
      <c r="I165" s="9">
        <f>Source!AV240</f>
        <v>1</v>
      </c>
      <c r="J165" s="9"/>
      <c r="K165" s="21"/>
      <c r="L165" s="21">
        <f>Source!U240</f>
        <v>7.0049999999999999</v>
      </c>
    </row>
    <row r="166" spans="1:22" ht="15" x14ac:dyDescent="0.25">
      <c r="A166" s="23"/>
      <c r="B166" s="23"/>
      <c r="C166" s="23"/>
      <c r="D166" s="23"/>
      <c r="E166" s="23"/>
      <c r="F166" s="23"/>
      <c r="G166" s="23"/>
      <c r="H166" s="23"/>
      <c r="I166" s="23"/>
      <c r="J166" s="44">
        <f>K161+K162+K163+K164</f>
        <v>6451.7699999999995</v>
      </c>
      <c r="K166" s="44"/>
      <c r="L166" s="24">
        <f>IF(Source!I240&lt;&gt;0, ROUND(J166/Source!I240, 2), 0)</f>
        <v>25807.08</v>
      </c>
      <c r="P166" s="22">
        <f>J166</f>
        <v>6451.7699999999995</v>
      </c>
    </row>
    <row r="167" spans="1:22" ht="42.75" x14ac:dyDescent="0.2">
      <c r="A167" s="18">
        <v>13</v>
      </c>
      <c r="B167" s="18">
        <v>13</v>
      </c>
      <c r="C167" s="18" t="str">
        <f>Source!F241</f>
        <v>1.21-2303-24-1/1</v>
      </c>
      <c r="D167" s="18" t="str">
        <f>Source!G241</f>
        <v>Техническое обслуживание электроводонагревателей объемом до 80 литров</v>
      </c>
      <c r="E167" s="19" t="str">
        <f>Source!H241</f>
        <v>шт.</v>
      </c>
      <c r="F167" s="9">
        <f>Source!I241</f>
        <v>6</v>
      </c>
      <c r="G167" s="21"/>
      <c r="H167" s="20"/>
      <c r="I167" s="9"/>
      <c r="J167" s="9"/>
      <c r="K167" s="21"/>
      <c r="L167" s="21"/>
      <c r="Q167">
        <f>ROUND((Source!BZ241/100)*ROUND((Source!AF241*Source!AV241)*Source!I241, 2), 2)</f>
        <v>5224.93</v>
      </c>
      <c r="R167">
        <f>Source!X241</f>
        <v>5224.93</v>
      </c>
      <c r="S167">
        <f>ROUND((Source!CA241/100)*ROUND((Source!AF241*Source!AV241)*Source!I241, 2), 2)</f>
        <v>746.42</v>
      </c>
      <c r="T167">
        <f>Source!Y241</f>
        <v>746.42</v>
      </c>
      <c r="U167">
        <f>ROUND((175/100)*ROUND((Source!AE241*Source!AV241)*Source!I241, 2), 2)</f>
        <v>9395.09</v>
      </c>
      <c r="V167">
        <f>ROUND((108/100)*ROUND(Source!CS241*Source!I241, 2), 2)</f>
        <v>5798.11</v>
      </c>
    </row>
    <row r="168" spans="1:22" ht="14.25" x14ac:dyDescent="0.2">
      <c r="A168" s="18"/>
      <c r="B168" s="18"/>
      <c r="C168" s="18"/>
      <c r="D168" s="18" t="s">
        <v>1100</v>
      </c>
      <c r="E168" s="19"/>
      <c r="F168" s="9"/>
      <c r="G168" s="21">
        <f>Source!AO241</f>
        <v>1244.03</v>
      </c>
      <c r="H168" s="20" t="str">
        <f>Source!DG241</f>
        <v/>
      </c>
      <c r="I168" s="9">
        <f>Source!AV241</f>
        <v>1</v>
      </c>
      <c r="J168" s="9">
        <f>IF(Source!BA241&lt;&gt; 0, Source!BA241, 1)</f>
        <v>1</v>
      </c>
      <c r="K168" s="21">
        <f>Source!S241</f>
        <v>7464.18</v>
      </c>
      <c r="L168" s="21"/>
    </row>
    <row r="169" spans="1:22" ht="14.25" x14ac:dyDescent="0.2">
      <c r="A169" s="18"/>
      <c r="B169" s="18"/>
      <c r="C169" s="18"/>
      <c r="D169" s="18" t="s">
        <v>1107</v>
      </c>
      <c r="E169" s="19"/>
      <c r="F169" s="9"/>
      <c r="G169" s="21">
        <f>Source!AM241</f>
        <v>1411.16</v>
      </c>
      <c r="H169" s="20" t="str">
        <f>Source!DE241</f>
        <v/>
      </c>
      <c r="I169" s="9">
        <f>Source!AV241</f>
        <v>1</v>
      </c>
      <c r="J169" s="9">
        <f>IF(Source!BB241&lt;&gt; 0, Source!BB241, 1)</f>
        <v>1</v>
      </c>
      <c r="K169" s="21">
        <f>Source!Q241</f>
        <v>8466.9599999999991</v>
      </c>
      <c r="L169" s="21"/>
    </row>
    <row r="170" spans="1:22" ht="14.25" x14ac:dyDescent="0.2">
      <c r="A170" s="18"/>
      <c r="B170" s="18"/>
      <c r="C170" s="18"/>
      <c r="D170" s="18" t="s">
        <v>1108</v>
      </c>
      <c r="E170" s="19"/>
      <c r="F170" s="9"/>
      <c r="G170" s="21">
        <f>Source!AN241</f>
        <v>894.77</v>
      </c>
      <c r="H170" s="20" t="str">
        <f>Source!DF241</f>
        <v/>
      </c>
      <c r="I170" s="9">
        <f>Source!AV241</f>
        <v>1</v>
      </c>
      <c r="J170" s="9">
        <f>IF(Source!BS241&lt;&gt; 0, Source!BS241, 1)</f>
        <v>1</v>
      </c>
      <c r="K170" s="25">
        <f>Source!R241</f>
        <v>5368.62</v>
      </c>
      <c r="L170" s="21"/>
    </row>
    <row r="171" spans="1:22" ht="14.25" x14ac:dyDescent="0.2">
      <c r="A171" s="18"/>
      <c r="B171" s="18"/>
      <c r="C171" s="18"/>
      <c r="D171" s="18" t="s">
        <v>1101</v>
      </c>
      <c r="E171" s="19"/>
      <c r="F171" s="9"/>
      <c r="G171" s="21">
        <f>Source!AL241</f>
        <v>0.63</v>
      </c>
      <c r="H171" s="20" t="str">
        <f>Source!DD241</f>
        <v/>
      </c>
      <c r="I171" s="9">
        <f>Source!AW241</f>
        <v>1</v>
      </c>
      <c r="J171" s="9">
        <f>IF(Source!BC241&lt;&gt; 0, Source!BC241, 1)</f>
        <v>1</v>
      </c>
      <c r="K171" s="21">
        <f>Source!P241</f>
        <v>3.78</v>
      </c>
      <c r="L171" s="21"/>
    </row>
    <row r="172" spans="1:22" ht="14.25" x14ac:dyDescent="0.2">
      <c r="A172" s="18"/>
      <c r="B172" s="18"/>
      <c r="C172" s="18"/>
      <c r="D172" s="18" t="s">
        <v>1102</v>
      </c>
      <c r="E172" s="19" t="s">
        <v>1103</v>
      </c>
      <c r="F172" s="9">
        <f>Source!AT241</f>
        <v>70</v>
      </c>
      <c r="G172" s="21"/>
      <c r="H172" s="20"/>
      <c r="I172" s="9"/>
      <c r="J172" s="9"/>
      <c r="K172" s="21">
        <f>SUM(R167:R171)</f>
        <v>5224.93</v>
      </c>
      <c r="L172" s="21"/>
    </row>
    <row r="173" spans="1:22" ht="14.25" x14ac:dyDescent="0.2">
      <c r="A173" s="18"/>
      <c r="B173" s="18"/>
      <c r="C173" s="18"/>
      <c r="D173" s="18" t="s">
        <v>1104</v>
      </c>
      <c r="E173" s="19" t="s">
        <v>1103</v>
      </c>
      <c r="F173" s="9">
        <f>Source!AU241</f>
        <v>10</v>
      </c>
      <c r="G173" s="21"/>
      <c r="H173" s="20"/>
      <c r="I173" s="9"/>
      <c r="J173" s="9"/>
      <c r="K173" s="21">
        <f>SUM(T167:T172)</f>
        <v>746.42</v>
      </c>
      <c r="L173" s="21"/>
    </row>
    <row r="174" spans="1:22" ht="14.25" x14ac:dyDescent="0.2">
      <c r="A174" s="18"/>
      <c r="B174" s="18"/>
      <c r="C174" s="18"/>
      <c r="D174" s="18" t="s">
        <v>1109</v>
      </c>
      <c r="E174" s="19" t="s">
        <v>1103</v>
      </c>
      <c r="F174" s="9">
        <f>108</f>
        <v>108</v>
      </c>
      <c r="G174" s="21"/>
      <c r="H174" s="20"/>
      <c r="I174" s="9"/>
      <c r="J174" s="9"/>
      <c r="K174" s="21">
        <f>SUM(V167:V173)</f>
        <v>5798.11</v>
      </c>
      <c r="L174" s="21"/>
    </row>
    <row r="175" spans="1:22" ht="14.25" x14ac:dyDescent="0.2">
      <c r="A175" s="18"/>
      <c r="B175" s="18"/>
      <c r="C175" s="18"/>
      <c r="D175" s="18" t="s">
        <v>1105</v>
      </c>
      <c r="E175" s="19" t="s">
        <v>1106</v>
      </c>
      <c r="F175" s="9">
        <f>Source!AQ241</f>
        <v>1.75</v>
      </c>
      <c r="G175" s="21"/>
      <c r="H175" s="20" t="str">
        <f>Source!DI241</f>
        <v/>
      </c>
      <c r="I175" s="9">
        <f>Source!AV241</f>
        <v>1</v>
      </c>
      <c r="J175" s="9"/>
      <c r="K175" s="21"/>
      <c r="L175" s="21">
        <f>Source!U241</f>
        <v>10.5</v>
      </c>
    </row>
    <row r="176" spans="1:22" ht="15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44">
        <f>K168+K169+K171+K172+K173+K174</f>
        <v>27704.379999999997</v>
      </c>
      <c r="K176" s="44"/>
      <c r="L176" s="24">
        <f>IF(Source!I241&lt;&gt;0, ROUND(J176/Source!I241, 2), 0)</f>
        <v>4617.3999999999996</v>
      </c>
      <c r="P176" s="22">
        <f>J176</f>
        <v>27704.379999999997</v>
      </c>
    </row>
    <row r="177" spans="1:29" ht="71.25" x14ac:dyDescent="0.2">
      <c r="A177" s="18">
        <v>14</v>
      </c>
      <c r="B177" s="18">
        <v>14</v>
      </c>
      <c r="C177" s="18" t="str">
        <f>Source!F242</f>
        <v>1.23-2103-41-1/1</v>
      </c>
      <c r="D177" s="18" t="str">
        <f>Source!G242</f>
        <v>Техническое обслуживание регулирующего клапана / Набор для водонагервателя: клапан латунь с курком, сливная трубка 1/2 ВН-НР, 10бар  ITAP</v>
      </c>
      <c r="E177" s="19" t="str">
        <f>Source!H242</f>
        <v>шт.</v>
      </c>
      <c r="F177" s="9">
        <f>Source!I242</f>
        <v>6</v>
      </c>
      <c r="G177" s="21"/>
      <c r="H177" s="20"/>
      <c r="I177" s="9"/>
      <c r="J177" s="9"/>
      <c r="K177" s="21"/>
      <c r="L177" s="21"/>
      <c r="Q177">
        <f>ROUND((Source!BZ242/100)*ROUND((Source!AF242*Source!AV242)*Source!I242, 2), 2)</f>
        <v>873.6</v>
      </c>
      <c r="R177">
        <f>Source!X242</f>
        <v>873.6</v>
      </c>
      <c r="S177">
        <f>ROUND((Source!CA242/100)*ROUND((Source!AF242*Source!AV242)*Source!I242, 2), 2)</f>
        <v>124.8</v>
      </c>
      <c r="T177">
        <f>Source!Y242</f>
        <v>124.8</v>
      </c>
      <c r="U177">
        <f>ROUND((175/100)*ROUND((Source!AE242*Source!AV242)*Source!I242, 2), 2)</f>
        <v>520.49</v>
      </c>
      <c r="V177">
        <f>ROUND((108/100)*ROUND(Source!CS242*Source!I242, 2), 2)</f>
        <v>321.20999999999998</v>
      </c>
    </row>
    <row r="178" spans="1:29" ht="14.25" x14ac:dyDescent="0.2">
      <c r="A178" s="18"/>
      <c r="B178" s="18"/>
      <c r="C178" s="18"/>
      <c r="D178" s="18" t="s">
        <v>1100</v>
      </c>
      <c r="E178" s="19"/>
      <c r="F178" s="9"/>
      <c r="G178" s="21">
        <f>Source!AO242</f>
        <v>208</v>
      </c>
      <c r="H178" s="20" t="str">
        <f>Source!DG242</f>
        <v/>
      </c>
      <c r="I178" s="9">
        <f>Source!AV242</f>
        <v>1</v>
      </c>
      <c r="J178" s="9">
        <f>IF(Source!BA242&lt;&gt; 0, Source!BA242, 1)</f>
        <v>1</v>
      </c>
      <c r="K178" s="21">
        <f>Source!S242</f>
        <v>1248</v>
      </c>
      <c r="L178" s="21"/>
    </row>
    <row r="179" spans="1:29" ht="14.25" x14ac:dyDescent="0.2">
      <c r="A179" s="18"/>
      <c r="B179" s="18"/>
      <c r="C179" s="18"/>
      <c r="D179" s="18" t="s">
        <v>1107</v>
      </c>
      <c r="E179" s="19"/>
      <c r="F179" s="9"/>
      <c r="G179" s="21">
        <f>Source!AM242</f>
        <v>78.180000000000007</v>
      </c>
      <c r="H179" s="20" t="str">
        <f>Source!DE242</f>
        <v/>
      </c>
      <c r="I179" s="9">
        <f>Source!AV242</f>
        <v>1</v>
      </c>
      <c r="J179" s="9">
        <f>IF(Source!BB242&lt;&gt; 0, Source!BB242, 1)</f>
        <v>1</v>
      </c>
      <c r="K179" s="21">
        <f>Source!Q242</f>
        <v>469.08</v>
      </c>
      <c r="L179" s="21"/>
    </row>
    <row r="180" spans="1:29" ht="14.25" x14ac:dyDescent="0.2">
      <c r="A180" s="18"/>
      <c r="B180" s="18"/>
      <c r="C180" s="18"/>
      <c r="D180" s="18" t="s">
        <v>1108</v>
      </c>
      <c r="E180" s="19"/>
      <c r="F180" s="9"/>
      <c r="G180" s="21">
        <f>Source!AN242</f>
        <v>49.57</v>
      </c>
      <c r="H180" s="20" t="str">
        <f>Source!DF242</f>
        <v/>
      </c>
      <c r="I180" s="9">
        <f>Source!AV242</f>
        <v>1</v>
      </c>
      <c r="J180" s="9">
        <f>IF(Source!BS242&lt;&gt; 0, Source!BS242, 1)</f>
        <v>1</v>
      </c>
      <c r="K180" s="25">
        <f>Source!R242</f>
        <v>297.42</v>
      </c>
      <c r="L180" s="21"/>
    </row>
    <row r="181" spans="1:29" ht="14.25" x14ac:dyDescent="0.2">
      <c r="A181" s="18"/>
      <c r="B181" s="18"/>
      <c r="C181" s="18"/>
      <c r="D181" s="18" t="s">
        <v>1102</v>
      </c>
      <c r="E181" s="19" t="s">
        <v>1103</v>
      </c>
      <c r="F181" s="9">
        <f>Source!AT242</f>
        <v>70</v>
      </c>
      <c r="G181" s="21"/>
      <c r="H181" s="20"/>
      <c r="I181" s="9"/>
      <c r="J181" s="9"/>
      <c r="K181" s="21">
        <f>SUM(R177:R180)</f>
        <v>873.6</v>
      </c>
      <c r="L181" s="21"/>
    </row>
    <row r="182" spans="1:29" ht="14.25" x14ac:dyDescent="0.2">
      <c r="A182" s="18"/>
      <c r="B182" s="18"/>
      <c r="C182" s="18"/>
      <c r="D182" s="18" t="s">
        <v>1104</v>
      </c>
      <c r="E182" s="19" t="s">
        <v>1103</v>
      </c>
      <c r="F182" s="9">
        <f>Source!AU242</f>
        <v>10</v>
      </c>
      <c r="G182" s="21"/>
      <c r="H182" s="20"/>
      <c r="I182" s="9"/>
      <c r="J182" s="9"/>
      <c r="K182" s="21">
        <f>SUM(T177:T181)</f>
        <v>124.8</v>
      </c>
      <c r="L182" s="21"/>
    </row>
    <row r="183" spans="1:29" ht="14.25" x14ac:dyDescent="0.2">
      <c r="A183" s="18"/>
      <c r="B183" s="18"/>
      <c r="C183" s="18"/>
      <c r="D183" s="18" t="s">
        <v>1109</v>
      </c>
      <c r="E183" s="19" t="s">
        <v>1103</v>
      </c>
      <c r="F183" s="9">
        <f>108</f>
        <v>108</v>
      </c>
      <c r="G183" s="21"/>
      <c r="H183" s="20"/>
      <c r="I183" s="9"/>
      <c r="J183" s="9"/>
      <c r="K183" s="21">
        <f>SUM(V177:V182)</f>
        <v>321.20999999999998</v>
      </c>
      <c r="L183" s="21"/>
    </row>
    <row r="184" spans="1:29" ht="14.25" x14ac:dyDescent="0.2">
      <c r="A184" s="18"/>
      <c r="B184" s="18"/>
      <c r="C184" s="18"/>
      <c r="D184" s="18" t="s">
        <v>1105</v>
      </c>
      <c r="E184" s="19" t="s">
        <v>1106</v>
      </c>
      <c r="F184" s="9">
        <f>Source!AQ242</f>
        <v>0.37</v>
      </c>
      <c r="G184" s="21"/>
      <c r="H184" s="20" t="str">
        <f>Source!DI242</f>
        <v/>
      </c>
      <c r="I184" s="9">
        <f>Source!AV242</f>
        <v>1</v>
      </c>
      <c r="J184" s="9"/>
      <c r="K184" s="21"/>
      <c r="L184" s="21">
        <f>Source!U242</f>
        <v>2.2199999999999998</v>
      </c>
    </row>
    <row r="185" spans="1:29" ht="15" x14ac:dyDescent="0.25">
      <c r="A185" s="23"/>
      <c r="B185" s="23"/>
      <c r="C185" s="23"/>
      <c r="D185" s="23"/>
      <c r="E185" s="23"/>
      <c r="F185" s="23"/>
      <c r="G185" s="23"/>
      <c r="H185" s="23"/>
      <c r="I185" s="23"/>
      <c r="J185" s="44">
        <f>K178+K179+K181+K182+K183</f>
        <v>3036.69</v>
      </c>
      <c r="K185" s="44"/>
      <c r="L185" s="24">
        <f>IF(Source!I242&lt;&gt;0, ROUND(J185/Source!I242, 2), 0)</f>
        <v>506.12</v>
      </c>
      <c r="P185" s="22">
        <f>J185</f>
        <v>3036.69</v>
      </c>
    </row>
    <row r="187" spans="1:29" ht="30" x14ac:dyDescent="0.25">
      <c r="C187" s="47" t="str">
        <f>Source!G243</f>
        <v>Система обратного осмоса Waterstry NW-RO50-A1 5 ступеней (50GPD, насос, бак 11,6л, кран D-13) (NW-RO50-A1) NW-RO50-A1 Waterstry</v>
      </c>
      <c r="D187" s="47"/>
      <c r="E187" s="47"/>
      <c r="F187" s="47"/>
      <c r="G187" s="47"/>
      <c r="H187" s="47"/>
      <c r="I187" s="47"/>
      <c r="J187" s="47"/>
      <c r="K187" s="47"/>
      <c r="AC187" s="29" t="str">
        <f>Source!G243</f>
        <v>Система обратного осмоса Waterstry NW-RO50-A1 5 ступеней (50GPD, насос, бак 11,6л, кран D-13) (NW-RO50-A1) NW-RO50-A1 Waterstry</v>
      </c>
    </row>
    <row r="188" spans="1:29" ht="42.75" x14ac:dyDescent="0.2">
      <c r="A188" s="18">
        <v>15</v>
      </c>
      <c r="B188" s="18">
        <v>15</v>
      </c>
      <c r="C188" s="18" t="str">
        <f>Source!F244</f>
        <v>1.17-2103-14-10/1</v>
      </c>
      <c r="D188" s="18" t="str">
        <f>Source!G244</f>
        <v>Техническое обслуживание мембранного расширительного бака объемом 18 л</v>
      </c>
      <c r="E188" s="19" t="str">
        <f>Source!H244</f>
        <v>шт.</v>
      </c>
      <c r="F188" s="9">
        <f>Source!I244</f>
        <v>1</v>
      </c>
      <c r="G188" s="21"/>
      <c r="H188" s="20"/>
      <c r="I188" s="9"/>
      <c r="J188" s="9"/>
      <c r="K188" s="21"/>
      <c r="L188" s="21"/>
      <c r="Q188">
        <f>ROUND((Source!BZ244/100)*ROUND((Source!AF244*Source!AV244)*Source!I244, 2), 2)</f>
        <v>90.77</v>
      </c>
      <c r="R188">
        <f>Source!X244</f>
        <v>90.77</v>
      </c>
      <c r="S188">
        <f>ROUND((Source!CA244/100)*ROUND((Source!AF244*Source!AV244)*Source!I244, 2), 2)</f>
        <v>12.97</v>
      </c>
      <c r="T188">
        <f>Source!Y244</f>
        <v>12.97</v>
      </c>
      <c r="U188">
        <f>ROUND((175/100)*ROUND((Source!AE244*Source!AV244)*Source!I244, 2), 2)</f>
        <v>0</v>
      </c>
      <c r="V188">
        <f>ROUND((108/100)*ROUND(Source!CS244*Source!I244, 2), 2)</f>
        <v>0</v>
      </c>
    </row>
    <row r="189" spans="1:29" ht="14.25" x14ac:dyDescent="0.2">
      <c r="A189" s="18"/>
      <c r="B189" s="18"/>
      <c r="C189" s="18"/>
      <c r="D189" s="18" t="s">
        <v>1100</v>
      </c>
      <c r="E189" s="19"/>
      <c r="F189" s="9"/>
      <c r="G189" s="21">
        <f>Source!AO244</f>
        <v>129.66999999999999</v>
      </c>
      <c r="H189" s="20" t="str">
        <f>Source!DG244</f>
        <v/>
      </c>
      <c r="I189" s="9">
        <f>Source!AV244</f>
        <v>1</v>
      </c>
      <c r="J189" s="9">
        <f>IF(Source!BA244&lt;&gt; 0, Source!BA244, 1)</f>
        <v>1</v>
      </c>
      <c r="K189" s="21">
        <f>Source!S244</f>
        <v>129.66999999999999</v>
      </c>
      <c r="L189" s="21"/>
    </row>
    <row r="190" spans="1:29" ht="14.25" x14ac:dyDescent="0.2">
      <c r="A190" s="18"/>
      <c r="B190" s="18"/>
      <c r="C190" s="18"/>
      <c r="D190" s="18" t="s">
        <v>1101</v>
      </c>
      <c r="E190" s="19"/>
      <c r="F190" s="9"/>
      <c r="G190" s="21">
        <f>Source!AL244</f>
        <v>0.14000000000000001</v>
      </c>
      <c r="H190" s="20" t="str">
        <f>Source!DD244</f>
        <v/>
      </c>
      <c r="I190" s="9">
        <f>Source!AW244</f>
        <v>1</v>
      </c>
      <c r="J190" s="9">
        <f>IF(Source!BC244&lt;&gt; 0, Source!BC244, 1)</f>
        <v>1</v>
      </c>
      <c r="K190" s="21">
        <f>Source!P244</f>
        <v>0.14000000000000001</v>
      </c>
      <c r="L190" s="21"/>
    </row>
    <row r="191" spans="1:29" ht="14.25" x14ac:dyDescent="0.2">
      <c r="A191" s="18"/>
      <c r="B191" s="18"/>
      <c r="C191" s="18"/>
      <c r="D191" s="18" t="s">
        <v>1102</v>
      </c>
      <c r="E191" s="19" t="s">
        <v>1103</v>
      </c>
      <c r="F191" s="9">
        <f>Source!AT244</f>
        <v>70</v>
      </c>
      <c r="G191" s="21"/>
      <c r="H191" s="20"/>
      <c r="I191" s="9"/>
      <c r="J191" s="9"/>
      <c r="K191" s="21">
        <f>SUM(R188:R190)</f>
        <v>90.77</v>
      </c>
      <c r="L191" s="21"/>
    </row>
    <row r="192" spans="1:29" ht="14.25" x14ac:dyDescent="0.2">
      <c r="A192" s="18"/>
      <c r="B192" s="18"/>
      <c r="C192" s="18"/>
      <c r="D192" s="18" t="s">
        <v>1104</v>
      </c>
      <c r="E192" s="19" t="s">
        <v>1103</v>
      </c>
      <c r="F192" s="9">
        <f>Source!AU244</f>
        <v>10</v>
      </c>
      <c r="G192" s="21"/>
      <c r="H192" s="20"/>
      <c r="I192" s="9"/>
      <c r="J192" s="9"/>
      <c r="K192" s="21">
        <f>SUM(T188:T191)</f>
        <v>12.97</v>
      </c>
      <c r="L192" s="21"/>
    </row>
    <row r="193" spans="1:22" ht="14.25" x14ac:dyDescent="0.2">
      <c r="A193" s="18"/>
      <c r="B193" s="18"/>
      <c r="C193" s="18"/>
      <c r="D193" s="18" t="s">
        <v>1105</v>
      </c>
      <c r="E193" s="19" t="s">
        <v>1106</v>
      </c>
      <c r="F193" s="9">
        <f>Source!AQ244</f>
        <v>0.21</v>
      </c>
      <c r="G193" s="21"/>
      <c r="H193" s="20" t="str">
        <f>Source!DI244</f>
        <v/>
      </c>
      <c r="I193" s="9">
        <f>Source!AV244</f>
        <v>1</v>
      </c>
      <c r="J193" s="9"/>
      <c r="K193" s="21"/>
      <c r="L193" s="21">
        <f>Source!U244</f>
        <v>0.21</v>
      </c>
    </row>
    <row r="194" spans="1:22" ht="15" x14ac:dyDescent="0.25">
      <c r="A194" s="23"/>
      <c r="B194" s="23"/>
      <c r="C194" s="23"/>
      <c r="D194" s="23"/>
      <c r="E194" s="23"/>
      <c r="F194" s="23"/>
      <c r="G194" s="23"/>
      <c r="H194" s="23"/>
      <c r="I194" s="23"/>
      <c r="J194" s="44">
        <f>K189+K190+K191+K192</f>
        <v>233.54999999999998</v>
      </c>
      <c r="K194" s="44"/>
      <c r="L194" s="24">
        <f>IF(Source!I244&lt;&gt;0, ROUND(J194/Source!I244, 2), 0)</f>
        <v>233.55</v>
      </c>
      <c r="P194" s="22">
        <f>J194</f>
        <v>233.54999999999998</v>
      </c>
    </row>
    <row r="195" spans="1:22" ht="57" x14ac:dyDescent="0.2">
      <c r="A195" s="18">
        <v>16</v>
      </c>
      <c r="B195" s="18">
        <v>16</v>
      </c>
      <c r="C195" s="18" t="str">
        <f>Source!F245</f>
        <v>1.23-2103-41-1/1</v>
      </c>
      <c r="D195" s="18" t="str">
        <f>Source!G245</f>
        <v>Техническое обслуживание регулирующего клапана / водоразборный кран установки обратного осмоса</v>
      </c>
      <c r="E195" s="19" t="str">
        <f>Source!H245</f>
        <v>шт.</v>
      </c>
      <c r="F195" s="9">
        <f>Source!I245</f>
        <v>1</v>
      </c>
      <c r="G195" s="21"/>
      <c r="H195" s="20"/>
      <c r="I195" s="9"/>
      <c r="J195" s="9"/>
      <c r="K195" s="21"/>
      <c r="L195" s="21"/>
      <c r="Q195">
        <f>ROUND((Source!BZ245/100)*ROUND((Source!AF245*Source!AV245)*Source!I245, 2), 2)</f>
        <v>291.2</v>
      </c>
      <c r="R195">
        <f>Source!X245</f>
        <v>291.2</v>
      </c>
      <c r="S195">
        <f>ROUND((Source!CA245/100)*ROUND((Source!AF245*Source!AV245)*Source!I245, 2), 2)</f>
        <v>41.6</v>
      </c>
      <c r="T195">
        <f>Source!Y245</f>
        <v>41.6</v>
      </c>
      <c r="U195">
        <f>ROUND((175/100)*ROUND((Source!AE245*Source!AV245)*Source!I245, 2), 2)</f>
        <v>173.5</v>
      </c>
      <c r="V195">
        <f>ROUND((108/100)*ROUND(Source!CS245*Source!I245, 2), 2)</f>
        <v>107.07</v>
      </c>
    </row>
    <row r="196" spans="1:22" ht="14.25" x14ac:dyDescent="0.2">
      <c r="A196" s="18"/>
      <c r="B196" s="18"/>
      <c r="C196" s="18"/>
      <c r="D196" s="18" t="s">
        <v>1100</v>
      </c>
      <c r="E196" s="19"/>
      <c r="F196" s="9"/>
      <c r="G196" s="21">
        <f>Source!AO245</f>
        <v>208</v>
      </c>
      <c r="H196" s="20" t="str">
        <f>Source!DG245</f>
        <v>)*2</v>
      </c>
      <c r="I196" s="9">
        <f>Source!AV245</f>
        <v>1</v>
      </c>
      <c r="J196" s="9">
        <f>IF(Source!BA245&lt;&gt; 0, Source!BA245, 1)</f>
        <v>1</v>
      </c>
      <c r="K196" s="21">
        <f>Source!S245</f>
        <v>416</v>
      </c>
      <c r="L196" s="21"/>
    </row>
    <row r="197" spans="1:22" ht="14.25" x14ac:dyDescent="0.2">
      <c r="A197" s="18"/>
      <c r="B197" s="18"/>
      <c r="C197" s="18"/>
      <c r="D197" s="18" t="s">
        <v>1107</v>
      </c>
      <c r="E197" s="19"/>
      <c r="F197" s="9"/>
      <c r="G197" s="21">
        <f>Source!AM245</f>
        <v>78.180000000000007</v>
      </c>
      <c r="H197" s="20" t="str">
        <f>Source!DE245</f>
        <v>)*2</v>
      </c>
      <c r="I197" s="9">
        <f>Source!AV245</f>
        <v>1</v>
      </c>
      <c r="J197" s="9">
        <f>IF(Source!BB245&lt;&gt; 0, Source!BB245, 1)</f>
        <v>1</v>
      </c>
      <c r="K197" s="21">
        <f>Source!Q245</f>
        <v>156.36000000000001</v>
      </c>
      <c r="L197" s="21"/>
    </row>
    <row r="198" spans="1:22" ht="14.25" x14ac:dyDescent="0.2">
      <c r="A198" s="18"/>
      <c r="B198" s="18"/>
      <c r="C198" s="18"/>
      <c r="D198" s="18" t="s">
        <v>1108</v>
      </c>
      <c r="E198" s="19"/>
      <c r="F198" s="9"/>
      <c r="G198" s="21">
        <f>Source!AN245</f>
        <v>49.57</v>
      </c>
      <c r="H198" s="20" t="str">
        <f>Source!DF245</f>
        <v>)*2</v>
      </c>
      <c r="I198" s="9">
        <f>Source!AV245</f>
        <v>1</v>
      </c>
      <c r="J198" s="9">
        <f>IF(Source!BS245&lt;&gt; 0, Source!BS245, 1)</f>
        <v>1</v>
      </c>
      <c r="K198" s="25">
        <f>Source!R245</f>
        <v>99.14</v>
      </c>
      <c r="L198" s="21"/>
    </row>
    <row r="199" spans="1:22" ht="14.25" x14ac:dyDescent="0.2">
      <c r="A199" s="18"/>
      <c r="B199" s="18"/>
      <c r="C199" s="18"/>
      <c r="D199" s="18" t="s">
        <v>1102</v>
      </c>
      <c r="E199" s="19" t="s">
        <v>1103</v>
      </c>
      <c r="F199" s="9">
        <f>Source!AT245</f>
        <v>70</v>
      </c>
      <c r="G199" s="21"/>
      <c r="H199" s="20"/>
      <c r="I199" s="9"/>
      <c r="J199" s="9"/>
      <c r="K199" s="21">
        <f>SUM(R195:R198)</f>
        <v>291.2</v>
      </c>
      <c r="L199" s="21"/>
    </row>
    <row r="200" spans="1:22" ht="14.25" x14ac:dyDescent="0.2">
      <c r="A200" s="18"/>
      <c r="B200" s="18"/>
      <c r="C200" s="18"/>
      <c r="D200" s="18" t="s">
        <v>1104</v>
      </c>
      <c r="E200" s="19" t="s">
        <v>1103</v>
      </c>
      <c r="F200" s="9">
        <f>Source!AU245</f>
        <v>10</v>
      </c>
      <c r="G200" s="21"/>
      <c r="H200" s="20"/>
      <c r="I200" s="9"/>
      <c r="J200" s="9"/>
      <c r="K200" s="21">
        <f>SUM(T195:T199)</f>
        <v>41.6</v>
      </c>
      <c r="L200" s="21"/>
    </row>
    <row r="201" spans="1:22" ht="14.25" x14ac:dyDescent="0.2">
      <c r="A201" s="18"/>
      <c r="B201" s="18"/>
      <c r="C201" s="18"/>
      <c r="D201" s="18" t="s">
        <v>1109</v>
      </c>
      <c r="E201" s="19" t="s">
        <v>1103</v>
      </c>
      <c r="F201" s="9">
        <f>108</f>
        <v>108</v>
      </c>
      <c r="G201" s="21"/>
      <c r="H201" s="20"/>
      <c r="I201" s="9"/>
      <c r="J201" s="9"/>
      <c r="K201" s="21">
        <f>SUM(V195:V200)</f>
        <v>107.07</v>
      </c>
      <c r="L201" s="21"/>
    </row>
    <row r="202" spans="1:22" ht="14.25" x14ac:dyDescent="0.2">
      <c r="A202" s="18"/>
      <c r="B202" s="18"/>
      <c r="C202" s="18"/>
      <c r="D202" s="18" t="s">
        <v>1105</v>
      </c>
      <c r="E202" s="19" t="s">
        <v>1106</v>
      </c>
      <c r="F202" s="9">
        <f>Source!AQ245</f>
        <v>0.37</v>
      </c>
      <c r="G202" s="21"/>
      <c r="H202" s="20" t="str">
        <f>Source!DI245</f>
        <v>)*2</v>
      </c>
      <c r="I202" s="9">
        <f>Source!AV245</f>
        <v>1</v>
      </c>
      <c r="J202" s="9"/>
      <c r="K202" s="21"/>
      <c r="L202" s="21">
        <f>Source!U245</f>
        <v>0.74</v>
      </c>
    </row>
    <row r="203" spans="1:22" ht="15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44">
        <f>K196+K197+K199+K200+K201</f>
        <v>1012.23</v>
      </c>
      <c r="K203" s="44"/>
      <c r="L203" s="24">
        <f>IF(Source!I245&lt;&gt;0, ROUND(J203/Source!I245, 2), 0)</f>
        <v>1012.23</v>
      </c>
      <c r="P203" s="22">
        <f>J203</f>
        <v>1012.23</v>
      </c>
    </row>
    <row r="205" spans="1:22" ht="15" x14ac:dyDescent="0.25">
      <c r="A205" s="46" t="str">
        <f>CONCATENATE("Итого по подразделу: ",IF(Source!G251&lt;&gt;"Новый подраздел", Source!G251, ""))</f>
        <v>Итого по подразделу: Сантехприборы и оборудование</v>
      </c>
      <c r="B205" s="46"/>
      <c r="C205" s="46"/>
      <c r="D205" s="46"/>
      <c r="E205" s="46"/>
      <c r="F205" s="46"/>
      <c r="G205" s="46"/>
      <c r="H205" s="46"/>
      <c r="I205" s="46"/>
      <c r="J205" s="45">
        <f>SUM(P129:P204)</f>
        <v>83108.289999999994</v>
      </c>
      <c r="K205" s="59"/>
      <c r="L205" s="26"/>
    </row>
    <row r="208" spans="1:22" ht="15" x14ac:dyDescent="0.25">
      <c r="A208" s="46" t="str">
        <f>CONCATENATE("Итого по разделу: ",IF(Source!G281&lt;&gt;"Новый раздел", Source!G281, ""))</f>
        <v>Итого по разделу: 1. Система водоснабжение и водоотведение.</v>
      </c>
      <c r="B208" s="46"/>
      <c r="C208" s="46"/>
      <c r="D208" s="46"/>
      <c r="E208" s="46"/>
      <c r="F208" s="46"/>
      <c r="G208" s="46"/>
      <c r="H208" s="46"/>
      <c r="I208" s="46"/>
      <c r="J208" s="45">
        <f>SUM(P40:P207)</f>
        <v>137206.04999999999</v>
      </c>
      <c r="K208" s="59"/>
      <c r="L208" s="26"/>
    </row>
    <row r="211" spans="1:22" ht="16.5" x14ac:dyDescent="0.25">
      <c r="A211" s="48" t="str">
        <f>CONCATENATE("Раздел: ",IF(Source!G311&lt;&gt;"Новый раздел", Source!G311, ""))</f>
        <v>Раздел: 2. Внутренние сети отопления</v>
      </c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</row>
    <row r="213" spans="1:22" ht="16.5" x14ac:dyDescent="0.25">
      <c r="A213" s="48" t="str">
        <f>CONCATENATE("Подраздел: ",IF(Source!G315&lt;&gt;"Новый подраздел", Source!G315, ""))</f>
        <v>Подраздел: 2.1 Отопление</v>
      </c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</row>
    <row r="214" spans="1:22" ht="28.5" x14ac:dyDescent="0.2">
      <c r="A214" s="18">
        <v>17</v>
      </c>
      <c r="B214" s="18">
        <v>17</v>
      </c>
      <c r="C214" s="18" t="str">
        <f>Source!F319</f>
        <v>1.17-2103-8-1/1</v>
      </c>
      <c r="D214" s="18" t="str">
        <f>Source!G319</f>
        <v>Техническое обслуживание инфракрасных потолочных панелей</v>
      </c>
      <c r="E214" s="19" t="str">
        <f>Source!H319</f>
        <v>100 м</v>
      </c>
      <c r="F214" s="9">
        <f>Source!I319</f>
        <v>0.63600000000000001</v>
      </c>
      <c r="G214" s="21"/>
      <c r="H214" s="20"/>
      <c r="I214" s="9"/>
      <c r="J214" s="9"/>
      <c r="K214" s="21"/>
      <c r="L214" s="21"/>
      <c r="Q214">
        <f>ROUND((Source!BZ319/100)*ROUND((Source!AF319*Source!AV319)*Source!I319, 2), 2)</f>
        <v>3004.71</v>
      </c>
      <c r="R214">
        <f>Source!X319</f>
        <v>3004.71</v>
      </c>
      <c r="S214">
        <f>ROUND((Source!CA319/100)*ROUND((Source!AF319*Source!AV319)*Source!I319, 2), 2)</f>
        <v>429.24</v>
      </c>
      <c r="T214">
        <f>Source!Y319</f>
        <v>429.24</v>
      </c>
      <c r="U214">
        <f>ROUND((175/100)*ROUND((Source!AE319*Source!AV319)*Source!I319, 2), 2)</f>
        <v>2225.34</v>
      </c>
      <c r="V214">
        <f>ROUND((108/100)*ROUND(Source!CS319*Source!I319, 2), 2)</f>
        <v>1373.35</v>
      </c>
    </row>
    <row r="215" spans="1:22" x14ac:dyDescent="0.2">
      <c r="D215" s="28" t="str">
        <f>"Объем: "&amp;Source!I319&amp;"=(10,6*"&amp;"3)*"&amp;"2/"&amp;"100"</f>
        <v>Объем: 0,636=(10,6*3)*2/100</v>
      </c>
    </row>
    <row r="216" spans="1:22" ht="14.25" x14ac:dyDescent="0.2">
      <c r="A216" s="18"/>
      <c r="B216" s="18"/>
      <c r="C216" s="18"/>
      <c r="D216" s="18" t="s">
        <v>1100</v>
      </c>
      <c r="E216" s="19"/>
      <c r="F216" s="9"/>
      <c r="G216" s="21">
        <f>Source!AO319</f>
        <v>6749.12</v>
      </c>
      <c r="H216" s="20" t="str">
        <f>Source!DG319</f>
        <v/>
      </c>
      <c r="I216" s="9">
        <f>Source!AV319</f>
        <v>1</v>
      </c>
      <c r="J216" s="9">
        <f>IF(Source!BA319&lt;&gt; 0, Source!BA319, 1)</f>
        <v>1</v>
      </c>
      <c r="K216" s="21">
        <f>Source!S319</f>
        <v>4292.4399999999996</v>
      </c>
      <c r="L216" s="21"/>
    </row>
    <row r="217" spans="1:22" ht="14.25" x14ac:dyDescent="0.2">
      <c r="A217" s="18"/>
      <c r="B217" s="18"/>
      <c r="C217" s="18"/>
      <c r="D217" s="18" t="s">
        <v>1107</v>
      </c>
      <c r="E217" s="19"/>
      <c r="F217" s="9"/>
      <c r="G217" s="21">
        <f>Source!AM319</f>
        <v>3153.28</v>
      </c>
      <c r="H217" s="20" t="str">
        <f>Source!DE319</f>
        <v/>
      </c>
      <c r="I217" s="9">
        <f>Source!AV319</f>
        <v>1</v>
      </c>
      <c r="J217" s="9">
        <f>IF(Source!BB319&lt;&gt; 0, Source!BB319, 1)</f>
        <v>1</v>
      </c>
      <c r="K217" s="21">
        <f>Source!Q319</f>
        <v>2005.49</v>
      </c>
      <c r="L217" s="21"/>
    </row>
    <row r="218" spans="1:22" ht="14.25" x14ac:dyDescent="0.2">
      <c r="A218" s="18"/>
      <c r="B218" s="18"/>
      <c r="C218" s="18"/>
      <c r="D218" s="18" t="s">
        <v>1108</v>
      </c>
      <c r="E218" s="19"/>
      <c r="F218" s="9"/>
      <c r="G218" s="21">
        <f>Source!AN319</f>
        <v>1999.4</v>
      </c>
      <c r="H218" s="20" t="str">
        <f>Source!DF319</f>
        <v/>
      </c>
      <c r="I218" s="9">
        <f>Source!AV319</f>
        <v>1</v>
      </c>
      <c r="J218" s="9">
        <f>IF(Source!BS319&lt;&gt; 0, Source!BS319, 1)</f>
        <v>1</v>
      </c>
      <c r="K218" s="25">
        <f>Source!R319</f>
        <v>1271.6199999999999</v>
      </c>
      <c r="L218" s="21"/>
    </row>
    <row r="219" spans="1:22" ht="14.25" x14ac:dyDescent="0.2">
      <c r="A219" s="18"/>
      <c r="B219" s="18"/>
      <c r="C219" s="18"/>
      <c r="D219" s="18" t="s">
        <v>1101</v>
      </c>
      <c r="E219" s="19"/>
      <c r="F219" s="9"/>
      <c r="G219" s="21">
        <f>Source!AL319</f>
        <v>7.8</v>
      </c>
      <c r="H219" s="20" t="str">
        <f>Source!DD319</f>
        <v/>
      </c>
      <c r="I219" s="9">
        <f>Source!AW319</f>
        <v>1</v>
      </c>
      <c r="J219" s="9">
        <f>IF(Source!BC319&lt;&gt; 0, Source!BC319, 1)</f>
        <v>1</v>
      </c>
      <c r="K219" s="21">
        <f>Source!P319</f>
        <v>4.96</v>
      </c>
      <c r="L219" s="21"/>
    </row>
    <row r="220" spans="1:22" ht="14.25" x14ac:dyDescent="0.2">
      <c r="A220" s="18"/>
      <c r="B220" s="18"/>
      <c r="C220" s="18"/>
      <c r="D220" s="18" t="s">
        <v>1102</v>
      </c>
      <c r="E220" s="19" t="s">
        <v>1103</v>
      </c>
      <c r="F220" s="9">
        <f>Source!AT319</f>
        <v>70</v>
      </c>
      <c r="G220" s="21"/>
      <c r="H220" s="20"/>
      <c r="I220" s="9"/>
      <c r="J220" s="9"/>
      <c r="K220" s="21">
        <f>SUM(R214:R219)</f>
        <v>3004.71</v>
      </c>
      <c r="L220" s="21"/>
    </row>
    <row r="221" spans="1:22" ht="14.25" x14ac:dyDescent="0.2">
      <c r="A221" s="18"/>
      <c r="B221" s="18"/>
      <c r="C221" s="18"/>
      <c r="D221" s="18" t="s">
        <v>1104</v>
      </c>
      <c r="E221" s="19" t="s">
        <v>1103</v>
      </c>
      <c r="F221" s="9">
        <f>Source!AU319</f>
        <v>10</v>
      </c>
      <c r="G221" s="21"/>
      <c r="H221" s="20"/>
      <c r="I221" s="9"/>
      <c r="J221" s="9"/>
      <c r="K221" s="21">
        <f>SUM(T214:T220)</f>
        <v>429.24</v>
      </c>
      <c r="L221" s="21"/>
    </row>
    <row r="222" spans="1:22" ht="14.25" x14ac:dyDescent="0.2">
      <c r="A222" s="18"/>
      <c r="B222" s="18"/>
      <c r="C222" s="18"/>
      <c r="D222" s="18" t="s">
        <v>1109</v>
      </c>
      <c r="E222" s="19" t="s">
        <v>1103</v>
      </c>
      <c r="F222" s="9">
        <f>108</f>
        <v>108</v>
      </c>
      <c r="G222" s="21"/>
      <c r="H222" s="20"/>
      <c r="I222" s="9"/>
      <c r="J222" s="9"/>
      <c r="K222" s="21">
        <f>SUM(V214:V221)</f>
        <v>1373.35</v>
      </c>
      <c r="L222" s="21"/>
    </row>
    <row r="223" spans="1:22" ht="14.25" x14ac:dyDescent="0.2">
      <c r="A223" s="18"/>
      <c r="B223" s="18"/>
      <c r="C223" s="18"/>
      <c r="D223" s="18" t="s">
        <v>1105</v>
      </c>
      <c r="E223" s="19" t="s">
        <v>1106</v>
      </c>
      <c r="F223" s="9">
        <f>Source!AQ319</f>
        <v>11.04</v>
      </c>
      <c r="G223" s="21"/>
      <c r="H223" s="20" t="str">
        <f>Source!DI319</f>
        <v/>
      </c>
      <c r="I223" s="9">
        <f>Source!AV319</f>
        <v>1</v>
      </c>
      <c r="J223" s="9"/>
      <c r="K223" s="21"/>
      <c r="L223" s="21">
        <f>Source!U319</f>
        <v>7.0214399999999992</v>
      </c>
    </row>
    <row r="224" spans="1:22" ht="15" x14ac:dyDescent="0.25">
      <c r="A224" s="23"/>
      <c r="B224" s="23"/>
      <c r="C224" s="23"/>
      <c r="D224" s="23"/>
      <c r="E224" s="23"/>
      <c r="F224" s="23"/>
      <c r="G224" s="23"/>
      <c r="H224" s="23"/>
      <c r="I224" s="23"/>
      <c r="J224" s="44">
        <f>K216+K217+K219+K220+K221+K222</f>
        <v>11110.189999999999</v>
      </c>
      <c r="K224" s="44"/>
      <c r="L224" s="24">
        <f>IF(Source!I319&lt;&gt;0, ROUND(J224/Source!I319, 2), 0)</f>
        <v>17468.849999999999</v>
      </c>
      <c r="P224" s="22">
        <f>J224</f>
        <v>11110.189999999999</v>
      </c>
    </row>
    <row r="225" spans="1:22" ht="99.75" x14ac:dyDescent="0.2">
      <c r="A225" s="18">
        <v>18</v>
      </c>
      <c r="B225" s="18">
        <v>18</v>
      </c>
      <c r="C225" s="18" t="str">
        <f>Source!F320</f>
        <v>1.21-2303-50-1/1</v>
      </c>
      <c r="D225" s="18" t="str">
        <f>Source!G320</f>
        <v>Техническое обслуживание  конвектора электрического настенного крепления, с механическим термостатом, мощность до 2,0 кВт / Электрический конвектор напольный  220В ЭВУБ-1,5 ЗАО «Делсот» 1,5 кВт, 2,0 кВт</v>
      </c>
      <c r="E225" s="19" t="str">
        <f>Source!H320</f>
        <v>шт.</v>
      </c>
      <c r="F225" s="9">
        <f>Source!I320</f>
        <v>3</v>
      </c>
      <c r="G225" s="21"/>
      <c r="H225" s="20"/>
      <c r="I225" s="9"/>
      <c r="J225" s="9"/>
      <c r="K225" s="21"/>
      <c r="L225" s="21"/>
      <c r="Q225">
        <f>ROUND((Source!BZ320/100)*ROUND((Source!AF320*Source!AV320)*Source!I320, 2), 2)</f>
        <v>181.55</v>
      </c>
      <c r="R225">
        <f>Source!X320</f>
        <v>181.55</v>
      </c>
      <c r="S225">
        <f>ROUND((Source!CA320/100)*ROUND((Source!AF320*Source!AV320)*Source!I320, 2), 2)</f>
        <v>25.94</v>
      </c>
      <c r="T225">
        <f>Source!Y320</f>
        <v>25.94</v>
      </c>
      <c r="U225">
        <f>ROUND((175/100)*ROUND((Source!AE320*Source!AV320)*Source!I320, 2), 2)</f>
        <v>0</v>
      </c>
      <c r="V225">
        <f>ROUND((108/100)*ROUND(Source!CS320*Source!I320, 2), 2)</f>
        <v>0</v>
      </c>
    </row>
    <row r="226" spans="1:22" x14ac:dyDescent="0.2">
      <c r="D226" s="28" t="str">
        <f>"Объем: "&amp;Source!I320&amp;"=2+"&amp;"1"</f>
        <v>Объем: 3=2+1</v>
      </c>
    </row>
    <row r="227" spans="1:22" ht="14.25" x14ac:dyDescent="0.2">
      <c r="A227" s="18"/>
      <c r="B227" s="18"/>
      <c r="C227" s="18"/>
      <c r="D227" s="18" t="s">
        <v>1100</v>
      </c>
      <c r="E227" s="19"/>
      <c r="F227" s="9"/>
      <c r="G227" s="21">
        <f>Source!AO320</f>
        <v>86.45</v>
      </c>
      <c r="H227" s="20" t="str">
        <f>Source!DG320</f>
        <v/>
      </c>
      <c r="I227" s="9">
        <f>Source!AV320</f>
        <v>1</v>
      </c>
      <c r="J227" s="9">
        <f>IF(Source!BA320&lt;&gt; 0, Source!BA320, 1)</f>
        <v>1</v>
      </c>
      <c r="K227" s="21">
        <f>Source!S320</f>
        <v>259.35000000000002</v>
      </c>
      <c r="L227" s="21"/>
    </row>
    <row r="228" spans="1:22" ht="14.25" x14ac:dyDescent="0.2">
      <c r="A228" s="18"/>
      <c r="B228" s="18"/>
      <c r="C228" s="18"/>
      <c r="D228" s="18" t="s">
        <v>1107</v>
      </c>
      <c r="E228" s="19"/>
      <c r="F228" s="9"/>
      <c r="G228" s="21">
        <f>Source!AM320</f>
        <v>0.23</v>
      </c>
      <c r="H228" s="20" t="str">
        <f>Source!DE320</f>
        <v/>
      </c>
      <c r="I228" s="9">
        <f>Source!AV320</f>
        <v>1</v>
      </c>
      <c r="J228" s="9">
        <f>IF(Source!BB320&lt;&gt; 0, Source!BB320, 1)</f>
        <v>1</v>
      </c>
      <c r="K228" s="21">
        <f>Source!Q320</f>
        <v>0.69</v>
      </c>
      <c r="L228" s="21"/>
    </row>
    <row r="229" spans="1:22" ht="14.25" x14ac:dyDescent="0.2">
      <c r="A229" s="18"/>
      <c r="B229" s="18"/>
      <c r="C229" s="18"/>
      <c r="D229" s="18" t="s">
        <v>1101</v>
      </c>
      <c r="E229" s="19"/>
      <c r="F229" s="9"/>
      <c r="G229" s="21">
        <f>Source!AL320</f>
        <v>2.2000000000000002</v>
      </c>
      <c r="H229" s="20" t="str">
        <f>Source!DD320</f>
        <v/>
      </c>
      <c r="I229" s="9">
        <f>Source!AW320</f>
        <v>1</v>
      </c>
      <c r="J229" s="9">
        <f>IF(Source!BC320&lt;&gt; 0, Source!BC320, 1)</f>
        <v>1</v>
      </c>
      <c r="K229" s="21">
        <f>Source!P320</f>
        <v>6.6</v>
      </c>
      <c r="L229" s="21"/>
    </row>
    <row r="230" spans="1:22" ht="14.25" x14ac:dyDescent="0.2">
      <c r="A230" s="18"/>
      <c r="B230" s="18"/>
      <c r="C230" s="18"/>
      <c r="D230" s="18" t="s">
        <v>1102</v>
      </c>
      <c r="E230" s="19" t="s">
        <v>1103</v>
      </c>
      <c r="F230" s="9">
        <f>Source!AT320</f>
        <v>70</v>
      </c>
      <c r="G230" s="21"/>
      <c r="H230" s="20"/>
      <c r="I230" s="9"/>
      <c r="J230" s="9"/>
      <c r="K230" s="21">
        <f>SUM(R225:R229)</f>
        <v>181.55</v>
      </c>
      <c r="L230" s="21"/>
    </row>
    <row r="231" spans="1:22" ht="14.25" x14ac:dyDescent="0.2">
      <c r="A231" s="18"/>
      <c r="B231" s="18"/>
      <c r="C231" s="18"/>
      <c r="D231" s="18" t="s">
        <v>1104</v>
      </c>
      <c r="E231" s="19" t="s">
        <v>1103</v>
      </c>
      <c r="F231" s="9">
        <f>Source!AU320</f>
        <v>10</v>
      </c>
      <c r="G231" s="21"/>
      <c r="H231" s="20"/>
      <c r="I231" s="9"/>
      <c r="J231" s="9"/>
      <c r="K231" s="21">
        <f>SUM(T225:T230)</f>
        <v>25.94</v>
      </c>
      <c r="L231" s="21"/>
    </row>
    <row r="232" spans="1:22" ht="14.25" x14ac:dyDescent="0.2">
      <c r="A232" s="18"/>
      <c r="B232" s="18"/>
      <c r="C232" s="18"/>
      <c r="D232" s="18" t="s">
        <v>1105</v>
      </c>
      <c r="E232" s="19" t="s">
        <v>1106</v>
      </c>
      <c r="F232" s="9">
        <f>Source!AQ320</f>
        <v>0.14000000000000001</v>
      </c>
      <c r="G232" s="21"/>
      <c r="H232" s="20" t="str">
        <f>Source!DI320</f>
        <v/>
      </c>
      <c r="I232" s="9">
        <f>Source!AV320</f>
        <v>1</v>
      </c>
      <c r="J232" s="9"/>
      <c r="K232" s="21"/>
      <c r="L232" s="21">
        <f>Source!U320</f>
        <v>0.42000000000000004</v>
      </c>
    </row>
    <row r="233" spans="1:22" ht="15" x14ac:dyDescent="0.25">
      <c r="A233" s="23"/>
      <c r="B233" s="23"/>
      <c r="C233" s="23"/>
      <c r="D233" s="23"/>
      <c r="E233" s="23"/>
      <c r="F233" s="23"/>
      <c r="G233" s="23"/>
      <c r="H233" s="23"/>
      <c r="I233" s="23"/>
      <c r="J233" s="44">
        <f>K227+K228+K229+K230+K231</f>
        <v>474.13000000000005</v>
      </c>
      <c r="K233" s="44"/>
      <c r="L233" s="24">
        <f>IF(Source!I320&lt;&gt;0, ROUND(J233/Source!I320, 2), 0)</f>
        <v>158.04</v>
      </c>
      <c r="P233" s="22">
        <f>J233</f>
        <v>474.13000000000005</v>
      </c>
    </row>
    <row r="234" spans="1:22" ht="85.5" x14ac:dyDescent="0.2">
      <c r="A234" s="18">
        <v>19</v>
      </c>
      <c r="B234" s="18">
        <v>19</v>
      </c>
      <c r="C234" s="18" t="str">
        <f>Source!F321</f>
        <v>1.17-2103-13-15/1</v>
      </c>
      <c r="D234" s="18" t="str">
        <f>Source!G321</f>
        <v>Техническое обслуживание стальных панельных радиаторов типа 10 высотой 500 мм длиной до 1500 мм / Стальной трубчатый радиатор, тип PC-1-500, высота H = 540 мм, ширина В = 40 мм, радиатор 1-рядный:</v>
      </c>
      <c r="E234" s="19" t="str">
        <f>Source!H321</f>
        <v>шт.</v>
      </c>
      <c r="F234" s="9">
        <f>Source!I321</f>
        <v>50</v>
      </c>
      <c r="G234" s="21"/>
      <c r="H234" s="20"/>
      <c r="I234" s="9"/>
      <c r="J234" s="9"/>
      <c r="K234" s="21"/>
      <c r="L234" s="21"/>
      <c r="Q234">
        <f>ROUND((Source!BZ321/100)*ROUND((Source!AF321*Source!AV321)*Source!I321, 2), 2)</f>
        <v>7083.3</v>
      </c>
      <c r="R234">
        <f>Source!X321</f>
        <v>7083.3</v>
      </c>
      <c r="S234">
        <f>ROUND((Source!CA321/100)*ROUND((Source!AF321*Source!AV321)*Source!I321, 2), 2)</f>
        <v>1011.9</v>
      </c>
      <c r="T234">
        <f>Source!Y321</f>
        <v>1011.9</v>
      </c>
      <c r="U234">
        <f>ROUND((175/100)*ROUND((Source!AE321*Source!AV321)*Source!I321, 2), 2)</f>
        <v>0</v>
      </c>
      <c r="V234">
        <f>ROUND((108/100)*ROUND(Source!CS321*Source!I321, 2), 2)</f>
        <v>0</v>
      </c>
    </row>
    <row r="235" spans="1:22" x14ac:dyDescent="0.2">
      <c r="D235" s="28" t="str">
        <f>"Объем: "&amp;Source!I321&amp;"=1+"&amp;"13+"&amp;"3+"&amp;"4+"&amp;"1+"&amp;"11+"&amp;"4+"&amp;"4+"&amp;"8+"&amp;"1"</f>
        <v>Объем: 50=1+13+3+4+1+11+4+4+8+1</v>
      </c>
    </row>
    <row r="236" spans="1:22" ht="14.25" x14ac:dyDescent="0.2">
      <c r="A236" s="18"/>
      <c r="B236" s="18"/>
      <c r="C236" s="18"/>
      <c r="D236" s="18" t="s">
        <v>1100</v>
      </c>
      <c r="E236" s="19"/>
      <c r="F236" s="9"/>
      <c r="G236" s="21">
        <f>Source!AO321</f>
        <v>202.38</v>
      </c>
      <c r="H236" s="20" t="str">
        <f>Source!DG321</f>
        <v/>
      </c>
      <c r="I236" s="9">
        <f>Source!AV321</f>
        <v>1</v>
      </c>
      <c r="J236" s="9">
        <f>IF(Source!BA321&lt;&gt; 0, Source!BA321, 1)</f>
        <v>1</v>
      </c>
      <c r="K236" s="21">
        <f>Source!S321</f>
        <v>10119</v>
      </c>
      <c r="L236" s="21"/>
    </row>
    <row r="237" spans="1:22" ht="14.25" x14ac:dyDescent="0.2">
      <c r="A237" s="18"/>
      <c r="B237" s="18"/>
      <c r="C237" s="18"/>
      <c r="D237" s="18" t="s">
        <v>1101</v>
      </c>
      <c r="E237" s="19"/>
      <c r="F237" s="9"/>
      <c r="G237" s="21">
        <f>Source!AL321</f>
        <v>0.24</v>
      </c>
      <c r="H237" s="20" t="str">
        <f>Source!DD321</f>
        <v/>
      </c>
      <c r="I237" s="9">
        <f>Source!AW321</f>
        <v>1</v>
      </c>
      <c r="J237" s="9">
        <f>IF(Source!BC321&lt;&gt; 0, Source!BC321, 1)</f>
        <v>1</v>
      </c>
      <c r="K237" s="21">
        <f>Source!P321</f>
        <v>12</v>
      </c>
      <c r="L237" s="21"/>
    </row>
    <row r="238" spans="1:22" ht="14.25" x14ac:dyDescent="0.2">
      <c r="A238" s="18"/>
      <c r="B238" s="18"/>
      <c r="C238" s="18"/>
      <c r="D238" s="18" t="s">
        <v>1102</v>
      </c>
      <c r="E238" s="19" t="s">
        <v>1103</v>
      </c>
      <c r="F238" s="9">
        <f>Source!AT321</f>
        <v>70</v>
      </c>
      <c r="G238" s="21"/>
      <c r="H238" s="20"/>
      <c r="I238" s="9"/>
      <c r="J238" s="9"/>
      <c r="K238" s="21">
        <f>SUM(R234:R237)</f>
        <v>7083.3</v>
      </c>
      <c r="L238" s="21"/>
    </row>
    <row r="239" spans="1:22" ht="14.25" x14ac:dyDescent="0.2">
      <c r="A239" s="18"/>
      <c r="B239" s="18"/>
      <c r="C239" s="18"/>
      <c r="D239" s="18" t="s">
        <v>1104</v>
      </c>
      <c r="E239" s="19" t="s">
        <v>1103</v>
      </c>
      <c r="F239" s="9">
        <f>Source!AU321</f>
        <v>10</v>
      </c>
      <c r="G239" s="21"/>
      <c r="H239" s="20"/>
      <c r="I239" s="9"/>
      <c r="J239" s="9"/>
      <c r="K239" s="21">
        <f>SUM(T234:T238)</f>
        <v>1011.9</v>
      </c>
      <c r="L239" s="21"/>
    </row>
    <row r="240" spans="1:22" ht="14.25" x14ac:dyDescent="0.2">
      <c r="A240" s="18"/>
      <c r="B240" s="18"/>
      <c r="C240" s="18"/>
      <c r="D240" s="18" t="s">
        <v>1105</v>
      </c>
      <c r="E240" s="19" t="s">
        <v>1106</v>
      </c>
      <c r="F240" s="9">
        <f>Source!AQ321</f>
        <v>0.36</v>
      </c>
      <c r="G240" s="21"/>
      <c r="H240" s="20" t="str">
        <f>Source!DI321</f>
        <v/>
      </c>
      <c r="I240" s="9">
        <f>Source!AV321</f>
        <v>1</v>
      </c>
      <c r="J240" s="9"/>
      <c r="K240" s="21"/>
      <c r="L240" s="21">
        <f>Source!U321</f>
        <v>18</v>
      </c>
    </row>
    <row r="241" spans="1:22" ht="15" x14ac:dyDescent="0.25">
      <c r="A241" s="23"/>
      <c r="B241" s="23"/>
      <c r="C241" s="23"/>
      <c r="D241" s="23"/>
      <c r="E241" s="23"/>
      <c r="F241" s="23"/>
      <c r="G241" s="23"/>
      <c r="H241" s="23"/>
      <c r="I241" s="23"/>
      <c r="J241" s="44">
        <f>K236+K237+K238+K239</f>
        <v>18226.2</v>
      </c>
      <c r="K241" s="44"/>
      <c r="L241" s="24">
        <f>IF(Source!I321&lt;&gt;0, ROUND(J241/Source!I321, 2), 0)</f>
        <v>364.52</v>
      </c>
      <c r="P241" s="22">
        <f>J241</f>
        <v>18226.2</v>
      </c>
    </row>
    <row r="242" spans="1:22" ht="85.5" x14ac:dyDescent="0.2">
      <c r="A242" s="18">
        <v>20</v>
      </c>
      <c r="B242" s="18">
        <v>20</v>
      </c>
      <c r="C242" s="18" t="str">
        <f>Source!F322</f>
        <v>1.17-2103-13-19/1</v>
      </c>
      <c r="D242" s="18" t="str">
        <f>Source!G322</f>
        <v>Техническое обслуживание стальных панельных радиаторов типа 20 высотой 500 мм длиной до 1500 мм / Стальной трубчатый радиатор, тип PC-2-500, высота H = 540 мм, ширина В = 100 мм, радиатор 2-рядный</v>
      </c>
      <c r="E242" s="19" t="str">
        <f>Source!H322</f>
        <v>шт.</v>
      </c>
      <c r="F242" s="9">
        <f>Source!I322</f>
        <v>133</v>
      </c>
      <c r="G242" s="21"/>
      <c r="H242" s="20"/>
      <c r="I242" s="9"/>
      <c r="J242" s="9"/>
      <c r="K242" s="21"/>
      <c r="L242" s="21"/>
      <c r="Q242">
        <f>ROUND((Source!BZ322/100)*ROUND((Source!AF322*Source!AV322)*Source!I322, 2), 2)</f>
        <v>24075.66</v>
      </c>
      <c r="R242">
        <f>Source!X322</f>
        <v>24075.66</v>
      </c>
      <c r="S242">
        <f>ROUND((Source!CA322/100)*ROUND((Source!AF322*Source!AV322)*Source!I322, 2), 2)</f>
        <v>3439.38</v>
      </c>
      <c r="T242">
        <f>Source!Y322</f>
        <v>3439.38</v>
      </c>
      <c r="U242">
        <f>ROUND((175/100)*ROUND((Source!AE322*Source!AV322)*Source!I322, 2), 2)</f>
        <v>0</v>
      </c>
      <c r="V242">
        <f>ROUND((108/100)*ROUND(Source!CS322*Source!I322, 2), 2)</f>
        <v>0</v>
      </c>
    </row>
    <row r="243" spans="1:22" ht="14.25" x14ac:dyDescent="0.2">
      <c r="A243" s="18"/>
      <c r="B243" s="18"/>
      <c r="C243" s="18"/>
      <c r="D243" s="18" t="s">
        <v>1100</v>
      </c>
      <c r="E243" s="19"/>
      <c r="F243" s="9"/>
      <c r="G243" s="21">
        <f>Source!AO322</f>
        <v>258.60000000000002</v>
      </c>
      <c r="H243" s="20" t="str">
        <f>Source!DG322</f>
        <v/>
      </c>
      <c r="I243" s="9">
        <f>Source!AV322</f>
        <v>1</v>
      </c>
      <c r="J243" s="9">
        <f>IF(Source!BA322&lt;&gt; 0, Source!BA322, 1)</f>
        <v>1</v>
      </c>
      <c r="K243" s="21">
        <f>Source!S322</f>
        <v>34393.800000000003</v>
      </c>
      <c r="L243" s="21"/>
    </row>
    <row r="244" spans="1:22" ht="14.25" x14ac:dyDescent="0.2">
      <c r="A244" s="18"/>
      <c r="B244" s="18"/>
      <c r="C244" s="18"/>
      <c r="D244" s="18" t="s">
        <v>1101</v>
      </c>
      <c r="E244" s="19"/>
      <c r="F244" s="9"/>
      <c r="G244" s="21">
        <f>Source!AL322</f>
        <v>0.47</v>
      </c>
      <c r="H244" s="20" t="str">
        <f>Source!DD322</f>
        <v/>
      </c>
      <c r="I244" s="9">
        <f>Source!AW322</f>
        <v>1</v>
      </c>
      <c r="J244" s="9">
        <f>IF(Source!BC322&lt;&gt; 0, Source!BC322, 1)</f>
        <v>1</v>
      </c>
      <c r="K244" s="21">
        <f>Source!P322</f>
        <v>62.51</v>
      </c>
      <c r="L244" s="21"/>
    </row>
    <row r="245" spans="1:22" ht="14.25" x14ac:dyDescent="0.2">
      <c r="A245" s="18"/>
      <c r="B245" s="18"/>
      <c r="C245" s="18"/>
      <c r="D245" s="18" t="s">
        <v>1102</v>
      </c>
      <c r="E245" s="19" t="s">
        <v>1103</v>
      </c>
      <c r="F245" s="9">
        <f>Source!AT322</f>
        <v>70</v>
      </c>
      <c r="G245" s="21"/>
      <c r="H245" s="20"/>
      <c r="I245" s="9"/>
      <c r="J245" s="9"/>
      <c r="K245" s="21">
        <f>SUM(R242:R244)</f>
        <v>24075.66</v>
      </c>
      <c r="L245" s="21"/>
    </row>
    <row r="246" spans="1:22" ht="14.25" x14ac:dyDescent="0.2">
      <c r="A246" s="18"/>
      <c r="B246" s="18"/>
      <c r="C246" s="18"/>
      <c r="D246" s="18" t="s">
        <v>1104</v>
      </c>
      <c r="E246" s="19" t="s">
        <v>1103</v>
      </c>
      <c r="F246" s="9">
        <f>Source!AU322</f>
        <v>10</v>
      </c>
      <c r="G246" s="21"/>
      <c r="H246" s="20"/>
      <c r="I246" s="9"/>
      <c r="J246" s="9"/>
      <c r="K246" s="21">
        <f>SUM(T242:T245)</f>
        <v>3439.38</v>
      </c>
      <c r="L246" s="21"/>
    </row>
    <row r="247" spans="1:22" ht="14.25" x14ac:dyDescent="0.2">
      <c r="A247" s="18"/>
      <c r="B247" s="18"/>
      <c r="C247" s="18"/>
      <c r="D247" s="18" t="s">
        <v>1105</v>
      </c>
      <c r="E247" s="19" t="s">
        <v>1106</v>
      </c>
      <c r="F247" s="9">
        <f>Source!AQ322</f>
        <v>0.46</v>
      </c>
      <c r="G247" s="21"/>
      <c r="H247" s="20" t="str">
        <f>Source!DI322</f>
        <v/>
      </c>
      <c r="I247" s="9">
        <f>Source!AV322</f>
        <v>1</v>
      </c>
      <c r="J247" s="9"/>
      <c r="K247" s="21"/>
      <c r="L247" s="21">
        <f>Source!U322</f>
        <v>61.18</v>
      </c>
    </row>
    <row r="248" spans="1:22" ht="15" x14ac:dyDescent="0.25">
      <c r="A248" s="23"/>
      <c r="B248" s="23"/>
      <c r="C248" s="23"/>
      <c r="D248" s="23"/>
      <c r="E248" s="23"/>
      <c r="F248" s="23"/>
      <c r="G248" s="23"/>
      <c r="H248" s="23"/>
      <c r="I248" s="23"/>
      <c r="J248" s="44">
        <f>K243+K244+K245+K246</f>
        <v>61971.35</v>
      </c>
      <c r="K248" s="44"/>
      <c r="L248" s="24">
        <f>IF(Source!I322&lt;&gt;0, ROUND(J248/Source!I322, 2), 0)</f>
        <v>465.95</v>
      </c>
      <c r="P248" s="22">
        <f>J248</f>
        <v>61971.35</v>
      </c>
    </row>
    <row r="249" spans="1:22" ht="85.5" x14ac:dyDescent="0.2">
      <c r="A249" s="18">
        <v>21</v>
      </c>
      <c r="B249" s="18">
        <v>21</v>
      </c>
      <c r="C249" s="18" t="str">
        <f>Source!F323</f>
        <v>1.17-2103-13-27/1</v>
      </c>
      <c r="D249" s="18" t="str">
        <f>Source!G323</f>
        <v>Техническое обслуживание стальных панельных радиаторов типа 33 высотой 500 мм длиной до 1500 мм / Стальной трубчатый радиатор, тип PC-3-500, высота H = 540 мм, ширина В = 160 мм, радиатор 3-рядный</v>
      </c>
      <c r="E249" s="19" t="str">
        <f>Source!H323</f>
        <v>шт.</v>
      </c>
      <c r="F249" s="9">
        <f>Source!I323</f>
        <v>8</v>
      </c>
      <c r="G249" s="21"/>
      <c r="H249" s="20"/>
      <c r="I249" s="9"/>
      <c r="J249" s="9"/>
      <c r="K249" s="21"/>
      <c r="L249" s="21"/>
      <c r="Q249">
        <f>ROUND((Source!BZ323/100)*ROUND((Source!AF323*Source!AV323)*Source!I323, 2), 2)</f>
        <v>1825.94</v>
      </c>
      <c r="R249">
        <f>Source!X323</f>
        <v>1825.94</v>
      </c>
      <c r="S249">
        <f>ROUND((Source!CA323/100)*ROUND((Source!AF323*Source!AV323)*Source!I323, 2), 2)</f>
        <v>260.85000000000002</v>
      </c>
      <c r="T249">
        <f>Source!Y323</f>
        <v>260.85000000000002</v>
      </c>
      <c r="U249">
        <f>ROUND((175/100)*ROUND((Source!AE323*Source!AV323)*Source!I323, 2), 2)</f>
        <v>0.42</v>
      </c>
      <c r="V249">
        <f>ROUND((108/100)*ROUND(Source!CS323*Source!I323, 2), 2)</f>
        <v>0.26</v>
      </c>
    </row>
    <row r="250" spans="1:22" ht="14.25" x14ac:dyDescent="0.2">
      <c r="A250" s="18"/>
      <c r="B250" s="18"/>
      <c r="C250" s="18"/>
      <c r="D250" s="18" t="s">
        <v>1100</v>
      </c>
      <c r="E250" s="19"/>
      <c r="F250" s="9"/>
      <c r="G250" s="21">
        <f>Source!AO323</f>
        <v>326.06</v>
      </c>
      <c r="H250" s="20" t="str">
        <f>Source!DG323</f>
        <v/>
      </c>
      <c r="I250" s="9">
        <f>Source!AV323</f>
        <v>1</v>
      </c>
      <c r="J250" s="9">
        <f>IF(Source!BA323&lt;&gt; 0, Source!BA323, 1)</f>
        <v>1</v>
      </c>
      <c r="K250" s="21">
        <f>Source!S323</f>
        <v>2608.48</v>
      </c>
      <c r="L250" s="21"/>
    </row>
    <row r="251" spans="1:22" ht="14.25" x14ac:dyDescent="0.2">
      <c r="A251" s="18"/>
      <c r="B251" s="18"/>
      <c r="C251" s="18"/>
      <c r="D251" s="18" t="s">
        <v>1107</v>
      </c>
      <c r="E251" s="19"/>
      <c r="F251" s="9"/>
      <c r="G251" s="21">
        <f>Source!AM323</f>
        <v>2.5299999999999998</v>
      </c>
      <c r="H251" s="20" t="str">
        <f>Source!DE323</f>
        <v/>
      </c>
      <c r="I251" s="9">
        <f>Source!AV323</f>
        <v>1</v>
      </c>
      <c r="J251" s="9">
        <f>IF(Source!BB323&lt;&gt; 0, Source!BB323, 1)</f>
        <v>1</v>
      </c>
      <c r="K251" s="21">
        <f>Source!Q323</f>
        <v>20.239999999999998</v>
      </c>
      <c r="L251" s="21"/>
    </row>
    <row r="252" spans="1:22" ht="14.25" x14ac:dyDescent="0.2">
      <c r="A252" s="18"/>
      <c r="B252" s="18"/>
      <c r="C252" s="18"/>
      <c r="D252" s="18" t="s">
        <v>1108</v>
      </c>
      <c r="E252" s="19"/>
      <c r="F252" s="9"/>
      <c r="G252" s="21">
        <f>Source!AN323</f>
        <v>0.03</v>
      </c>
      <c r="H252" s="20" t="str">
        <f>Source!DF323</f>
        <v/>
      </c>
      <c r="I252" s="9">
        <f>Source!AV323</f>
        <v>1</v>
      </c>
      <c r="J252" s="9">
        <f>IF(Source!BS323&lt;&gt; 0, Source!BS323, 1)</f>
        <v>1</v>
      </c>
      <c r="K252" s="25">
        <f>Source!R323</f>
        <v>0.24</v>
      </c>
      <c r="L252" s="21"/>
    </row>
    <row r="253" spans="1:22" ht="14.25" x14ac:dyDescent="0.2">
      <c r="A253" s="18"/>
      <c r="B253" s="18"/>
      <c r="C253" s="18"/>
      <c r="D253" s="18" t="s">
        <v>1101</v>
      </c>
      <c r="E253" s="19"/>
      <c r="F253" s="9"/>
      <c r="G253" s="21">
        <f>Source!AL323</f>
        <v>0.47</v>
      </c>
      <c r="H253" s="20" t="str">
        <f>Source!DD323</f>
        <v/>
      </c>
      <c r="I253" s="9">
        <f>Source!AW323</f>
        <v>1</v>
      </c>
      <c r="J253" s="9">
        <f>IF(Source!BC323&lt;&gt; 0, Source!BC323, 1)</f>
        <v>1</v>
      </c>
      <c r="K253" s="21">
        <f>Source!P323</f>
        <v>3.76</v>
      </c>
      <c r="L253" s="21"/>
    </row>
    <row r="254" spans="1:22" ht="14.25" x14ac:dyDescent="0.2">
      <c r="A254" s="18"/>
      <c r="B254" s="18"/>
      <c r="C254" s="18"/>
      <c r="D254" s="18" t="s">
        <v>1102</v>
      </c>
      <c r="E254" s="19" t="s">
        <v>1103</v>
      </c>
      <c r="F254" s="9">
        <f>Source!AT323</f>
        <v>70</v>
      </c>
      <c r="G254" s="21"/>
      <c r="H254" s="20"/>
      <c r="I254" s="9"/>
      <c r="J254" s="9"/>
      <c r="K254" s="21">
        <f>SUM(R249:R253)</f>
        <v>1825.94</v>
      </c>
      <c r="L254" s="21"/>
    </row>
    <row r="255" spans="1:22" ht="14.25" x14ac:dyDescent="0.2">
      <c r="A255" s="18"/>
      <c r="B255" s="18"/>
      <c r="C255" s="18"/>
      <c r="D255" s="18" t="s">
        <v>1104</v>
      </c>
      <c r="E255" s="19" t="s">
        <v>1103</v>
      </c>
      <c r="F255" s="9">
        <f>Source!AU323</f>
        <v>10</v>
      </c>
      <c r="G255" s="21"/>
      <c r="H255" s="20"/>
      <c r="I255" s="9"/>
      <c r="J255" s="9"/>
      <c r="K255" s="21">
        <f>SUM(T249:T254)</f>
        <v>260.85000000000002</v>
      </c>
      <c r="L255" s="21"/>
    </row>
    <row r="256" spans="1:22" ht="14.25" x14ac:dyDescent="0.2">
      <c r="A256" s="18"/>
      <c r="B256" s="18"/>
      <c r="C256" s="18"/>
      <c r="D256" s="18" t="s">
        <v>1109</v>
      </c>
      <c r="E256" s="19" t="s">
        <v>1103</v>
      </c>
      <c r="F256" s="9">
        <f>108</f>
        <v>108</v>
      </c>
      <c r="G256" s="21"/>
      <c r="H256" s="20"/>
      <c r="I256" s="9"/>
      <c r="J256" s="9"/>
      <c r="K256" s="21">
        <f>SUM(V249:V255)</f>
        <v>0.26</v>
      </c>
      <c r="L256" s="21"/>
    </row>
    <row r="257" spans="1:22" ht="14.25" x14ac:dyDescent="0.2">
      <c r="A257" s="18"/>
      <c r="B257" s="18"/>
      <c r="C257" s="18"/>
      <c r="D257" s="18" t="s">
        <v>1105</v>
      </c>
      <c r="E257" s="19" t="s">
        <v>1106</v>
      </c>
      <c r="F257" s="9">
        <f>Source!AQ323</f>
        <v>0.57999999999999996</v>
      </c>
      <c r="G257" s="21"/>
      <c r="H257" s="20" t="str">
        <f>Source!DI323</f>
        <v/>
      </c>
      <c r="I257" s="9">
        <f>Source!AV323</f>
        <v>1</v>
      </c>
      <c r="J257" s="9"/>
      <c r="K257" s="21"/>
      <c r="L257" s="21">
        <f>Source!U323</f>
        <v>4.6399999999999997</v>
      </c>
    </row>
    <row r="258" spans="1:22" ht="15" x14ac:dyDescent="0.25">
      <c r="A258" s="23"/>
      <c r="B258" s="23"/>
      <c r="C258" s="23"/>
      <c r="D258" s="23"/>
      <c r="E258" s="23"/>
      <c r="F258" s="23"/>
      <c r="G258" s="23"/>
      <c r="H258" s="23"/>
      <c r="I258" s="23"/>
      <c r="J258" s="44">
        <f>K250+K251+K253+K254+K255+K256</f>
        <v>4719.5300000000007</v>
      </c>
      <c r="K258" s="44"/>
      <c r="L258" s="24">
        <f>IF(Source!I323&lt;&gt;0, ROUND(J258/Source!I323, 2), 0)</f>
        <v>589.94000000000005</v>
      </c>
      <c r="P258" s="22">
        <f>J258</f>
        <v>4719.5300000000007</v>
      </c>
    </row>
    <row r="259" spans="1:22" ht="156.75" x14ac:dyDescent="0.2">
      <c r="A259" s="18">
        <v>22</v>
      </c>
      <c r="B259" s="18">
        <v>22</v>
      </c>
      <c r="C259" s="18" t="str">
        <f>Source!F324</f>
        <v>1.17-2103-13-15/1</v>
      </c>
      <c r="D259" s="18" t="str">
        <f>Source!G324</f>
        <v>Техническое обслуживание стальных панельных радиаторов типа 10 высотой 500 мм длиной до 1500 мм / Стальной трубчатый радиатор, тип PC-1-500, высота H = 540 мм, ширина В= 40 мм, радиатор 1-рядный, с встроенным термостатическим вентилем Danfoss RTD-N BIV с предварительной настройкой, нижнее подключение (правостороннее либо левостороннее)</v>
      </c>
      <c r="E259" s="19" t="str">
        <f>Source!H324</f>
        <v>шт.</v>
      </c>
      <c r="F259" s="9">
        <f>Source!I324</f>
        <v>2</v>
      </c>
      <c r="G259" s="21"/>
      <c r="H259" s="20"/>
      <c r="I259" s="9"/>
      <c r="J259" s="9"/>
      <c r="K259" s="21"/>
      <c r="L259" s="21"/>
      <c r="Q259">
        <f>ROUND((Source!BZ324/100)*ROUND((Source!AF324*Source!AV324)*Source!I324, 2), 2)</f>
        <v>283.33</v>
      </c>
      <c r="R259">
        <f>Source!X324</f>
        <v>283.33</v>
      </c>
      <c r="S259">
        <f>ROUND((Source!CA324/100)*ROUND((Source!AF324*Source!AV324)*Source!I324, 2), 2)</f>
        <v>40.479999999999997</v>
      </c>
      <c r="T259">
        <f>Source!Y324</f>
        <v>40.479999999999997</v>
      </c>
      <c r="U259">
        <f>ROUND((175/100)*ROUND((Source!AE324*Source!AV324)*Source!I324, 2), 2)</f>
        <v>0</v>
      </c>
      <c r="V259">
        <f>ROUND((108/100)*ROUND(Source!CS324*Source!I324, 2), 2)</f>
        <v>0</v>
      </c>
    </row>
    <row r="260" spans="1:22" ht="14.25" x14ac:dyDescent="0.2">
      <c r="A260" s="18"/>
      <c r="B260" s="18"/>
      <c r="C260" s="18"/>
      <c r="D260" s="18" t="s">
        <v>1100</v>
      </c>
      <c r="E260" s="19"/>
      <c r="F260" s="9"/>
      <c r="G260" s="21">
        <f>Source!AO324</f>
        <v>202.38</v>
      </c>
      <c r="H260" s="20" t="str">
        <f>Source!DG324</f>
        <v/>
      </c>
      <c r="I260" s="9">
        <f>Source!AV324</f>
        <v>1</v>
      </c>
      <c r="J260" s="9">
        <f>IF(Source!BA324&lt;&gt; 0, Source!BA324, 1)</f>
        <v>1</v>
      </c>
      <c r="K260" s="21">
        <f>Source!S324</f>
        <v>404.76</v>
      </c>
      <c r="L260" s="21"/>
    </row>
    <row r="261" spans="1:22" ht="14.25" x14ac:dyDescent="0.2">
      <c r="A261" s="18"/>
      <c r="B261" s="18"/>
      <c r="C261" s="18"/>
      <c r="D261" s="18" t="s">
        <v>1101</v>
      </c>
      <c r="E261" s="19"/>
      <c r="F261" s="9"/>
      <c r="G261" s="21">
        <f>Source!AL324</f>
        <v>0.24</v>
      </c>
      <c r="H261" s="20" t="str">
        <f>Source!DD324</f>
        <v/>
      </c>
      <c r="I261" s="9">
        <f>Source!AW324</f>
        <v>1</v>
      </c>
      <c r="J261" s="9">
        <f>IF(Source!BC324&lt;&gt; 0, Source!BC324, 1)</f>
        <v>1</v>
      </c>
      <c r="K261" s="21">
        <f>Source!P324</f>
        <v>0.48</v>
      </c>
      <c r="L261" s="21"/>
    </row>
    <row r="262" spans="1:22" ht="14.25" x14ac:dyDescent="0.2">
      <c r="A262" s="18"/>
      <c r="B262" s="18"/>
      <c r="C262" s="18"/>
      <c r="D262" s="18" t="s">
        <v>1102</v>
      </c>
      <c r="E262" s="19" t="s">
        <v>1103</v>
      </c>
      <c r="F262" s="9">
        <f>Source!AT324</f>
        <v>70</v>
      </c>
      <c r="G262" s="21"/>
      <c r="H262" s="20"/>
      <c r="I262" s="9"/>
      <c r="J262" s="9"/>
      <c r="K262" s="21">
        <f>SUM(R259:R261)</f>
        <v>283.33</v>
      </c>
      <c r="L262" s="21"/>
    </row>
    <row r="263" spans="1:22" ht="14.25" x14ac:dyDescent="0.2">
      <c r="A263" s="18"/>
      <c r="B263" s="18"/>
      <c r="C263" s="18"/>
      <c r="D263" s="18" t="s">
        <v>1104</v>
      </c>
      <c r="E263" s="19" t="s">
        <v>1103</v>
      </c>
      <c r="F263" s="9">
        <f>Source!AU324</f>
        <v>10</v>
      </c>
      <c r="G263" s="21"/>
      <c r="H263" s="20"/>
      <c r="I263" s="9"/>
      <c r="J263" s="9"/>
      <c r="K263" s="21">
        <f>SUM(T259:T262)</f>
        <v>40.479999999999997</v>
      </c>
      <c r="L263" s="21"/>
    </row>
    <row r="264" spans="1:22" ht="14.25" x14ac:dyDescent="0.2">
      <c r="A264" s="18"/>
      <c r="B264" s="18"/>
      <c r="C264" s="18"/>
      <c r="D264" s="18" t="s">
        <v>1105</v>
      </c>
      <c r="E264" s="19" t="s">
        <v>1106</v>
      </c>
      <c r="F264" s="9">
        <f>Source!AQ324</f>
        <v>0.36</v>
      </c>
      <c r="G264" s="21"/>
      <c r="H264" s="20" t="str">
        <f>Source!DI324</f>
        <v/>
      </c>
      <c r="I264" s="9">
        <f>Source!AV324</f>
        <v>1</v>
      </c>
      <c r="J264" s="9"/>
      <c r="K264" s="21"/>
      <c r="L264" s="21">
        <f>Source!U324</f>
        <v>0.72</v>
      </c>
    </row>
    <row r="265" spans="1:22" ht="15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44">
        <f>K260+K261+K262+K263</f>
        <v>729.05</v>
      </c>
      <c r="K265" s="44"/>
      <c r="L265" s="24">
        <f>IF(Source!I324&lt;&gt;0, ROUND(J265/Source!I324, 2), 0)</f>
        <v>364.53</v>
      </c>
      <c r="P265" s="22">
        <f>J265</f>
        <v>729.05</v>
      </c>
    </row>
    <row r="266" spans="1:22" ht="156.75" x14ac:dyDescent="0.2">
      <c r="A266" s="18">
        <v>23</v>
      </c>
      <c r="B266" s="18">
        <v>23</v>
      </c>
      <c r="C266" s="18" t="str">
        <f>Source!F325</f>
        <v>1.17-2103-13-19/1</v>
      </c>
      <c r="D266" s="18" t="str">
        <f>Source!G325</f>
        <v>Техническое обслуживание стальных панельных радиаторов типа 20 высотой 500 мм длиной до 1500 мм / Стальной трубчатый радиатор, тип PC-2-500, высота H = 540 мм, ширина В= 100 мм, радиатор 2-рядный, с встроенным термостатическим вентилем Danfoss RTD-N BIV с предварительной настройкой, нижнее подключение (правостороннее либо левостороннее)</v>
      </c>
      <c r="E266" s="19" t="str">
        <f>Source!H325</f>
        <v>шт.</v>
      </c>
      <c r="F266" s="9">
        <f>Source!I325</f>
        <v>4</v>
      </c>
      <c r="G266" s="21"/>
      <c r="H266" s="20"/>
      <c r="I266" s="9"/>
      <c r="J266" s="9"/>
      <c r="K266" s="21"/>
      <c r="L266" s="21"/>
      <c r="Q266">
        <f>ROUND((Source!BZ325/100)*ROUND((Source!AF325*Source!AV325)*Source!I325, 2), 2)</f>
        <v>724.08</v>
      </c>
      <c r="R266">
        <f>Source!X325</f>
        <v>724.08</v>
      </c>
      <c r="S266">
        <f>ROUND((Source!CA325/100)*ROUND((Source!AF325*Source!AV325)*Source!I325, 2), 2)</f>
        <v>103.44</v>
      </c>
      <c r="T266">
        <f>Source!Y325</f>
        <v>103.44</v>
      </c>
      <c r="U266">
        <f>ROUND((175/100)*ROUND((Source!AE325*Source!AV325)*Source!I325, 2), 2)</f>
        <v>0</v>
      </c>
      <c r="V266">
        <f>ROUND((108/100)*ROUND(Source!CS325*Source!I325, 2), 2)</f>
        <v>0</v>
      </c>
    </row>
    <row r="267" spans="1:22" ht="14.25" x14ac:dyDescent="0.2">
      <c r="A267" s="18"/>
      <c r="B267" s="18"/>
      <c r="C267" s="18"/>
      <c r="D267" s="18" t="s">
        <v>1100</v>
      </c>
      <c r="E267" s="19"/>
      <c r="F267" s="9"/>
      <c r="G267" s="21">
        <f>Source!AO325</f>
        <v>258.60000000000002</v>
      </c>
      <c r="H267" s="20" t="str">
        <f>Source!DG325</f>
        <v/>
      </c>
      <c r="I267" s="9">
        <f>Source!AV325</f>
        <v>1</v>
      </c>
      <c r="J267" s="9">
        <f>IF(Source!BA325&lt;&gt; 0, Source!BA325, 1)</f>
        <v>1</v>
      </c>
      <c r="K267" s="21">
        <f>Source!S325</f>
        <v>1034.4000000000001</v>
      </c>
      <c r="L267" s="21"/>
    </row>
    <row r="268" spans="1:22" ht="14.25" x14ac:dyDescent="0.2">
      <c r="A268" s="18"/>
      <c r="B268" s="18"/>
      <c r="C268" s="18"/>
      <c r="D268" s="18" t="s">
        <v>1101</v>
      </c>
      <c r="E268" s="19"/>
      <c r="F268" s="9"/>
      <c r="G268" s="21">
        <f>Source!AL325</f>
        <v>0.47</v>
      </c>
      <c r="H268" s="20" t="str">
        <f>Source!DD325</f>
        <v/>
      </c>
      <c r="I268" s="9">
        <f>Source!AW325</f>
        <v>1</v>
      </c>
      <c r="J268" s="9">
        <f>IF(Source!BC325&lt;&gt; 0, Source!BC325, 1)</f>
        <v>1</v>
      </c>
      <c r="K268" s="21">
        <f>Source!P325</f>
        <v>1.88</v>
      </c>
      <c r="L268" s="21"/>
    </row>
    <row r="269" spans="1:22" ht="14.25" x14ac:dyDescent="0.2">
      <c r="A269" s="18"/>
      <c r="B269" s="18"/>
      <c r="C269" s="18"/>
      <c r="D269" s="18" t="s">
        <v>1102</v>
      </c>
      <c r="E269" s="19" t="s">
        <v>1103</v>
      </c>
      <c r="F269" s="9">
        <f>Source!AT325</f>
        <v>70</v>
      </c>
      <c r="G269" s="21"/>
      <c r="H269" s="20"/>
      <c r="I269" s="9"/>
      <c r="J269" s="9"/>
      <c r="K269" s="21">
        <f>SUM(R266:R268)</f>
        <v>724.08</v>
      </c>
      <c r="L269" s="21"/>
    </row>
    <row r="270" spans="1:22" ht="14.25" x14ac:dyDescent="0.2">
      <c r="A270" s="18"/>
      <c r="B270" s="18"/>
      <c r="C270" s="18"/>
      <c r="D270" s="18" t="s">
        <v>1104</v>
      </c>
      <c r="E270" s="19" t="s">
        <v>1103</v>
      </c>
      <c r="F270" s="9">
        <f>Source!AU325</f>
        <v>10</v>
      </c>
      <c r="G270" s="21"/>
      <c r="H270" s="20"/>
      <c r="I270" s="9"/>
      <c r="J270" s="9"/>
      <c r="K270" s="21">
        <f>SUM(T266:T269)</f>
        <v>103.44</v>
      </c>
      <c r="L270" s="21"/>
    </row>
    <row r="271" spans="1:22" ht="14.25" x14ac:dyDescent="0.2">
      <c r="A271" s="18"/>
      <c r="B271" s="18"/>
      <c r="C271" s="18"/>
      <c r="D271" s="18" t="s">
        <v>1105</v>
      </c>
      <c r="E271" s="19" t="s">
        <v>1106</v>
      </c>
      <c r="F271" s="9">
        <f>Source!AQ325</f>
        <v>0.46</v>
      </c>
      <c r="G271" s="21"/>
      <c r="H271" s="20" t="str">
        <f>Source!DI325</f>
        <v/>
      </c>
      <c r="I271" s="9">
        <f>Source!AV325</f>
        <v>1</v>
      </c>
      <c r="J271" s="9"/>
      <c r="K271" s="21"/>
      <c r="L271" s="21">
        <f>Source!U325</f>
        <v>1.84</v>
      </c>
    </row>
    <row r="272" spans="1:22" ht="15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44">
        <f>K267+K268+K269+K270</f>
        <v>1863.8000000000002</v>
      </c>
      <c r="K272" s="44"/>
      <c r="L272" s="24">
        <f>IF(Source!I325&lt;&gt;0, ROUND(J272/Source!I325, 2), 0)</f>
        <v>465.95</v>
      </c>
      <c r="P272" s="22">
        <f>J272</f>
        <v>1863.8000000000002</v>
      </c>
    </row>
    <row r="273" spans="1:22" ht="156.75" x14ac:dyDescent="0.2">
      <c r="A273" s="18">
        <v>24</v>
      </c>
      <c r="B273" s="18">
        <v>24</v>
      </c>
      <c r="C273" s="18" t="str">
        <f>Source!F326</f>
        <v>1.17-2103-13-27/1</v>
      </c>
      <c r="D273" s="18" t="str">
        <f>Source!G326</f>
        <v>Техническое обслуживание стальных панельных радиаторов типа 33 высотой 500 мм длиной до 1500 мм / Стальной трубчатый радиатор, тип PC-3-500, высота H = 540 мм, ширина В= 160 мм, радиатор 3-рядный, с встроенным термостатическим вентилем Danfoss RTD-N BIV с предварительной настройкой, нижнее подключение (правостороннее либо левостороннее)</v>
      </c>
      <c r="E273" s="19" t="str">
        <f>Source!H326</f>
        <v>шт.</v>
      </c>
      <c r="F273" s="9">
        <f>Source!I326</f>
        <v>5</v>
      </c>
      <c r="G273" s="21"/>
      <c r="H273" s="20"/>
      <c r="I273" s="9"/>
      <c r="J273" s="9"/>
      <c r="K273" s="21"/>
      <c r="L273" s="21"/>
      <c r="Q273">
        <f>ROUND((Source!BZ326/100)*ROUND((Source!AF326*Source!AV326)*Source!I326, 2), 2)</f>
        <v>1141.21</v>
      </c>
      <c r="R273">
        <f>Source!X326</f>
        <v>1141.21</v>
      </c>
      <c r="S273">
        <f>ROUND((Source!CA326/100)*ROUND((Source!AF326*Source!AV326)*Source!I326, 2), 2)</f>
        <v>163.03</v>
      </c>
      <c r="T273">
        <f>Source!Y326</f>
        <v>163.03</v>
      </c>
      <c r="U273">
        <f>ROUND((175/100)*ROUND((Source!AE326*Source!AV326)*Source!I326, 2), 2)</f>
        <v>0.26</v>
      </c>
      <c r="V273">
        <f>ROUND((108/100)*ROUND(Source!CS326*Source!I326, 2), 2)</f>
        <v>0.16</v>
      </c>
    </row>
    <row r="274" spans="1:22" ht="14.25" x14ac:dyDescent="0.2">
      <c r="A274" s="18"/>
      <c r="B274" s="18"/>
      <c r="C274" s="18"/>
      <c r="D274" s="18" t="s">
        <v>1100</v>
      </c>
      <c r="E274" s="19"/>
      <c r="F274" s="9"/>
      <c r="G274" s="21">
        <f>Source!AO326</f>
        <v>326.06</v>
      </c>
      <c r="H274" s="20" t="str">
        <f>Source!DG326</f>
        <v/>
      </c>
      <c r="I274" s="9">
        <f>Source!AV326</f>
        <v>1</v>
      </c>
      <c r="J274" s="9">
        <f>IF(Source!BA326&lt;&gt; 0, Source!BA326, 1)</f>
        <v>1</v>
      </c>
      <c r="K274" s="21">
        <f>Source!S326</f>
        <v>1630.3</v>
      </c>
      <c r="L274" s="21"/>
    </row>
    <row r="275" spans="1:22" ht="14.25" x14ac:dyDescent="0.2">
      <c r="A275" s="18"/>
      <c r="B275" s="18"/>
      <c r="C275" s="18"/>
      <c r="D275" s="18" t="s">
        <v>1107</v>
      </c>
      <c r="E275" s="19"/>
      <c r="F275" s="9"/>
      <c r="G275" s="21">
        <f>Source!AM326</f>
        <v>2.5299999999999998</v>
      </c>
      <c r="H275" s="20" t="str">
        <f>Source!DE326</f>
        <v/>
      </c>
      <c r="I275" s="9">
        <f>Source!AV326</f>
        <v>1</v>
      </c>
      <c r="J275" s="9">
        <f>IF(Source!BB326&lt;&gt; 0, Source!BB326, 1)</f>
        <v>1</v>
      </c>
      <c r="K275" s="21">
        <f>Source!Q326</f>
        <v>12.65</v>
      </c>
      <c r="L275" s="21"/>
    </row>
    <row r="276" spans="1:22" ht="14.25" x14ac:dyDescent="0.2">
      <c r="A276" s="18"/>
      <c r="B276" s="18"/>
      <c r="C276" s="18"/>
      <c r="D276" s="18" t="s">
        <v>1108</v>
      </c>
      <c r="E276" s="19"/>
      <c r="F276" s="9"/>
      <c r="G276" s="21">
        <f>Source!AN326</f>
        <v>0.03</v>
      </c>
      <c r="H276" s="20" t="str">
        <f>Source!DF326</f>
        <v/>
      </c>
      <c r="I276" s="9">
        <f>Source!AV326</f>
        <v>1</v>
      </c>
      <c r="J276" s="9">
        <f>IF(Source!BS326&lt;&gt; 0, Source!BS326, 1)</f>
        <v>1</v>
      </c>
      <c r="K276" s="25">
        <f>Source!R326</f>
        <v>0.15</v>
      </c>
      <c r="L276" s="21"/>
    </row>
    <row r="277" spans="1:22" ht="14.25" x14ac:dyDescent="0.2">
      <c r="A277" s="18"/>
      <c r="B277" s="18"/>
      <c r="C277" s="18"/>
      <c r="D277" s="18" t="s">
        <v>1101</v>
      </c>
      <c r="E277" s="19"/>
      <c r="F277" s="9"/>
      <c r="G277" s="21">
        <f>Source!AL326</f>
        <v>0.47</v>
      </c>
      <c r="H277" s="20" t="str">
        <f>Source!DD326</f>
        <v/>
      </c>
      <c r="I277" s="9">
        <f>Source!AW326</f>
        <v>1</v>
      </c>
      <c r="J277" s="9">
        <f>IF(Source!BC326&lt;&gt; 0, Source!BC326, 1)</f>
        <v>1</v>
      </c>
      <c r="K277" s="21">
        <f>Source!P326</f>
        <v>2.35</v>
      </c>
      <c r="L277" s="21"/>
    </row>
    <row r="278" spans="1:22" ht="14.25" x14ac:dyDescent="0.2">
      <c r="A278" s="18"/>
      <c r="B278" s="18"/>
      <c r="C278" s="18"/>
      <c r="D278" s="18" t="s">
        <v>1102</v>
      </c>
      <c r="E278" s="19" t="s">
        <v>1103</v>
      </c>
      <c r="F278" s="9">
        <f>Source!AT326</f>
        <v>70</v>
      </c>
      <c r="G278" s="21"/>
      <c r="H278" s="20"/>
      <c r="I278" s="9"/>
      <c r="J278" s="9"/>
      <c r="K278" s="21">
        <f>SUM(R273:R277)</f>
        <v>1141.21</v>
      </c>
      <c r="L278" s="21"/>
    </row>
    <row r="279" spans="1:22" ht="14.25" x14ac:dyDescent="0.2">
      <c r="A279" s="18"/>
      <c r="B279" s="18"/>
      <c r="C279" s="18"/>
      <c r="D279" s="18" t="s">
        <v>1104</v>
      </c>
      <c r="E279" s="19" t="s">
        <v>1103</v>
      </c>
      <c r="F279" s="9">
        <f>Source!AU326</f>
        <v>10</v>
      </c>
      <c r="G279" s="21"/>
      <c r="H279" s="20"/>
      <c r="I279" s="9"/>
      <c r="J279" s="9"/>
      <c r="K279" s="21">
        <f>SUM(T273:T278)</f>
        <v>163.03</v>
      </c>
      <c r="L279" s="21"/>
    </row>
    <row r="280" spans="1:22" ht="14.25" x14ac:dyDescent="0.2">
      <c r="A280" s="18"/>
      <c r="B280" s="18"/>
      <c r="C280" s="18"/>
      <c r="D280" s="18" t="s">
        <v>1109</v>
      </c>
      <c r="E280" s="19" t="s">
        <v>1103</v>
      </c>
      <c r="F280" s="9">
        <f>108</f>
        <v>108</v>
      </c>
      <c r="G280" s="21"/>
      <c r="H280" s="20"/>
      <c r="I280" s="9"/>
      <c r="J280" s="9"/>
      <c r="K280" s="21">
        <f>SUM(V273:V279)</f>
        <v>0.16</v>
      </c>
      <c r="L280" s="21"/>
    </row>
    <row r="281" spans="1:22" ht="14.25" x14ac:dyDescent="0.2">
      <c r="A281" s="18"/>
      <c r="B281" s="18"/>
      <c r="C281" s="18"/>
      <c r="D281" s="18" t="s">
        <v>1105</v>
      </c>
      <c r="E281" s="19" t="s">
        <v>1106</v>
      </c>
      <c r="F281" s="9">
        <f>Source!AQ326</f>
        <v>0.57999999999999996</v>
      </c>
      <c r="G281" s="21"/>
      <c r="H281" s="20" t="str">
        <f>Source!DI326</f>
        <v/>
      </c>
      <c r="I281" s="9">
        <f>Source!AV326</f>
        <v>1</v>
      </c>
      <c r="J281" s="9"/>
      <c r="K281" s="21"/>
      <c r="L281" s="21">
        <f>Source!U326</f>
        <v>2.9</v>
      </c>
    </row>
    <row r="282" spans="1:22" ht="15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44">
        <f>K274+K275+K277+K278+K279+K280</f>
        <v>2949.7000000000003</v>
      </c>
      <c r="K282" s="44"/>
      <c r="L282" s="24">
        <f>IF(Source!I326&lt;&gt;0, ROUND(J282/Source!I326, 2), 0)</f>
        <v>589.94000000000005</v>
      </c>
      <c r="P282" s="22">
        <f>J282</f>
        <v>2949.7000000000003</v>
      </c>
    </row>
    <row r="283" spans="1:22" ht="28.5" x14ac:dyDescent="0.2">
      <c r="A283" s="18">
        <v>25</v>
      </c>
      <c r="B283" s="18">
        <v>25</v>
      </c>
      <c r="C283" s="18" t="str">
        <f>Source!F327</f>
        <v>1.17-2103-17-1/1</v>
      </c>
      <c r="D283" s="18" t="str">
        <f>Source!G327</f>
        <v>Техническое обслуживание автоматического воздухоотводчика</v>
      </c>
      <c r="E283" s="19" t="str">
        <f>Source!H327</f>
        <v>10 шт.</v>
      </c>
      <c r="F283" s="9">
        <f>Source!I327</f>
        <v>4.4000000000000004</v>
      </c>
      <c r="G283" s="21"/>
      <c r="H283" s="20"/>
      <c r="I283" s="9"/>
      <c r="J283" s="9"/>
      <c r="K283" s="21"/>
      <c r="L283" s="21"/>
      <c r="Q283">
        <f>ROUND((Source!BZ327/100)*ROUND((Source!AF327*Source!AV327)*Source!I327, 2), 2)</f>
        <v>2890.83</v>
      </c>
      <c r="R283">
        <f>Source!X327</f>
        <v>2890.83</v>
      </c>
      <c r="S283">
        <f>ROUND((Source!CA327/100)*ROUND((Source!AF327*Source!AV327)*Source!I327, 2), 2)</f>
        <v>412.98</v>
      </c>
      <c r="T283">
        <f>Source!Y327</f>
        <v>412.98</v>
      </c>
      <c r="U283">
        <f>ROUND((175/100)*ROUND((Source!AE327*Source!AV327)*Source!I327, 2), 2)</f>
        <v>0</v>
      </c>
      <c r="V283">
        <f>ROUND((108/100)*ROUND(Source!CS327*Source!I327, 2), 2)</f>
        <v>0</v>
      </c>
    </row>
    <row r="284" spans="1:22" x14ac:dyDescent="0.2">
      <c r="D284" s="28" t="str">
        <f>"Объем: "&amp;Source!I327&amp;"=44/"&amp;"10"</f>
        <v>Объем: 4,4=44/10</v>
      </c>
    </row>
    <row r="285" spans="1:22" ht="14.25" x14ac:dyDescent="0.2">
      <c r="A285" s="18"/>
      <c r="B285" s="18"/>
      <c r="C285" s="18"/>
      <c r="D285" s="18" t="s">
        <v>1100</v>
      </c>
      <c r="E285" s="19"/>
      <c r="F285" s="9"/>
      <c r="G285" s="21">
        <f>Source!AO327</f>
        <v>938.58</v>
      </c>
      <c r="H285" s="20" t="str">
        <f>Source!DG327</f>
        <v/>
      </c>
      <c r="I285" s="9">
        <f>Source!AV327</f>
        <v>1</v>
      </c>
      <c r="J285" s="9">
        <f>IF(Source!BA327&lt;&gt; 0, Source!BA327, 1)</f>
        <v>1</v>
      </c>
      <c r="K285" s="21">
        <f>Source!S327</f>
        <v>4129.75</v>
      </c>
      <c r="L285" s="21"/>
    </row>
    <row r="286" spans="1:22" ht="14.25" x14ac:dyDescent="0.2">
      <c r="A286" s="18"/>
      <c r="B286" s="18"/>
      <c r="C286" s="18"/>
      <c r="D286" s="18" t="s">
        <v>1101</v>
      </c>
      <c r="E286" s="19"/>
      <c r="F286" s="9"/>
      <c r="G286" s="21">
        <f>Source!AL327</f>
        <v>0.63</v>
      </c>
      <c r="H286" s="20" t="str">
        <f>Source!DD327</f>
        <v/>
      </c>
      <c r="I286" s="9">
        <f>Source!AW327</f>
        <v>1</v>
      </c>
      <c r="J286" s="9">
        <f>IF(Source!BC327&lt;&gt; 0, Source!BC327, 1)</f>
        <v>1</v>
      </c>
      <c r="K286" s="21">
        <f>Source!P327</f>
        <v>2.77</v>
      </c>
      <c r="L286" s="21"/>
    </row>
    <row r="287" spans="1:22" ht="14.25" x14ac:dyDescent="0.2">
      <c r="A287" s="18"/>
      <c r="B287" s="18"/>
      <c r="C287" s="18"/>
      <c r="D287" s="18" t="s">
        <v>1102</v>
      </c>
      <c r="E287" s="19" t="s">
        <v>1103</v>
      </c>
      <c r="F287" s="9">
        <f>Source!AT327</f>
        <v>70</v>
      </c>
      <c r="G287" s="21"/>
      <c r="H287" s="20"/>
      <c r="I287" s="9"/>
      <c r="J287" s="9"/>
      <c r="K287" s="21">
        <f>SUM(R283:R286)</f>
        <v>2890.83</v>
      </c>
      <c r="L287" s="21"/>
    </row>
    <row r="288" spans="1:22" ht="14.25" x14ac:dyDescent="0.2">
      <c r="A288" s="18"/>
      <c r="B288" s="18"/>
      <c r="C288" s="18"/>
      <c r="D288" s="18" t="s">
        <v>1104</v>
      </c>
      <c r="E288" s="19" t="s">
        <v>1103</v>
      </c>
      <c r="F288" s="9">
        <f>Source!AU327</f>
        <v>10</v>
      </c>
      <c r="G288" s="21"/>
      <c r="H288" s="20"/>
      <c r="I288" s="9"/>
      <c r="J288" s="9"/>
      <c r="K288" s="21">
        <f>SUM(T283:T287)</f>
        <v>412.98</v>
      </c>
      <c r="L288" s="21"/>
    </row>
    <row r="289" spans="1:22" ht="14.25" x14ac:dyDescent="0.2">
      <c r="A289" s="18"/>
      <c r="B289" s="18"/>
      <c r="C289" s="18"/>
      <c r="D289" s="18" t="s">
        <v>1105</v>
      </c>
      <c r="E289" s="19" t="s">
        <v>1106</v>
      </c>
      <c r="F289" s="9">
        <f>Source!AQ327</f>
        <v>1.52</v>
      </c>
      <c r="G289" s="21"/>
      <c r="H289" s="20" t="str">
        <f>Source!DI327</f>
        <v/>
      </c>
      <c r="I289" s="9">
        <f>Source!AV327</f>
        <v>1</v>
      </c>
      <c r="J289" s="9"/>
      <c r="K289" s="21"/>
      <c r="L289" s="21">
        <f>Source!U327</f>
        <v>6.6880000000000006</v>
      </c>
    </row>
    <row r="290" spans="1:22" ht="15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44">
        <f>K285+K286+K287+K288</f>
        <v>7436.33</v>
      </c>
      <c r="K290" s="44"/>
      <c r="L290" s="24">
        <f>IF(Source!I327&lt;&gt;0, ROUND(J290/Source!I327, 2), 0)</f>
        <v>1690.08</v>
      </c>
      <c r="P290" s="22">
        <f>J290</f>
        <v>7436.33</v>
      </c>
    </row>
    <row r="291" spans="1:22" ht="57" x14ac:dyDescent="0.2">
      <c r="A291" s="18">
        <v>26</v>
      </c>
      <c r="B291" s="18">
        <v>26</v>
      </c>
      <c r="C291" s="18" t="str">
        <f>Source!F331</f>
        <v>1.15-2203-7-1/1</v>
      </c>
      <c r="D291" s="18" t="str">
        <f>Source!G331</f>
        <v>Техническое обслуживание крана шарового латунного никелированного диаметром до 25 мм / Кран с накидной гайкой 1/2"х3/4" VT.241 «Valtec»</v>
      </c>
      <c r="E291" s="19" t="str">
        <f>Source!H331</f>
        <v>10 шт.</v>
      </c>
      <c r="F291" s="9">
        <f>Source!I331</f>
        <v>23</v>
      </c>
      <c r="G291" s="21"/>
      <c r="H291" s="20"/>
      <c r="I291" s="9"/>
      <c r="J291" s="9"/>
      <c r="K291" s="21"/>
      <c r="L291" s="21"/>
      <c r="Q291">
        <f>ROUND((Source!BZ331/100)*ROUND((Source!AF331*Source!AV331)*Source!I331, 2), 2)</f>
        <v>4473.71</v>
      </c>
      <c r="R291">
        <f>Source!X331</f>
        <v>4473.71</v>
      </c>
      <c r="S291">
        <f>ROUND((Source!CA331/100)*ROUND((Source!AF331*Source!AV331)*Source!I331, 2), 2)</f>
        <v>639.1</v>
      </c>
      <c r="T291">
        <f>Source!Y331</f>
        <v>639.1</v>
      </c>
      <c r="U291">
        <f>ROUND((175/100)*ROUND((Source!AE331*Source!AV331)*Source!I331, 2), 2)</f>
        <v>0</v>
      </c>
      <c r="V291">
        <f>ROUND((108/100)*ROUND(Source!CS331*Source!I331, 2), 2)</f>
        <v>0</v>
      </c>
    </row>
    <row r="292" spans="1:22" x14ac:dyDescent="0.2">
      <c r="D292" s="28" t="str">
        <f>"Объем: "&amp;Source!I331&amp;"=230/"&amp;"10"</f>
        <v>Объем: 23=230/10</v>
      </c>
    </row>
    <row r="293" spans="1:22" ht="14.25" x14ac:dyDescent="0.2">
      <c r="A293" s="18"/>
      <c r="B293" s="18"/>
      <c r="C293" s="18"/>
      <c r="D293" s="18" t="s">
        <v>1100</v>
      </c>
      <c r="E293" s="19"/>
      <c r="F293" s="9"/>
      <c r="G293" s="21">
        <f>Source!AO331</f>
        <v>277.87</v>
      </c>
      <c r="H293" s="20" t="str">
        <f>Source!DG331</f>
        <v/>
      </c>
      <c r="I293" s="9">
        <f>Source!AV331</f>
        <v>1</v>
      </c>
      <c r="J293" s="9">
        <f>IF(Source!BA331&lt;&gt; 0, Source!BA331, 1)</f>
        <v>1</v>
      </c>
      <c r="K293" s="21">
        <f>Source!S331</f>
        <v>6391.01</v>
      </c>
      <c r="L293" s="21"/>
    </row>
    <row r="294" spans="1:22" ht="14.25" x14ac:dyDescent="0.2">
      <c r="A294" s="18"/>
      <c r="B294" s="18"/>
      <c r="C294" s="18"/>
      <c r="D294" s="18" t="s">
        <v>1102</v>
      </c>
      <c r="E294" s="19" t="s">
        <v>1103</v>
      </c>
      <c r="F294" s="9">
        <f>Source!AT331</f>
        <v>70</v>
      </c>
      <c r="G294" s="21"/>
      <c r="H294" s="20"/>
      <c r="I294" s="9"/>
      <c r="J294" s="9"/>
      <c r="K294" s="21">
        <f>SUM(R291:R293)</f>
        <v>4473.71</v>
      </c>
      <c r="L294" s="21"/>
    </row>
    <row r="295" spans="1:22" ht="14.25" x14ac:dyDescent="0.2">
      <c r="A295" s="18"/>
      <c r="B295" s="18"/>
      <c r="C295" s="18"/>
      <c r="D295" s="18" t="s">
        <v>1104</v>
      </c>
      <c r="E295" s="19" t="s">
        <v>1103</v>
      </c>
      <c r="F295" s="9">
        <f>Source!AU331</f>
        <v>10</v>
      </c>
      <c r="G295" s="21"/>
      <c r="H295" s="20"/>
      <c r="I295" s="9"/>
      <c r="J295" s="9"/>
      <c r="K295" s="21">
        <f>SUM(T291:T294)</f>
        <v>639.1</v>
      </c>
      <c r="L295" s="21"/>
    </row>
    <row r="296" spans="1:22" ht="14.25" x14ac:dyDescent="0.2">
      <c r="A296" s="18"/>
      <c r="B296" s="18"/>
      <c r="C296" s="18"/>
      <c r="D296" s="18" t="s">
        <v>1105</v>
      </c>
      <c r="E296" s="19" t="s">
        <v>1106</v>
      </c>
      <c r="F296" s="9">
        <f>Source!AQ331</f>
        <v>0.45</v>
      </c>
      <c r="G296" s="21"/>
      <c r="H296" s="20" t="str">
        <f>Source!DI331</f>
        <v/>
      </c>
      <c r="I296" s="9">
        <f>Source!AV331</f>
        <v>1</v>
      </c>
      <c r="J296" s="9"/>
      <c r="K296" s="21"/>
      <c r="L296" s="21">
        <f>Source!U331</f>
        <v>10.35</v>
      </c>
    </row>
    <row r="297" spans="1:22" ht="15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44">
        <f>K293+K294+K295</f>
        <v>11503.820000000002</v>
      </c>
      <c r="K297" s="44"/>
      <c r="L297" s="24">
        <f>IF(Source!I331&lt;&gt;0, ROUND(J297/Source!I331, 2), 0)</f>
        <v>500.17</v>
      </c>
      <c r="P297" s="22">
        <f>J297</f>
        <v>11503.820000000002</v>
      </c>
    </row>
    <row r="298" spans="1:22" ht="157.5" x14ac:dyDescent="0.2">
      <c r="A298" s="18">
        <v>27</v>
      </c>
      <c r="B298" s="18">
        <v>27</v>
      </c>
      <c r="C298" s="18" t="s">
        <v>1110</v>
      </c>
      <c r="D298" s="18" t="s">
        <v>1111</v>
      </c>
      <c r="E298" s="19" t="str">
        <f>Source!H332</f>
        <v>шт.</v>
      </c>
      <c r="F298" s="9">
        <f>Source!I332</f>
        <v>22</v>
      </c>
      <c r="G298" s="21"/>
      <c r="H298" s="20"/>
      <c r="I298" s="9"/>
      <c r="J298" s="9"/>
      <c r="K298" s="21"/>
      <c r="L298" s="21"/>
      <c r="Q298">
        <f>ROUND((Source!BZ332/100)*ROUND((Source!AF332*Source!AV332)*Source!I332, 2), 2)</f>
        <v>23868.43</v>
      </c>
      <c r="R298">
        <f>Source!X332</f>
        <v>23868.43</v>
      </c>
      <c r="S298">
        <f>ROUND((Source!CA332/100)*ROUND((Source!AF332*Source!AV332)*Source!I332, 2), 2)</f>
        <v>3409.78</v>
      </c>
      <c r="T298">
        <f>Source!Y332</f>
        <v>3409.78</v>
      </c>
      <c r="U298">
        <f>ROUND((175/100)*ROUND((Source!AE332*Source!AV332)*Source!I332, 2), 2)</f>
        <v>3785.13</v>
      </c>
      <c r="V298">
        <f>ROUND((108/100)*ROUND(Source!CS332*Source!I332, 2), 2)</f>
        <v>2335.96</v>
      </c>
    </row>
    <row r="299" spans="1:22" x14ac:dyDescent="0.2">
      <c r="D299" s="28" t="str">
        <f>"Объем: "&amp;Source!I332&amp;"=7+"&amp;"13+"&amp;"2"</f>
        <v>Объем: 22=7+13+2</v>
      </c>
    </row>
    <row r="300" spans="1:22" ht="14.25" x14ac:dyDescent="0.2">
      <c r="A300" s="18"/>
      <c r="B300" s="18"/>
      <c r="C300" s="18"/>
      <c r="D300" s="18" t="s">
        <v>1100</v>
      </c>
      <c r="E300" s="19"/>
      <c r="F300" s="9"/>
      <c r="G300" s="21">
        <f>Source!AO332</f>
        <v>2214.14</v>
      </c>
      <c r="H300" s="20" t="str">
        <f>Source!DG332</f>
        <v>)*0,70</v>
      </c>
      <c r="I300" s="9">
        <f>Source!AV332</f>
        <v>1</v>
      </c>
      <c r="J300" s="9">
        <f>IF(Source!BA332&lt;&gt; 0, Source!BA332, 1)</f>
        <v>1</v>
      </c>
      <c r="K300" s="21">
        <f>Source!S332</f>
        <v>34097.760000000002</v>
      </c>
      <c r="L300" s="21"/>
    </row>
    <row r="301" spans="1:22" ht="14.25" x14ac:dyDescent="0.2">
      <c r="A301" s="18"/>
      <c r="B301" s="18"/>
      <c r="C301" s="18"/>
      <c r="D301" s="18" t="s">
        <v>1107</v>
      </c>
      <c r="E301" s="19"/>
      <c r="F301" s="9"/>
      <c r="G301" s="21">
        <f>Source!AM332</f>
        <v>221.51</v>
      </c>
      <c r="H301" s="20" t="str">
        <f>Source!DE332</f>
        <v>)*0,70</v>
      </c>
      <c r="I301" s="9">
        <f>Source!AV332</f>
        <v>1</v>
      </c>
      <c r="J301" s="9">
        <f>IF(Source!BB332&lt;&gt; 0, Source!BB332, 1)</f>
        <v>1</v>
      </c>
      <c r="K301" s="21">
        <f>Source!Q332</f>
        <v>3411.25</v>
      </c>
      <c r="L301" s="21"/>
    </row>
    <row r="302" spans="1:22" ht="14.25" x14ac:dyDescent="0.2">
      <c r="A302" s="18"/>
      <c r="B302" s="18"/>
      <c r="C302" s="18"/>
      <c r="D302" s="18" t="s">
        <v>1108</v>
      </c>
      <c r="E302" s="19"/>
      <c r="F302" s="9"/>
      <c r="G302" s="21">
        <f>Source!AN332</f>
        <v>140.44999999999999</v>
      </c>
      <c r="H302" s="20" t="str">
        <f>Source!DF332</f>
        <v>)*0,70</v>
      </c>
      <c r="I302" s="9">
        <f>Source!AV332</f>
        <v>1</v>
      </c>
      <c r="J302" s="9">
        <f>IF(Source!BS332&lt;&gt; 0, Source!BS332, 1)</f>
        <v>1</v>
      </c>
      <c r="K302" s="25">
        <f>Source!R332</f>
        <v>2162.9299999999998</v>
      </c>
      <c r="L302" s="21"/>
    </row>
    <row r="303" spans="1:22" ht="14.25" x14ac:dyDescent="0.2">
      <c r="A303" s="18"/>
      <c r="B303" s="18"/>
      <c r="C303" s="18"/>
      <c r="D303" s="18" t="s">
        <v>1101</v>
      </c>
      <c r="E303" s="19"/>
      <c r="F303" s="9"/>
      <c r="G303" s="21">
        <f>Source!AL332</f>
        <v>31.22</v>
      </c>
      <c r="H303" s="20" t="str">
        <f>Source!DD332</f>
        <v>)*1</v>
      </c>
      <c r="I303" s="9">
        <f>Source!AW332</f>
        <v>1</v>
      </c>
      <c r="J303" s="9">
        <f>IF(Source!BC332&lt;&gt; 0, Source!BC332, 1)</f>
        <v>1</v>
      </c>
      <c r="K303" s="21">
        <f>Source!P332</f>
        <v>686.84</v>
      </c>
      <c r="L303" s="21"/>
    </row>
    <row r="304" spans="1:22" ht="14.25" x14ac:dyDescent="0.2">
      <c r="A304" s="18"/>
      <c r="B304" s="18"/>
      <c r="C304" s="18"/>
      <c r="D304" s="18" t="s">
        <v>1102</v>
      </c>
      <c r="E304" s="19" t="s">
        <v>1103</v>
      </c>
      <c r="F304" s="9">
        <f>Source!AT332</f>
        <v>70</v>
      </c>
      <c r="G304" s="21"/>
      <c r="H304" s="20"/>
      <c r="I304" s="9"/>
      <c r="J304" s="9"/>
      <c r="K304" s="21">
        <f>SUM(R298:R303)</f>
        <v>23868.43</v>
      </c>
      <c r="L304" s="21"/>
    </row>
    <row r="305" spans="1:22" ht="14.25" x14ac:dyDescent="0.2">
      <c r="A305" s="18"/>
      <c r="B305" s="18"/>
      <c r="C305" s="18"/>
      <c r="D305" s="18" t="s">
        <v>1104</v>
      </c>
      <c r="E305" s="19" t="s">
        <v>1103</v>
      </c>
      <c r="F305" s="9">
        <f>Source!AU332</f>
        <v>10</v>
      </c>
      <c r="G305" s="21"/>
      <c r="H305" s="20"/>
      <c r="I305" s="9"/>
      <c r="J305" s="9"/>
      <c r="K305" s="21">
        <f>SUM(T298:T304)</f>
        <v>3409.78</v>
      </c>
      <c r="L305" s="21"/>
    </row>
    <row r="306" spans="1:22" ht="14.25" x14ac:dyDescent="0.2">
      <c r="A306" s="18"/>
      <c r="B306" s="18"/>
      <c r="C306" s="18"/>
      <c r="D306" s="18" t="s">
        <v>1109</v>
      </c>
      <c r="E306" s="19" t="s">
        <v>1103</v>
      </c>
      <c r="F306" s="9">
        <f>108</f>
        <v>108</v>
      </c>
      <c r="G306" s="21"/>
      <c r="H306" s="20"/>
      <c r="I306" s="9"/>
      <c r="J306" s="9"/>
      <c r="K306" s="21">
        <f>SUM(V298:V305)</f>
        <v>2335.96</v>
      </c>
      <c r="L306" s="21"/>
    </row>
    <row r="307" spans="1:22" ht="14.25" x14ac:dyDescent="0.2">
      <c r="A307" s="18"/>
      <c r="B307" s="18"/>
      <c r="C307" s="18"/>
      <c r="D307" s="18" t="s">
        <v>1105</v>
      </c>
      <c r="E307" s="19" t="s">
        <v>1106</v>
      </c>
      <c r="F307" s="9">
        <f>Source!AQ332</f>
        <v>3.12</v>
      </c>
      <c r="G307" s="21"/>
      <c r="H307" s="20" t="str">
        <f>Source!DI332</f>
        <v>)*0,70</v>
      </c>
      <c r="I307" s="9">
        <f>Source!AV332</f>
        <v>1</v>
      </c>
      <c r="J307" s="9"/>
      <c r="K307" s="21"/>
      <c r="L307" s="21">
        <f>Source!U332</f>
        <v>48.047999999999995</v>
      </c>
    </row>
    <row r="308" spans="1:22" ht="15" x14ac:dyDescent="0.25">
      <c r="A308" s="23"/>
      <c r="B308" s="23"/>
      <c r="C308" s="23"/>
      <c r="D308" s="23"/>
      <c r="E308" s="23"/>
      <c r="F308" s="23"/>
      <c r="G308" s="23"/>
      <c r="H308" s="23"/>
      <c r="I308" s="23"/>
      <c r="J308" s="44">
        <f>K300+K301+K303+K304+K305+K306</f>
        <v>67810.02</v>
      </c>
      <c r="K308" s="44"/>
      <c r="L308" s="24">
        <f>IF(Source!I332&lt;&gt;0, ROUND(J308/Source!I332, 2), 0)</f>
        <v>3082.27</v>
      </c>
      <c r="P308" s="22">
        <f>J308</f>
        <v>67810.02</v>
      </c>
    </row>
    <row r="309" spans="1:22" ht="85.5" x14ac:dyDescent="0.2">
      <c r="A309" s="18">
        <v>28</v>
      </c>
      <c r="B309" s="18">
        <v>28</v>
      </c>
      <c r="C309" s="18" t="str">
        <f>Source!F334</f>
        <v>1.23-2103-27-1/1</v>
      </c>
      <c r="D309" s="18" t="str">
        <f>Source!G334</f>
        <v>Техническое обслуживание преобразователя давления МТ100 и аналогов  / Автоматический регулятор перепада давления Ду 15 50-300 мбар в к-те с запорно-регулирующим клапаном</v>
      </c>
      <c r="E309" s="19" t="str">
        <f>Source!H334</f>
        <v>10 шт.</v>
      </c>
      <c r="F309" s="9">
        <f>Source!I334</f>
        <v>2.2000000000000002</v>
      </c>
      <c r="G309" s="21"/>
      <c r="H309" s="20"/>
      <c r="I309" s="9"/>
      <c r="J309" s="9"/>
      <c r="K309" s="21"/>
      <c r="L309" s="21"/>
      <c r="Q309">
        <f>ROUND((Source!BZ334/100)*ROUND((Source!AF334*Source!AV334)*Source!I334, 2), 2)</f>
        <v>13660.96</v>
      </c>
      <c r="R309">
        <f>Source!X334</f>
        <v>13660.96</v>
      </c>
      <c r="S309">
        <f>ROUND((Source!CA334/100)*ROUND((Source!AF334*Source!AV334)*Source!I334, 2), 2)</f>
        <v>1951.57</v>
      </c>
      <c r="T309">
        <f>Source!Y334</f>
        <v>1951.57</v>
      </c>
      <c r="U309">
        <f>ROUND((175/100)*ROUND((Source!AE334*Source!AV334)*Source!I334, 2), 2)</f>
        <v>0</v>
      </c>
      <c r="V309">
        <f>ROUND((108/100)*ROUND(Source!CS334*Source!I334, 2), 2)</f>
        <v>0</v>
      </c>
    </row>
    <row r="310" spans="1:22" x14ac:dyDescent="0.2">
      <c r="D310" s="28" t="str">
        <f>"Объем: "&amp;Source!I334&amp;"=(3+"&amp;"5+"&amp;"8+"&amp;"6)/"&amp;"10"</f>
        <v>Объем: 2,2=(3+5+8+6)/10</v>
      </c>
    </row>
    <row r="311" spans="1:22" ht="14.25" x14ac:dyDescent="0.2">
      <c r="A311" s="18"/>
      <c r="B311" s="18"/>
      <c r="C311" s="18"/>
      <c r="D311" s="18" t="s">
        <v>1100</v>
      </c>
      <c r="E311" s="19"/>
      <c r="F311" s="9"/>
      <c r="G311" s="21">
        <f>Source!AO334</f>
        <v>8870.75</v>
      </c>
      <c r="H311" s="20" t="str">
        <f>Source!DG334</f>
        <v/>
      </c>
      <c r="I311" s="9">
        <f>Source!AV334</f>
        <v>1</v>
      </c>
      <c r="J311" s="9">
        <f>IF(Source!BA334&lt;&gt; 0, Source!BA334, 1)</f>
        <v>1</v>
      </c>
      <c r="K311" s="21">
        <f>Source!S334</f>
        <v>19515.650000000001</v>
      </c>
      <c r="L311" s="21"/>
    </row>
    <row r="312" spans="1:22" ht="14.25" x14ac:dyDescent="0.2">
      <c r="A312" s="18"/>
      <c r="B312" s="18"/>
      <c r="C312" s="18"/>
      <c r="D312" s="18" t="s">
        <v>1101</v>
      </c>
      <c r="E312" s="19"/>
      <c r="F312" s="9"/>
      <c r="G312" s="21">
        <f>Source!AL334</f>
        <v>17.39</v>
      </c>
      <c r="H312" s="20" t="str">
        <f>Source!DD334</f>
        <v/>
      </c>
      <c r="I312" s="9">
        <f>Source!AW334</f>
        <v>1</v>
      </c>
      <c r="J312" s="9">
        <f>IF(Source!BC334&lt;&gt; 0, Source!BC334, 1)</f>
        <v>1</v>
      </c>
      <c r="K312" s="21">
        <f>Source!P334</f>
        <v>38.26</v>
      </c>
      <c r="L312" s="21"/>
    </row>
    <row r="313" spans="1:22" ht="14.25" x14ac:dyDescent="0.2">
      <c r="A313" s="18"/>
      <c r="B313" s="18"/>
      <c r="C313" s="18"/>
      <c r="D313" s="18" t="s">
        <v>1102</v>
      </c>
      <c r="E313" s="19" t="s">
        <v>1103</v>
      </c>
      <c r="F313" s="9">
        <f>Source!AT334</f>
        <v>70</v>
      </c>
      <c r="G313" s="21"/>
      <c r="H313" s="20"/>
      <c r="I313" s="9"/>
      <c r="J313" s="9"/>
      <c r="K313" s="21">
        <f>SUM(R309:R312)</f>
        <v>13660.96</v>
      </c>
      <c r="L313" s="21"/>
    </row>
    <row r="314" spans="1:22" ht="14.25" x14ac:dyDescent="0.2">
      <c r="A314" s="18"/>
      <c r="B314" s="18"/>
      <c r="C314" s="18"/>
      <c r="D314" s="18" t="s">
        <v>1104</v>
      </c>
      <c r="E314" s="19" t="s">
        <v>1103</v>
      </c>
      <c r="F314" s="9">
        <f>Source!AU334</f>
        <v>10</v>
      </c>
      <c r="G314" s="21"/>
      <c r="H314" s="20"/>
      <c r="I314" s="9"/>
      <c r="J314" s="9"/>
      <c r="K314" s="21">
        <f>SUM(T309:T313)</f>
        <v>1951.57</v>
      </c>
      <c r="L314" s="21"/>
    </row>
    <row r="315" spans="1:22" ht="14.25" x14ac:dyDescent="0.2">
      <c r="A315" s="18"/>
      <c r="B315" s="18"/>
      <c r="C315" s="18"/>
      <c r="D315" s="18" t="s">
        <v>1105</v>
      </c>
      <c r="E315" s="19" t="s">
        <v>1106</v>
      </c>
      <c r="F315" s="9">
        <f>Source!AQ334</f>
        <v>12.5</v>
      </c>
      <c r="G315" s="21"/>
      <c r="H315" s="20" t="str">
        <f>Source!DI334</f>
        <v/>
      </c>
      <c r="I315" s="9">
        <f>Source!AV334</f>
        <v>1</v>
      </c>
      <c r="J315" s="9"/>
      <c r="K315" s="21"/>
      <c r="L315" s="21">
        <f>Source!U334</f>
        <v>27.500000000000004</v>
      </c>
    </row>
    <row r="316" spans="1:22" ht="15" x14ac:dyDescent="0.25">
      <c r="A316" s="23"/>
      <c r="B316" s="23"/>
      <c r="C316" s="23"/>
      <c r="D316" s="23"/>
      <c r="E316" s="23"/>
      <c r="F316" s="23"/>
      <c r="G316" s="23"/>
      <c r="H316" s="23"/>
      <c r="I316" s="23"/>
      <c r="J316" s="44">
        <f>K311+K312+K313+K314</f>
        <v>35166.439999999995</v>
      </c>
      <c r="K316" s="44"/>
      <c r="L316" s="24">
        <f>IF(Source!I334&lt;&gt;0, ROUND(J316/Source!I334, 2), 0)</f>
        <v>15984.75</v>
      </c>
      <c r="P316" s="22">
        <f>J316</f>
        <v>35166.439999999995</v>
      </c>
    </row>
    <row r="317" spans="1:22" ht="57" x14ac:dyDescent="0.2">
      <c r="A317" s="18">
        <v>29</v>
      </c>
      <c r="B317" s="18">
        <v>29</v>
      </c>
      <c r="C317" s="18" t="str">
        <f>Source!F335</f>
        <v>1.23-2103-41-1/1</v>
      </c>
      <c r="D317" s="18" t="str">
        <f>Source!G335</f>
        <v>Техническое обслуживание регулирующего клапана / Клапан балансировочный ручной регулировки Ду 15 VT.054.N.04 «Valtec»</v>
      </c>
      <c r="E317" s="19" t="str">
        <f>Source!H335</f>
        <v>шт.</v>
      </c>
      <c r="F317" s="9">
        <f>Source!I335</f>
        <v>115</v>
      </c>
      <c r="G317" s="21"/>
      <c r="H317" s="20"/>
      <c r="I317" s="9"/>
      <c r="J317" s="9"/>
      <c r="K317" s="21"/>
      <c r="L317" s="21"/>
      <c r="Q317">
        <f>ROUND((Source!BZ335/100)*ROUND((Source!AF335*Source!AV335)*Source!I335, 2), 2)</f>
        <v>16744</v>
      </c>
      <c r="R317">
        <f>Source!X335</f>
        <v>16744</v>
      </c>
      <c r="S317">
        <f>ROUND((Source!CA335/100)*ROUND((Source!AF335*Source!AV335)*Source!I335, 2), 2)</f>
        <v>2392</v>
      </c>
      <c r="T317">
        <f>Source!Y335</f>
        <v>2392</v>
      </c>
      <c r="U317">
        <f>ROUND((175/100)*ROUND((Source!AE335*Source!AV335)*Source!I335, 2), 2)</f>
        <v>9975.9599999999991</v>
      </c>
      <c r="V317">
        <f>ROUND((108/100)*ROUND(Source!CS335*Source!I335, 2), 2)</f>
        <v>6156.59</v>
      </c>
    </row>
    <row r="318" spans="1:22" ht="14.25" x14ac:dyDescent="0.2">
      <c r="A318" s="18"/>
      <c r="B318" s="18"/>
      <c r="C318" s="18"/>
      <c r="D318" s="18" t="s">
        <v>1100</v>
      </c>
      <c r="E318" s="19"/>
      <c r="F318" s="9"/>
      <c r="G318" s="21">
        <f>Source!AO335</f>
        <v>208</v>
      </c>
      <c r="H318" s="20" t="str">
        <f>Source!DG335</f>
        <v/>
      </c>
      <c r="I318" s="9">
        <f>Source!AV335</f>
        <v>1</v>
      </c>
      <c r="J318" s="9">
        <f>IF(Source!BA335&lt;&gt; 0, Source!BA335, 1)</f>
        <v>1</v>
      </c>
      <c r="K318" s="21">
        <f>Source!S335</f>
        <v>23920</v>
      </c>
      <c r="L318" s="21"/>
    </row>
    <row r="319" spans="1:22" ht="14.25" x14ac:dyDescent="0.2">
      <c r="A319" s="18"/>
      <c r="B319" s="18"/>
      <c r="C319" s="18"/>
      <c r="D319" s="18" t="s">
        <v>1107</v>
      </c>
      <c r="E319" s="19"/>
      <c r="F319" s="9"/>
      <c r="G319" s="21">
        <f>Source!AM335</f>
        <v>78.180000000000007</v>
      </c>
      <c r="H319" s="20" t="str">
        <f>Source!DE335</f>
        <v/>
      </c>
      <c r="I319" s="9">
        <f>Source!AV335</f>
        <v>1</v>
      </c>
      <c r="J319" s="9">
        <f>IF(Source!BB335&lt;&gt; 0, Source!BB335, 1)</f>
        <v>1</v>
      </c>
      <c r="K319" s="21">
        <f>Source!Q335</f>
        <v>8990.7000000000007</v>
      </c>
      <c r="L319" s="21"/>
    </row>
    <row r="320" spans="1:22" ht="14.25" x14ac:dyDescent="0.2">
      <c r="A320" s="18"/>
      <c r="B320" s="18"/>
      <c r="C320" s="18"/>
      <c r="D320" s="18" t="s">
        <v>1108</v>
      </c>
      <c r="E320" s="19"/>
      <c r="F320" s="9"/>
      <c r="G320" s="21">
        <f>Source!AN335</f>
        <v>49.57</v>
      </c>
      <c r="H320" s="20" t="str">
        <f>Source!DF335</f>
        <v/>
      </c>
      <c r="I320" s="9">
        <f>Source!AV335</f>
        <v>1</v>
      </c>
      <c r="J320" s="9">
        <f>IF(Source!BS335&lt;&gt; 0, Source!BS335, 1)</f>
        <v>1</v>
      </c>
      <c r="K320" s="25">
        <f>Source!R335</f>
        <v>5700.55</v>
      </c>
      <c r="L320" s="21"/>
    </row>
    <row r="321" spans="1:22" ht="14.25" x14ac:dyDescent="0.2">
      <c r="A321" s="18"/>
      <c r="B321" s="18"/>
      <c r="C321" s="18"/>
      <c r="D321" s="18" t="s">
        <v>1102</v>
      </c>
      <c r="E321" s="19" t="s">
        <v>1103</v>
      </c>
      <c r="F321" s="9">
        <f>Source!AT335</f>
        <v>70</v>
      </c>
      <c r="G321" s="21"/>
      <c r="H321" s="20"/>
      <c r="I321" s="9"/>
      <c r="J321" s="9"/>
      <c r="K321" s="21">
        <f>SUM(R317:R320)</f>
        <v>16744</v>
      </c>
      <c r="L321" s="21"/>
    </row>
    <row r="322" spans="1:22" ht="14.25" x14ac:dyDescent="0.2">
      <c r="A322" s="18"/>
      <c r="B322" s="18"/>
      <c r="C322" s="18"/>
      <c r="D322" s="18" t="s">
        <v>1104</v>
      </c>
      <c r="E322" s="19" t="s">
        <v>1103</v>
      </c>
      <c r="F322" s="9">
        <f>Source!AU335</f>
        <v>10</v>
      </c>
      <c r="G322" s="21"/>
      <c r="H322" s="20"/>
      <c r="I322" s="9"/>
      <c r="J322" s="9"/>
      <c r="K322" s="21">
        <f>SUM(T317:T321)</f>
        <v>2392</v>
      </c>
      <c r="L322" s="21"/>
    </row>
    <row r="323" spans="1:22" ht="14.25" x14ac:dyDescent="0.2">
      <c r="A323" s="18"/>
      <c r="B323" s="18"/>
      <c r="C323" s="18"/>
      <c r="D323" s="18" t="s">
        <v>1109</v>
      </c>
      <c r="E323" s="19" t="s">
        <v>1103</v>
      </c>
      <c r="F323" s="9">
        <f>108</f>
        <v>108</v>
      </c>
      <c r="G323" s="21"/>
      <c r="H323" s="20"/>
      <c r="I323" s="9"/>
      <c r="J323" s="9"/>
      <c r="K323" s="21">
        <f>SUM(V317:V322)</f>
        <v>6156.59</v>
      </c>
      <c r="L323" s="21"/>
    </row>
    <row r="324" spans="1:22" ht="14.25" x14ac:dyDescent="0.2">
      <c r="A324" s="18"/>
      <c r="B324" s="18"/>
      <c r="C324" s="18"/>
      <c r="D324" s="18" t="s">
        <v>1105</v>
      </c>
      <c r="E324" s="19" t="s">
        <v>1106</v>
      </c>
      <c r="F324" s="9">
        <f>Source!AQ335</f>
        <v>0.37</v>
      </c>
      <c r="G324" s="21"/>
      <c r="H324" s="20" t="str">
        <f>Source!DI335</f>
        <v/>
      </c>
      <c r="I324" s="9">
        <f>Source!AV335</f>
        <v>1</v>
      </c>
      <c r="J324" s="9"/>
      <c r="K324" s="21"/>
      <c r="L324" s="21">
        <f>Source!U335</f>
        <v>42.55</v>
      </c>
    </row>
    <row r="325" spans="1:22" ht="15" x14ac:dyDescent="0.25">
      <c r="A325" s="23"/>
      <c r="B325" s="23"/>
      <c r="C325" s="23"/>
      <c r="D325" s="23"/>
      <c r="E325" s="23"/>
      <c r="F325" s="23"/>
      <c r="G325" s="23"/>
      <c r="H325" s="23"/>
      <c r="I325" s="23"/>
      <c r="J325" s="44">
        <f>K318+K319+K321+K322+K323</f>
        <v>58203.289999999994</v>
      </c>
      <c r="K325" s="44"/>
      <c r="L325" s="24">
        <f>IF(Source!I335&lt;&gt;0, ROUND(J325/Source!I335, 2), 0)</f>
        <v>506.12</v>
      </c>
      <c r="P325" s="22">
        <f>J325</f>
        <v>58203.289999999994</v>
      </c>
    </row>
    <row r="326" spans="1:22" ht="28.5" x14ac:dyDescent="0.2">
      <c r="A326" s="18">
        <v>30</v>
      </c>
      <c r="B326" s="18">
        <v>30</v>
      </c>
      <c r="C326" s="18" t="str">
        <f>Source!F336</f>
        <v>1.15-2303-4-1/1</v>
      </c>
      <c r="D326" s="18" t="str">
        <f>Source!G336</f>
        <v>Прочистка сетчатых фильтров грубой очистки воды диаметром до 25 мм</v>
      </c>
      <c r="E326" s="19" t="str">
        <f>Source!H336</f>
        <v>10 шт.</v>
      </c>
      <c r="F326" s="9">
        <f>Source!I336</f>
        <v>2.1</v>
      </c>
      <c r="G326" s="21"/>
      <c r="H326" s="20"/>
      <c r="I326" s="9"/>
      <c r="J326" s="9"/>
      <c r="K326" s="21"/>
      <c r="L326" s="21"/>
      <c r="Q326">
        <f>ROUND((Source!BZ336/100)*ROUND((Source!AF336*Source!AV336)*Source!I336, 2), 2)</f>
        <v>1851.73</v>
      </c>
      <c r="R326">
        <f>Source!X336</f>
        <v>1851.73</v>
      </c>
      <c r="S326">
        <f>ROUND((Source!CA336/100)*ROUND((Source!AF336*Source!AV336)*Source!I336, 2), 2)</f>
        <v>264.52999999999997</v>
      </c>
      <c r="T326">
        <f>Source!Y336</f>
        <v>264.52999999999997</v>
      </c>
      <c r="U326">
        <f>ROUND((175/100)*ROUND((Source!AE336*Source!AV336)*Source!I336, 2), 2)</f>
        <v>0</v>
      </c>
      <c r="V326">
        <f>ROUND((108/100)*ROUND(Source!CS336*Source!I336, 2), 2)</f>
        <v>0</v>
      </c>
    </row>
    <row r="327" spans="1:22" x14ac:dyDescent="0.2">
      <c r="D327" s="28" t="str">
        <f>"Объем: "&amp;Source!I336&amp;"=(3+"&amp;"5+"&amp;"13)/"&amp;"10"</f>
        <v>Объем: 2,1=(3+5+13)/10</v>
      </c>
    </row>
    <row r="328" spans="1:22" ht="14.25" x14ac:dyDescent="0.2">
      <c r="A328" s="18"/>
      <c r="B328" s="18"/>
      <c r="C328" s="18"/>
      <c r="D328" s="18" t="s">
        <v>1100</v>
      </c>
      <c r="E328" s="19"/>
      <c r="F328" s="9"/>
      <c r="G328" s="21">
        <f>Source!AO336</f>
        <v>1259.68</v>
      </c>
      <c r="H328" s="20" t="str">
        <f>Source!DG336</f>
        <v/>
      </c>
      <c r="I328" s="9">
        <f>Source!AV336</f>
        <v>1</v>
      </c>
      <c r="J328" s="9">
        <f>IF(Source!BA336&lt;&gt; 0, Source!BA336, 1)</f>
        <v>1</v>
      </c>
      <c r="K328" s="21">
        <f>Source!S336</f>
        <v>2645.33</v>
      </c>
      <c r="L328" s="21"/>
    </row>
    <row r="329" spans="1:22" ht="14.25" x14ac:dyDescent="0.2">
      <c r="A329" s="18"/>
      <c r="B329" s="18"/>
      <c r="C329" s="18"/>
      <c r="D329" s="18" t="s">
        <v>1102</v>
      </c>
      <c r="E329" s="19" t="s">
        <v>1103</v>
      </c>
      <c r="F329" s="9">
        <f>Source!AT336</f>
        <v>70</v>
      </c>
      <c r="G329" s="21"/>
      <c r="H329" s="20"/>
      <c r="I329" s="9"/>
      <c r="J329" s="9"/>
      <c r="K329" s="21">
        <f>SUM(R326:R328)</f>
        <v>1851.73</v>
      </c>
      <c r="L329" s="21"/>
    </row>
    <row r="330" spans="1:22" ht="14.25" x14ac:dyDescent="0.2">
      <c r="A330" s="18"/>
      <c r="B330" s="18"/>
      <c r="C330" s="18"/>
      <c r="D330" s="18" t="s">
        <v>1104</v>
      </c>
      <c r="E330" s="19" t="s">
        <v>1103</v>
      </c>
      <c r="F330" s="9">
        <f>Source!AU336</f>
        <v>10</v>
      </c>
      <c r="G330" s="21"/>
      <c r="H330" s="20"/>
      <c r="I330" s="9"/>
      <c r="J330" s="9"/>
      <c r="K330" s="21">
        <f>SUM(T326:T329)</f>
        <v>264.52999999999997</v>
      </c>
      <c r="L330" s="21"/>
    </row>
    <row r="331" spans="1:22" ht="14.25" x14ac:dyDescent="0.2">
      <c r="A331" s="18"/>
      <c r="B331" s="18"/>
      <c r="C331" s="18"/>
      <c r="D331" s="18" t="s">
        <v>1105</v>
      </c>
      <c r="E331" s="19" t="s">
        <v>1106</v>
      </c>
      <c r="F331" s="9">
        <f>Source!AQ336</f>
        <v>2.04</v>
      </c>
      <c r="G331" s="21"/>
      <c r="H331" s="20" t="str">
        <f>Source!DI336</f>
        <v/>
      </c>
      <c r="I331" s="9">
        <f>Source!AV336</f>
        <v>1</v>
      </c>
      <c r="J331" s="9"/>
      <c r="K331" s="21"/>
      <c r="L331" s="21">
        <f>Source!U336</f>
        <v>4.2840000000000007</v>
      </c>
    </row>
    <row r="332" spans="1:22" ht="15" x14ac:dyDescent="0.25">
      <c r="A332" s="23"/>
      <c r="B332" s="23"/>
      <c r="C332" s="23"/>
      <c r="D332" s="23"/>
      <c r="E332" s="23"/>
      <c r="F332" s="23"/>
      <c r="G332" s="23"/>
      <c r="H332" s="23"/>
      <c r="I332" s="23"/>
      <c r="J332" s="44">
        <f>K328+K329+K330</f>
        <v>4761.5899999999992</v>
      </c>
      <c r="K332" s="44"/>
      <c r="L332" s="24">
        <f>IF(Source!I336&lt;&gt;0, ROUND(J332/Source!I336, 2), 0)</f>
        <v>2267.42</v>
      </c>
      <c r="P332" s="22">
        <f>J332</f>
        <v>4761.5899999999992</v>
      </c>
    </row>
    <row r="333" spans="1:22" ht="28.5" x14ac:dyDescent="0.2">
      <c r="A333" s="18">
        <v>31</v>
      </c>
      <c r="B333" s="18">
        <v>31</v>
      </c>
      <c r="C333" s="18" t="str">
        <f>Source!F337</f>
        <v>1.15-2303-4-2/1</v>
      </c>
      <c r="D333" s="18" t="str">
        <f>Source!G337</f>
        <v>Прочистка сетчатых фильтров грубой очистки воды диаметром до 50 мм</v>
      </c>
      <c r="E333" s="19" t="str">
        <f>Source!H337</f>
        <v>10 шт.</v>
      </c>
      <c r="F333" s="9">
        <f>Source!I337</f>
        <v>0.1</v>
      </c>
      <c r="G333" s="21"/>
      <c r="H333" s="20"/>
      <c r="I333" s="9"/>
      <c r="J333" s="9"/>
      <c r="K333" s="21"/>
      <c r="L333" s="21"/>
      <c r="Q333">
        <f>ROUND((Source!BZ337/100)*ROUND((Source!AF337*Source!AV337)*Source!I337, 2), 2)</f>
        <v>100.72</v>
      </c>
      <c r="R333">
        <f>Source!X337</f>
        <v>100.72</v>
      </c>
      <c r="S333">
        <f>ROUND((Source!CA337/100)*ROUND((Source!AF337*Source!AV337)*Source!I337, 2), 2)</f>
        <v>14.39</v>
      </c>
      <c r="T333">
        <f>Source!Y337</f>
        <v>14.39</v>
      </c>
      <c r="U333">
        <f>ROUND((175/100)*ROUND((Source!AE337*Source!AV337)*Source!I337, 2), 2)</f>
        <v>0</v>
      </c>
      <c r="V333">
        <f>ROUND((108/100)*ROUND(Source!CS337*Source!I337, 2), 2)</f>
        <v>0</v>
      </c>
    </row>
    <row r="334" spans="1:22" x14ac:dyDescent="0.2">
      <c r="D334" s="28" t="str">
        <f>"Объем: "&amp;Source!I337&amp;"=1/"&amp;"10"</f>
        <v>Объем: 0,1=1/10</v>
      </c>
    </row>
    <row r="335" spans="1:22" ht="14.25" x14ac:dyDescent="0.2">
      <c r="A335" s="18"/>
      <c r="B335" s="18"/>
      <c r="C335" s="18"/>
      <c r="D335" s="18" t="s">
        <v>1100</v>
      </c>
      <c r="E335" s="19"/>
      <c r="F335" s="9"/>
      <c r="G335" s="21">
        <f>Source!AO337</f>
        <v>1438.75</v>
      </c>
      <c r="H335" s="20" t="str">
        <f>Source!DG337</f>
        <v/>
      </c>
      <c r="I335" s="9">
        <f>Source!AV337</f>
        <v>1</v>
      </c>
      <c r="J335" s="9">
        <f>IF(Source!BA337&lt;&gt; 0, Source!BA337, 1)</f>
        <v>1</v>
      </c>
      <c r="K335" s="21">
        <f>Source!S337</f>
        <v>143.88</v>
      </c>
      <c r="L335" s="21"/>
    </row>
    <row r="336" spans="1:22" ht="14.25" x14ac:dyDescent="0.2">
      <c r="A336" s="18"/>
      <c r="B336" s="18"/>
      <c r="C336" s="18"/>
      <c r="D336" s="18" t="s">
        <v>1102</v>
      </c>
      <c r="E336" s="19" t="s">
        <v>1103</v>
      </c>
      <c r="F336" s="9">
        <f>Source!AT337</f>
        <v>70</v>
      </c>
      <c r="G336" s="21"/>
      <c r="H336" s="20"/>
      <c r="I336" s="9"/>
      <c r="J336" s="9"/>
      <c r="K336" s="21">
        <f>SUM(R333:R335)</f>
        <v>100.72</v>
      </c>
      <c r="L336" s="21"/>
    </row>
    <row r="337" spans="1:22" ht="14.25" x14ac:dyDescent="0.2">
      <c r="A337" s="18"/>
      <c r="B337" s="18"/>
      <c r="C337" s="18"/>
      <c r="D337" s="18" t="s">
        <v>1104</v>
      </c>
      <c r="E337" s="19" t="s">
        <v>1103</v>
      </c>
      <c r="F337" s="9">
        <f>Source!AU337</f>
        <v>10</v>
      </c>
      <c r="G337" s="21"/>
      <c r="H337" s="20"/>
      <c r="I337" s="9"/>
      <c r="J337" s="9"/>
      <c r="K337" s="21">
        <f>SUM(T333:T336)</f>
        <v>14.39</v>
      </c>
      <c r="L337" s="21"/>
    </row>
    <row r="338" spans="1:22" ht="14.25" x14ac:dyDescent="0.2">
      <c r="A338" s="18"/>
      <c r="B338" s="18"/>
      <c r="C338" s="18"/>
      <c r="D338" s="18" t="s">
        <v>1105</v>
      </c>
      <c r="E338" s="19" t="s">
        <v>1106</v>
      </c>
      <c r="F338" s="9">
        <f>Source!AQ337</f>
        <v>2.33</v>
      </c>
      <c r="G338" s="21"/>
      <c r="H338" s="20" t="str">
        <f>Source!DI337</f>
        <v/>
      </c>
      <c r="I338" s="9">
        <f>Source!AV337</f>
        <v>1</v>
      </c>
      <c r="J338" s="9"/>
      <c r="K338" s="21"/>
      <c r="L338" s="21">
        <f>Source!U337</f>
        <v>0.23300000000000001</v>
      </c>
    </row>
    <row r="339" spans="1:22" ht="15" x14ac:dyDescent="0.25">
      <c r="A339" s="23"/>
      <c r="B339" s="23"/>
      <c r="C339" s="23"/>
      <c r="D339" s="23"/>
      <c r="E339" s="23"/>
      <c r="F339" s="23"/>
      <c r="G339" s="23"/>
      <c r="H339" s="23"/>
      <c r="I339" s="23"/>
      <c r="J339" s="44">
        <f>K335+K336+K337</f>
        <v>258.99</v>
      </c>
      <c r="K339" s="44"/>
      <c r="L339" s="24">
        <f>IF(Source!I337&lt;&gt;0, ROUND(J339/Source!I337, 2), 0)</f>
        <v>2589.9</v>
      </c>
      <c r="P339" s="22">
        <f>J339</f>
        <v>258.99</v>
      </c>
    </row>
    <row r="340" spans="1:22" ht="57" x14ac:dyDescent="0.2">
      <c r="A340" s="18">
        <v>32</v>
      </c>
      <c r="B340" s="18">
        <v>32</v>
      </c>
      <c r="C340" s="18" t="str">
        <f>Source!F338</f>
        <v>1.15-2203-7-1/1</v>
      </c>
      <c r="D340" s="18" t="str">
        <f>Source!G338</f>
        <v>Техническое обслуживание крана шарового латунного никелированного диаметром до 25 мм / Кран шаровой с полусгоном</v>
      </c>
      <c r="E340" s="19" t="str">
        <f>Source!H338</f>
        <v>10 шт.</v>
      </c>
      <c r="F340" s="9">
        <f>Source!I338</f>
        <v>5</v>
      </c>
      <c r="G340" s="21"/>
      <c r="H340" s="20"/>
      <c r="I340" s="9"/>
      <c r="J340" s="9"/>
      <c r="K340" s="21"/>
      <c r="L340" s="21"/>
      <c r="Q340">
        <f>ROUND((Source!BZ338/100)*ROUND((Source!AF338*Source!AV338)*Source!I338, 2), 2)</f>
        <v>972.55</v>
      </c>
      <c r="R340">
        <f>Source!X338</f>
        <v>972.55</v>
      </c>
      <c r="S340">
        <f>ROUND((Source!CA338/100)*ROUND((Source!AF338*Source!AV338)*Source!I338, 2), 2)</f>
        <v>138.94</v>
      </c>
      <c r="T340">
        <f>Source!Y338</f>
        <v>138.94</v>
      </c>
      <c r="U340">
        <f>ROUND((175/100)*ROUND((Source!AE338*Source!AV338)*Source!I338, 2), 2)</f>
        <v>0</v>
      </c>
      <c r="V340">
        <f>ROUND((108/100)*ROUND(Source!CS338*Source!I338, 2), 2)</f>
        <v>0</v>
      </c>
    </row>
    <row r="341" spans="1:22" x14ac:dyDescent="0.2">
      <c r="D341" s="28" t="str">
        <f>"Объем: "&amp;Source!I338&amp;"=(8+"&amp;"10+"&amp;"26+"&amp;"6)/"&amp;"10"</f>
        <v>Объем: 5=(8+10+26+6)/10</v>
      </c>
    </row>
    <row r="342" spans="1:22" ht="14.25" x14ac:dyDescent="0.2">
      <c r="A342" s="18"/>
      <c r="B342" s="18"/>
      <c r="C342" s="18"/>
      <c r="D342" s="18" t="s">
        <v>1100</v>
      </c>
      <c r="E342" s="19"/>
      <c r="F342" s="9"/>
      <c r="G342" s="21">
        <f>Source!AO338</f>
        <v>277.87</v>
      </c>
      <c r="H342" s="20" t="str">
        <f>Source!DG338</f>
        <v/>
      </c>
      <c r="I342" s="9">
        <f>Source!AV338</f>
        <v>1</v>
      </c>
      <c r="J342" s="9">
        <f>IF(Source!BA338&lt;&gt; 0, Source!BA338, 1)</f>
        <v>1</v>
      </c>
      <c r="K342" s="21">
        <f>Source!S338</f>
        <v>1389.35</v>
      </c>
      <c r="L342" s="21"/>
    </row>
    <row r="343" spans="1:22" ht="14.25" x14ac:dyDescent="0.2">
      <c r="A343" s="18"/>
      <c r="B343" s="18"/>
      <c r="C343" s="18"/>
      <c r="D343" s="18" t="s">
        <v>1102</v>
      </c>
      <c r="E343" s="19" t="s">
        <v>1103</v>
      </c>
      <c r="F343" s="9">
        <f>Source!AT338</f>
        <v>70</v>
      </c>
      <c r="G343" s="21"/>
      <c r="H343" s="20"/>
      <c r="I343" s="9"/>
      <c r="J343" s="9"/>
      <c r="K343" s="21">
        <f>SUM(R340:R342)</f>
        <v>972.55</v>
      </c>
      <c r="L343" s="21"/>
    </row>
    <row r="344" spans="1:22" ht="14.25" x14ac:dyDescent="0.2">
      <c r="A344" s="18"/>
      <c r="B344" s="18"/>
      <c r="C344" s="18"/>
      <c r="D344" s="18" t="s">
        <v>1104</v>
      </c>
      <c r="E344" s="19" t="s">
        <v>1103</v>
      </c>
      <c r="F344" s="9">
        <f>Source!AU338</f>
        <v>10</v>
      </c>
      <c r="G344" s="21"/>
      <c r="H344" s="20"/>
      <c r="I344" s="9"/>
      <c r="J344" s="9"/>
      <c r="K344" s="21">
        <f>SUM(T340:T343)</f>
        <v>138.94</v>
      </c>
      <c r="L344" s="21"/>
    </row>
    <row r="345" spans="1:22" ht="14.25" x14ac:dyDescent="0.2">
      <c r="A345" s="18"/>
      <c r="B345" s="18"/>
      <c r="C345" s="18"/>
      <c r="D345" s="18" t="s">
        <v>1105</v>
      </c>
      <c r="E345" s="19" t="s">
        <v>1106</v>
      </c>
      <c r="F345" s="9">
        <f>Source!AQ338</f>
        <v>0.45</v>
      </c>
      <c r="G345" s="21"/>
      <c r="H345" s="20" t="str">
        <f>Source!DI338</f>
        <v/>
      </c>
      <c r="I345" s="9">
        <f>Source!AV338</f>
        <v>1</v>
      </c>
      <c r="J345" s="9"/>
      <c r="K345" s="21"/>
      <c r="L345" s="21">
        <f>Source!U338</f>
        <v>2.25</v>
      </c>
    </row>
    <row r="346" spans="1:22" ht="15" x14ac:dyDescent="0.25">
      <c r="A346" s="23"/>
      <c r="B346" s="23"/>
      <c r="C346" s="23"/>
      <c r="D346" s="23"/>
      <c r="E346" s="23"/>
      <c r="F346" s="23"/>
      <c r="G346" s="23"/>
      <c r="H346" s="23"/>
      <c r="I346" s="23"/>
      <c r="J346" s="44">
        <f>K342+K343+K344</f>
        <v>2500.8399999999997</v>
      </c>
      <c r="K346" s="44"/>
      <c r="L346" s="24">
        <f>IF(Source!I338&lt;&gt;0, ROUND(J346/Source!I338, 2), 0)</f>
        <v>500.17</v>
      </c>
      <c r="P346" s="22">
        <f>J346</f>
        <v>2500.8399999999997</v>
      </c>
    </row>
    <row r="347" spans="1:22" ht="42.75" x14ac:dyDescent="0.2">
      <c r="A347" s="18">
        <v>33</v>
      </c>
      <c r="B347" s="18">
        <v>33</v>
      </c>
      <c r="C347" s="18" t="str">
        <f>Source!F339</f>
        <v>1.15-2203-7-2/1</v>
      </c>
      <c r="D347" s="18" t="str">
        <f>Source!G339</f>
        <v>Техническое обслуживание крана шарового латунного никелированного диаметром до 50 мм</v>
      </c>
      <c r="E347" s="19" t="str">
        <f>Source!H339</f>
        <v>10 шт.</v>
      </c>
      <c r="F347" s="9">
        <f>Source!I339</f>
        <v>0.8</v>
      </c>
      <c r="G347" s="21"/>
      <c r="H347" s="20"/>
      <c r="I347" s="9"/>
      <c r="J347" s="9"/>
      <c r="K347" s="21"/>
      <c r="L347" s="21"/>
      <c r="Q347">
        <f>ROUND((Source!BZ339/100)*ROUND((Source!AF339*Source!AV339)*Source!I339, 2), 2)</f>
        <v>210.94</v>
      </c>
      <c r="R347">
        <f>Source!X339</f>
        <v>210.94</v>
      </c>
      <c r="S347">
        <f>ROUND((Source!CA339/100)*ROUND((Source!AF339*Source!AV339)*Source!I339, 2), 2)</f>
        <v>30.13</v>
      </c>
      <c r="T347">
        <f>Source!Y339</f>
        <v>30.13</v>
      </c>
      <c r="U347">
        <f>ROUND((175/100)*ROUND((Source!AE339*Source!AV339)*Source!I339, 2), 2)</f>
        <v>0</v>
      </c>
      <c r="V347">
        <f>ROUND((108/100)*ROUND(Source!CS339*Source!I339, 2), 2)</f>
        <v>0</v>
      </c>
    </row>
    <row r="348" spans="1:22" x14ac:dyDescent="0.2">
      <c r="D348" s="28" t="str">
        <f>"Объем: "&amp;Source!I339&amp;"=(2+"&amp;"4+"&amp;"2)/"&amp;"10"</f>
        <v>Объем: 0,8=(2+4+2)/10</v>
      </c>
    </row>
    <row r="349" spans="1:22" ht="14.25" x14ac:dyDescent="0.2">
      <c r="A349" s="18"/>
      <c r="B349" s="18"/>
      <c r="C349" s="18"/>
      <c r="D349" s="18" t="s">
        <v>1100</v>
      </c>
      <c r="E349" s="19"/>
      <c r="F349" s="9"/>
      <c r="G349" s="21">
        <f>Source!AO339</f>
        <v>376.67</v>
      </c>
      <c r="H349" s="20" t="str">
        <f>Source!DG339</f>
        <v/>
      </c>
      <c r="I349" s="9">
        <f>Source!AV339</f>
        <v>1</v>
      </c>
      <c r="J349" s="9">
        <f>IF(Source!BA339&lt;&gt; 0, Source!BA339, 1)</f>
        <v>1</v>
      </c>
      <c r="K349" s="21">
        <f>Source!S339</f>
        <v>301.33999999999997</v>
      </c>
      <c r="L349" s="21"/>
    </row>
    <row r="350" spans="1:22" ht="14.25" x14ac:dyDescent="0.2">
      <c r="A350" s="18"/>
      <c r="B350" s="18"/>
      <c r="C350" s="18"/>
      <c r="D350" s="18" t="s">
        <v>1102</v>
      </c>
      <c r="E350" s="19" t="s">
        <v>1103</v>
      </c>
      <c r="F350" s="9">
        <f>Source!AT339</f>
        <v>70</v>
      </c>
      <c r="G350" s="21"/>
      <c r="H350" s="20"/>
      <c r="I350" s="9"/>
      <c r="J350" s="9"/>
      <c r="K350" s="21">
        <f>SUM(R347:R349)</f>
        <v>210.94</v>
      </c>
      <c r="L350" s="21"/>
    </row>
    <row r="351" spans="1:22" ht="14.25" x14ac:dyDescent="0.2">
      <c r="A351" s="18"/>
      <c r="B351" s="18"/>
      <c r="C351" s="18"/>
      <c r="D351" s="18" t="s">
        <v>1104</v>
      </c>
      <c r="E351" s="19" t="s">
        <v>1103</v>
      </c>
      <c r="F351" s="9">
        <f>Source!AU339</f>
        <v>10</v>
      </c>
      <c r="G351" s="21"/>
      <c r="H351" s="20"/>
      <c r="I351" s="9"/>
      <c r="J351" s="9"/>
      <c r="K351" s="21">
        <f>SUM(T347:T350)</f>
        <v>30.13</v>
      </c>
      <c r="L351" s="21"/>
    </row>
    <row r="352" spans="1:22" ht="14.25" x14ac:dyDescent="0.2">
      <c r="A352" s="18"/>
      <c r="B352" s="18"/>
      <c r="C352" s="18"/>
      <c r="D352" s="18" t="s">
        <v>1105</v>
      </c>
      <c r="E352" s="19" t="s">
        <v>1106</v>
      </c>
      <c r="F352" s="9">
        <f>Source!AQ339</f>
        <v>0.61</v>
      </c>
      <c r="G352" s="21"/>
      <c r="H352" s="20" t="str">
        <f>Source!DI339</f>
        <v/>
      </c>
      <c r="I352" s="9">
        <f>Source!AV339</f>
        <v>1</v>
      </c>
      <c r="J352" s="9"/>
      <c r="K352" s="21"/>
      <c r="L352" s="21">
        <f>Source!U339</f>
        <v>0.48799999999999999</v>
      </c>
    </row>
    <row r="353" spans="1:22" ht="15" x14ac:dyDescent="0.25">
      <c r="A353" s="23"/>
      <c r="B353" s="23"/>
      <c r="C353" s="23"/>
      <c r="D353" s="23"/>
      <c r="E353" s="23"/>
      <c r="F353" s="23"/>
      <c r="G353" s="23"/>
      <c r="H353" s="23"/>
      <c r="I353" s="23"/>
      <c r="J353" s="44">
        <f>K349+K350+K351</f>
        <v>542.41</v>
      </c>
      <c r="K353" s="44"/>
      <c r="L353" s="24">
        <f>IF(Source!I339&lt;&gt;0, ROUND(J353/Source!I339, 2), 0)</f>
        <v>678.01</v>
      </c>
      <c r="P353" s="22">
        <f>J353</f>
        <v>542.41</v>
      </c>
    </row>
    <row r="354" spans="1:22" ht="28.5" x14ac:dyDescent="0.2">
      <c r="A354" s="18">
        <v>34</v>
      </c>
      <c r="B354" s="18">
        <v>34</v>
      </c>
      <c r="C354" s="18" t="str">
        <f>Source!F340</f>
        <v>1.17-2103-17-1/1</v>
      </c>
      <c r="D354" s="18" t="str">
        <f>Source!G340</f>
        <v>Техническое обслуживание автоматического воздухоотводчика</v>
      </c>
      <c r="E354" s="19" t="str">
        <f>Source!H340</f>
        <v>10 шт.</v>
      </c>
      <c r="F354" s="9">
        <f>Source!I340</f>
        <v>3.4</v>
      </c>
      <c r="G354" s="21"/>
      <c r="H354" s="20"/>
      <c r="I354" s="9"/>
      <c r="J354" s="9"/>
      <c r="K354" s="21"/>
      <c r="L354" s="21"/>
      <c r="Q354">
        <f>ROUND((Source!BZ340/100)*ROUND((Source!AF340*Source!AV340)*Source!I340, 2), 2)</f>
        <v>2233.8200000000002</v>
      </c>
      <c r="R354">
        <f>Source!X340</f>
        <v>2233.8200000000002</v>
      </c>
      <c r="S354">
        <f>ROUND((Source!CA340/100)*ROUND((Source!AF340*Source!AV340)*Source!I340, 2), 2)</f>
        <v>319.12</v>
      </c>
      <c r="T354">
        <f>Source!Y340</f>
        <v>319.12</v>
      </c>
      <c r="U354">
        <f>ROUND((175/100)*ROUND((Source!AE340*Source!AV340)*Source!I340, 2), 2)</f>
        <v>0</v>
      </c>
      <c r="V354">
        <f>ROUND((108/100)*ROUND(Source!CS340*Source!I340, 2), 2)</f>
        <v>0</v>
      </c>
    </row>
    <row r="355" spans="1:22" x14ac:dyDescent="0.2">
      <c r="D355" s="28" t="str">
        <f>"Объем: "&amp;Source!I340&amp;"=34/"&amp;"10"</f>
        <v>Объем: 3,4=34/10</v>
      </c>
    </row>
    <row r="356" spans="1:22" ht="14.25" x14ac:dyDescent="0.2">
      <c r="A356" s="18"/>
      <c r="B356" s="18"/>
      <c r="C356" s="18"/>
      <c r="D356" s="18" t="s">
        <v>1100</v>
      </c>
      <c r="E356" s="19"/>
      <c r="F356" s="9"/>
      <c r="G356" s="21">
        <f>Source!AO340</f>
        <v>938.58</v>
      </c>
      <c r="H356" s="20" t="str">
        <f>Source!DG340</f>
        <v/>
      </c>
      <c r="I356" s="9">
        <f>Source!AV340</f>
        <v>1</v>
      </c>
      <c r="J356" s="9">
        <f>IF(Source!BA340&lt;&gt; 0, Source!BA340, 1)</f>
        <v>1</v>
      </c>
      <c r="K356" s="21">
        <f>Source!S340</f>
        <v>3191.17</v>
      </c>
      <c r="L356" s="21"/>
    </row>
    <row r="357" spans="1:22" ht="14.25" x14ac:dyDescent="0.2">
      <c r="A357" s="18"/>
      <c r="B357" s="18"/>
      <c r="C357" s="18"/>
      <c r="D357" s="18" t="s">
        <v>1101</v>
      </c>
      <c r="E357" s="19"/>
      <c r="F357" s="9"/>
      <c r="G357" s="21">
        <f>Source!AL340</f>
        <v>0.63</v>
      </c>
      <c r="H357" s="20" t="str">
        <f>Source!DD340</f>
        <v/>
      </c>
      <c r="I357" s="9">
        <f>Source!AW340</f>
        <v>1</v>
      </c>
      <c r="J357" s="9">
        <f>IF(Source!BC340&lt;&gt; 0, Source!BC340, 1)</f>
        <v>1</v>
      </c>
      <c r="K357" s="21">
        <f>Source!P340</f>
        <v>2.14</v>
      </c>
      <c r="L357" s="21"/>
    </row>
    <row r="358" spans="1:22" ht="14.25" x14ac:dyDescent="0.2">
      <c r="A358" s="18"/>
      <c r="B358" s="18"/>
      <c r="C358" s="18"/>
      <c r="D358" s="18" t="s">
        <v>1102</v>
      </c>
      <c r="E358" s="19" t="s">
        <v>1103</v>
      </c>
      <c r="F358" s="9">
        <f>Source!AT340</f>
        <v>70</v>
      </c>
      <c r="G358" s="21"/>
      <c r="H358" s="20"/>
      <c r="I358" s="9"/>
      <c r="J358" s="9"/>
      <c r="K358" s="21">
        <f>SUM(R354:R357)</f>
        <v>2233.8200000000002</v>
      </c>
      <c r="L358" s="21"/>
    </row>
    <row r="359" spans="1:22" ht="14.25" x14ac:dyDescent="0.2">
      <c r="A359" s="18"/>
      <c r="B359" s="18"/>
      <c r="C359" s="18"/>
      <c r="D359" s="18" t="s">
        <v>1104</v>
      </c>
      <c r="E359" s="19" t="s">
        <v>1103</v>
      </c>
      <c r="F359" s="9">
        <f>Source!AU340</f>
        <v>10</v>
      </c>
      <c r="G359" s="21"/>
      <c r="H359" s="20"/>
      <c r="I359" s="9"/>
      <c r="J359" s="9"/>
      <c r="K359" s="21">
        <f>SUM(T354:T358)</f>
        <v>319.12</v>
      </c>
      <c r="L359" s="21"/>
    </row>
    <row r="360" spans="1:22" ht="14.25" x14ac:dyDescent="0.2">
      <c r="A360" s="18"/>
      <c r="B360" s="18"/>
      <c r="C360" s="18"/>
      <c r="D360" s="18" t="s">
        <v>1105</v>
      </c>
      <c r="E360" s="19" t="s">
        <v>1106</v>
      </c>
      <c r="F360" s="9">
        <f>Source!AQ340</f>
        <v>1.52</v>
      </c>
      <c r="G360" s="21"/>
      <c r="H360" s="20" t="str">
        <f>Source!DI340</f>
        <v/>
      </c>
      <c r="I360" s="9">
        <f>Source!AV340</f>
        <v>1</v>
      </c>
      <c r="J360" s="9"/>
      <c r="K360" s="21"/>
      <c r="L360" s="21">
        <f>Source!U340</f>
        <v>5.1680000000000001</v>
      </c>
    </row>
    <row r="361" spans="1:22" ht="15" x14ac:dyDescent="0.25">
      <c r="A361" s="23"/>
      <c r="B361" s="23"/>
      <c r="C361" s="23"/>
      <c r="D361" s="23"/>
      <c r="E361" s="23"/>
      <c r="F361" s="23"/>
      <c r="G361" s="23"/>
      <c r="H361" s="23"/>
      <c r="I361" s="23"/>
      <c r="J361" s="44">
        <f>K356+K357+K358+K359</f>
        <v>5746.25</v>
      </c>
      <c r="K361" s="44"/>
      <c r="L361" s="24">
        <f>IF(Source!I340&lt;&gt;0, ROUND(J361/Source!I340, 2), 0)</f>
        <v>1690.07</v>
      </c>
      <c r="P361" s="22">
        <f>J361</f>
        <v>5746.25</v>
      </c>
    </row>
    <row r="363" spans="1:22" ht="15" x14ac:dyDescent="0.25">
      <c r="A363" s="46" t="str">
        <f>CONCATENATE("Итого по подразделу: ",IF(Source!G349&lt;&gt;"Новый подраздел", Source!G349, ""))</f>
        <v>Итого по подразделу: 2.1 Отопление</v>
      </c>
      <c r="B363" s="46"/>
      <c r="C363" s="46"/>
      <c r="D363" s="46"/>
      <c r="E363" s="46"/>
      <c r="F363" s="46"/>
      <c r="G363" s="46"/>
      <c r="H363" s="46"/>
      <c r="I363" s="46"/>
      <c r="J363" s="45">
        <f>SUM(P213:P362)</f>
        <v>295973.93</v>
      </c>
      <c r="K363" s="59"/>
      <c r="L363" s="26"/>
    </row>
    <row r="366" spans="1:22" ht="16.5" x14ac:dyDescent="0.25">
      <c r="A366" s="48" t="str">
        <f>CONCATENATE("Подраздел: ",IF(Source!G379&lt;&gt;"Новый подраздел", Source!G379, ""))</f>
        <v>Подраздел: 2.2 Автоматизированный узел управления системой отопления и вентиляции воздуха</v>
      </c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</row>
    <row r="368" spans="1:22" ht="15" x14ac:dyDescent="0.25">
      <c r="C368" s="47" t="str">
        <f>Source!G383</f>
        <v>Индивидуальный тепловой пункт системы отопления</v>
      </c>
      <c r="D368" s="47"/>
      <c r="E368" s="47"/>
      <c r="F368" s="47"/>
      <c r="G368" s="47"/>
      <c r="H368" s="47"/>
      <c r="I368" s="47"/>
      <c r="J368" s="47"/>
      <c r="K368" s="47"/>
    </row>
    <row r="369" spans="1:22" ht="71.25" x14ac:dyDescent="0.2">
      <c r="A369" s="18">
        <v>35</v>
      </c>
      <c r="B369" s="18">
        <v>35</v>
      </c>
      <c r="C369" s="18" t="str">
        <f>Source!F384</f>
        <v>1.23-2103-41-1/1</v>
      </c>
      <c r="D369" s="18" t="str">
        <f>Source!G384</f>
        <v>Техническое обслуживание регулирующего клапана / Клапан запорно-регулирующий VB2 Ду40, kv25 с электроприводом привод AMV 20 Danfoss  ООО «Термаль 31»</v>
      </c>
      <c r="E369" s="19" t="str">
        <f>Source!H384</f>
        <v>шт.</v>
      </c>
      <c r="F369" s="9">
        <f>Source!I384</f>
        <v>1</v>
      </c>
      <c r="G369" s="21"/>
      <c r="H369" s="20"/>
      <c r="I369" s="9"/>
      <c r="J369" s="9"/>
      <c r="K369" s="21"/>
      <c r="L369" s="21"/>
      <c r="Q369">
        <f>ROUND((Source!BZ384/100)*ROUND((Source!AF384*Source!AV384)*Source!I384, 2), 2)</f>
        <v>291.2</v>
      </c>
      <c r="R369">
        <f>Source!X384</f>
        <v>291.2</v>
      </c>
      <c r="S369">
        <f>ROUND((Source!CA384/100)*ROUND((Source!AF384*Source!AV384)*Source!I384, 2), 2)</f>
        <v>41.6</v>
      </c>
      <c r="T369">
        <f>Source!Y384</f>
        <v>41.6</v>
      </c>
      <c r="U369">
        <f>ROUND((175/100)*ROUND((Source!AE384*Source!AV384)*Source!I384, 2), 2)</f>
        <v>173.5</v>
      </c>
      <c r="V369">
        <f>ROUND((108/100)*ROUND(Source!CS384*Source!I384, 2), 2)</f>
        <v>107.07</v>
      </c>
    </row>
    <row r="370" spans="1:22" ht="14.25" x14ac:dyDescent="0.2">
      <c r="A370" s="18"/>
      <c r="B370" s="18"/>
      <c r="C370" s="18"/>
      <c r="D370" s="18" t="s">
        <v>1100</v>
      </c>
      <c r="E370" s="19"/>
      <c r="F370" s="9"/>
      <c r="G370" s="21">
        <f>Source!AO384</f>
        <v>208</v>
      </c>
      <c r="H370" s="20" t="str">
        <f>Source!DG384</f>
        <v>)*2</v>
      </c>
      <c r="I370" s="9">
        <f>Source!AV384</f>
        <v>1</v>
      </c>
      <c r="J370" s="9">
        <f>IF(Source!BA384&lt;&gt; 0, Source!BA384, 1)</f>
        <v>1</v>
      </c>
      <c r="K370" s="21">
        <f>Source!S384</f>
        <v>416</v>
      </c>
      <c r="L370" s="21"/>
    </row>
    <row r="371" spans="1:22" ht="14.25" x14ac:dyDescent="0.2">
      <c r="A371" s="18"/>
      <c r="B371" s="18"/>
      <c r="C371" s="18"/>
      <c r="D371" s="18" t="s">
        <v>1107</v>
      </c>
      <c r="E371" s="19"/>
      <c r="F371" s="9"/>
      <c r="G371" s="21">
        <f>Source!AM384</f>
        <v>78.180000000000007</v>
      </c>
      <c r="H371" s="20" t="str">
        <f>Source!DE384</f>
        <v>)*2</v>
      </c>
      <c r="I371" s="9">
        <f>Source!AV384</f>
        <v>1</v>
      </c>
      <c r="J371" s="9">
        <f>IF(Source!BB384&lt;&gt; 0, Source!BB384, 1)</f>
        <v>1</v>
      </c>
      <c r="K371" s="21">
        <f>Source!Q384</f>
        <v>156.36000000000001</v>
      </c>
      <c r="L371" s="21"/>
    </row>
    <row r="372" spans="1:22" ht="14.25" x14ac:dyDescent="0.2">
      <c r="A372" s="18"/>
      <c r="B372" s="18"/>
      <c r="C372" s="18"/>
      <c r="D372" s="18" t="s">
        <v>1108</v>
      </c>
      <c r="E372" s="19"/>
      <c r="F372" s="9"/>
      <c r="G372" s="21">
        <f>Source!AN384</f>
        <v>49.57</v>
      </c>
      <c r="H372" s="20" t="str">
        <f>Source!DF384</f>
        <v>)*2</v>
      </c>
      <c r="I372" s="9">
        <f>Source!AV384</f>
        <v>1</v>
      </c>
      <c r="J372" s="9">
        <f>IF(Source!BS384&lt;&gt; 0, Source!BS384, 1)</f>
        <v>1</v>
      </c>
      <c r="K372" s="25">
        <f>Source!R384</f>
        <v>99.14</v>
      </c>
      <c r="L372" s="21"/>
    </row>
    <row r="373" spans="1:22" ht="14.25" x14ac:dyDescent="0.2">
      <c r="A373" s="18"/>
      <c r="B373" s="18"/>
      <c r="C373" s="18"/>
      <c r="D373" s="18" t="s">
        <v>1102</v>
      </c>
      <c r="E373" s="19" t="s">
        <v>1103</v>
      </c>
      <c r="F373" s="9">
        <f>Source!AT384</f>
        <v>70</v>
      </c>
      <c r="G373" s="21"/>
      <c r="H373" s="20"/>
      <c r="I373" s="9"/>
      <c r="J373" s="9"/>
      <c r="K373" s="21">
        <f>SUM(R369:R372)</f>
        <v>291.2</v>
      </c>
      <c r="L373" s="21"/>
    </row>
    <row r="374" spans="1:22" ht="14.25" x14ac:dyDescent="0.2">
      <c r="A374" s="18"/>
      <c r="B374" s="18"/>
      <c r="C374" s="18"/>
      <c r="D374" s="18" t="s">
        <v>1104</v>
      </c>
      <c r="E374" s="19" t="s">
        <v>1103</v>
      </c>
      <c r="F374" s="9">
        <f>Source!AU384</f>
        <v>10</v>
      </c>
      <c r="G374" s="21"/>
      <c r="H374" s="20"/>
      <c r="I374" s="9"/>
      <c r="J374" s="9"/>
      <c r="K374" s="21">
        <f>SUM(T369:T373)</f>
        <v>41.6</v>
      </c>
      <c r="L374" s="21"/>
    </row>
    <row r="375" spans="1:22" ht="14.25" x14ac:dyDescent="0.2">
      <c r="A375" s="18"/>
      <c r="B375" s="18"/>
      <c r="C375" s="18"/>
      <c r="D375" s="18" t="s">
        <v>1109</v>
      </c>
      <c r="E375" s="19" t="s">
        <v>1103</v>
      </c>
      <c r="F375" s="9">
        <f>108</f>
        <v>108</v>
      </c>
      <c r="G375" s="21"/>
      <c r="H375" s="20"/>
      <c r="I375" s="9"/>
      <c r="J375" s="9"/>
      <c r="K375" s="21">
        <f>SUM(V369:V374)</f>
        <v>107.07</v>
      </c>
      <c r="L375" s="21"/>
    </row>
    <row r="376" spans="1:22" ht="14.25" x14ac:dyDescent="0.2">
      <c r="A376" s="18"/>
      <c r="B376" s="18"/>
      <c r="C376" s="18"/>
      <c r="D376" s="18" t="s">
        <v>1105</v>
      </c>
      <c r="E376" s="19" t="s">
        <v>1106</v>
      </c>
      <c r="F376" s="9">
        <f>Source!AQ384</f>
        <v>0.37</v>
      </c>
      <c r="G376" s="21"/>
      <c r="H376" s="20" t="str">
        <f>Source!DI384</f>
        <v>)*2</v>
      </c>
      <c r="I376" s="9">
        <f>Source!AV384</f>
        <v>1</v>
      </c>
      <c r="J376" s="9"/>
      <c r="K376" s="21"/>
      <c r="L376" s="21">
        <f>Source!U384</f>
        <v>0.74</v>
      </c>
    </row>
    <row r="377" spans="1:22" ht="15" x14ac:dyDescent="0.25">
      <c r="A377" s="23"/>
      <c r="B377" s="23"/>
      <c r="C377" s="23"/>
      <c r="D377" s="23"/>
      <c r="E377" s="23"/>
      <c r="F377" s="23"/>
      <c r="G377" s="23"/>
      <c r="H377" s="23"/>
      <c r="I377" s="23"/>
      <c r="J377" s="44">
        <f>K370+K371+K373+K374+K375</f>
        <v>1012.23</v>
      </c>
      <c r="K377" s="44"/>
      <c r="L377" s="24">
        <f>IF(Source!I384&lt;&gt;0, ROUND(J377/Source!I384, 2), 0)</f>
        <v>1012.23</v>
      </c>
      <c r="P377" s="22">
        <f>J377</f>
        <v>1012.23</v>
      </c>
    </row>
    <row r="378" spans="1:22" ht="57" x14ac:dyDescent="0.2">
      <c r="A378" s="18">
        <v>36</v>
      </c>
      <c r="B378" s="18">
        <v>36</v>
      </c>
      <c r="C378" s="18" t="str">
        <f>Source!F385</f>
        <v>1.23-2303-4-4/1</v>
      </c>
      <c r="D378" s="18" t="str">
        <f>Source!G385</f>
        <v>Техническое обслуживание средств автоматизации, механизмы электрические однооборотные МЭО, ИМ</v>
      </c>
      <c r="E378" s="19" t="str">
        <f>Source!H385</f>
        <v>шт.</v>
      </c>
      <c r="F378" s="9">
        <f>Source!I385</f>
        <v>1</v>
      </c>
      <c r="G378" s="21"/>
      <c r="H378" s="20"/>
      <c r="I378" s="9"/>
      <c r="J378" s="9"/>
      <c r="K378" s="21"/>
      <c r="L378" s="21"/>
      <c r="Q378">
        <f>ROUND((Source!BZ385/100)*ROUND((Source!AF385*Source!AV385)*Source!I385, 2), 2)</f>
        <v>1881.24</v>
      </c>
      <c r="R378">
        <f>Source!X385</f>
        <v>1881.24</v>
      </c>
      <c r="S378">
        <f>ROUND((Source!CA385/100)*ROUND((Source!AF385*Source!AV385)*Source!I385, 2), 2)</f>
        <v>268.75</v>
      </c>
      <c r="T378">
        <f>Source!Y385</f>
        <v>268.75</v>
      </c>
      <c r="U378">
        <f>ROUND((175/100)*ROUND((Source!AE385*Source!AV385)*Source!I385, 2), 2)</f>
        <v>0</v>
      </c>
      <c r="V378">
        <f>ROUND((108/100)*ROUND(Source!CS385*Source!I385, 2), 2)</f>
        <v>0</v>
      </c>
    </row>
    <row r="379" spans="1:22" ht="14.25" x14ac:dyDescent="0.2">
      <c r="A379" s="18"/>
      <c r="B379" s="18"/>
      <c r="C379" s="18"/>
      <c r="D379" s="18" t="s">
        <v>1100</v>
      </c>
      <c r="E379" s="19"/>
      <c r="F379" s="9"/>
      <c r="G379" s="21">
        <f>Source!AO385</f>
        <v>1343.74</v>
      </c>
      <c r="H379" s="20" t="str">
        <f>Source!DG385</f>
        <v>)*2</v>
      </c>
      <c r="I379" s="9">
        <f>Source!AV385</f>
        <v>1</v>
      </c>
      <c r="J379" s="9">
        <f>IF(Source!BA385&lt;&gt; 0, Source!BA385, 1)</f>
        <v>1</v>
      </c>
      <c r="K379" s="21">
        <f>Source!S385</f>
        <v>2687.48</v>
      </c>
      <c r="L379" s="21"/>
    </row>
    <row r="380" spans="1:22" ht="14.25" x14ac:dyDescent="0.2">
      <c r="A380" s="18"/>
      <c r="B380" s="18"/>
      <c r="C380" s="18"/>
      <c r="D380" s="18" t="s">
        <v>1102</v>
      </c>
      <c r="E380" s="19" t="s">
        <v>1103</v>
      </c>
      <c r="F380" s="9">
        <f>Source!AT385</f>
        <v>70</v>
      </c>
      <c r="G380" s="21"/>
      <c r="H380" s="20"/>
      <c r="I380" s="9"/>
      <c r="J380" s="9"/>
      <c r="K380" s="21">
        <f>SUM(R378:R379)</f>
        <v>1881.24</v>
      </c>
      <c r="L380" s="21"/>
    </row>
    <row r="381" spans="1:22" ht="14.25" x14ac:dyDescent="0.2">
      <c r="A381" s="18"/>
      <c r="B381" s="18"/>
      <c r="C381" s="18"/>
      <c r="D381" s="18" t="s">
        <v>1104</v>
      </c>
      <c r="E381" s="19" t="s">
        <v>1103</v>
      </c>
      <c r="F381" s="9">
        <f>Source!AU385</f>
        <v>10</v>
      </c>
      <c r="G381" s="21"/>
      <c r="H381" s="20"/>
      <c r="I381" s="9"/>
      <c r="J381" s="9"/>
      <c r="K381" s="21">
        <f>SUM(T378:T380)</f>
        <v>268.75</v>
      </c>
      <c r="L381" s="21"/>
    </row>
    <row r="382" spans="1:22" ht="14.25" x14ac:dyDescent="0.2">
      <c r="A382" s="18"/>
      <c r="B382" s="18"/>
      <c r="C382" s="18"/>
      <c r="D382" s="18" t="s">
        <v>1105</v>
      </c>
      <c r="E382" s="19" t="s">
        <v>1106</v>
      </c>
      <c r="F382" s="9">
        <f>Source!AQ385</f>
        <v>1.62</v>
      </c>
      <c r="G382" s="21"/>
      <c r="H382" s="20" t="str">
        <f>Source!DI385</f>
        <v>)*2</v>
      </c>
      <c r="I382" s="9">
        <f>Source!AV385</f>
        <v>1</v>
      </c>
      <c r="J382" s="9"/>
      <c r="K382" s="21"/>
      <c r="L382" s="21">
        <f>Source!U385</f>
        <v>3.24</v>
      </c>
    </row>
    <row r="383" spans="1:22" ht="15" x14ac:dyDescent="0.25">
      <c r="A383" s="23"/>
      <c r="B383" s="23"/>
      <c r="C383" s="23"/>
      <c r="D383" s="23"/>
      <c r="E383" s="23"/>
      <c r="F383" s="23"/>
      <c r="G383" s="23"/>
      <c r="H383" s="23"/>
      <c r="I383" s="23"/>
      <c r="J383" s="44">
        <f>K379+K380+K381</f>
        <v>4837.47</v>
      </c>
      <c r="K383" s="44"/>
      <c r="L383" s="24">
        <f>IF(Source!I385&lt;&gt;0, ROUND(J383/Source!I385, 2), 0)</f>
        <v>4837.47</v>
      </c>
      <c r="P383" s="22">
        <f>J383</f>
        <v>4837.47</v>
      </c>
    </row>
    <row r="384" spans="1:22" ht="57" x14ac:dyDescent="0.2">
      <c r="A384" s="18">
        <v>37</v>
      </c>
      <c r="B384" s="18">
        <v>37</v>
      </c>
      <c r="C384" s="18" t="str">
        <f>Source!F386</f>
        <v>1.24-2503-4-18/1</v>
      </c>
      <c r="D384" s="18" t="str">
        <f>Source!G386</f>
        <v>Техническое обслуживание циркуляционных насосов систем отопления с тепловыми насосами - ежемесячное</v>
      </c>
      <c r="E384" s="19" t="str">
        <f>Source!H386</f>
        <v>шт.</v>
      </c>
      <c r="F384" s="9">
        <f>Source!I386</f>
        <v>1</v>
      </c>
      <c r="G384" s="21"/>
      <c r="H384" s="20"/>
      <c r="I384" s="9"/>
      <c r="J384" s="9"/>
      <c r="K384" s="21"/>
      <c r="L384" s="21"/>
      <c r="Q384">
        <f>ROUND((Source!BZ386/100)*ROUND((Source!AF386*Source!AV386)*Source!I386, 2), 2)</f>
        <v>824.63</v>
      </c>
      <c r="R384">
        <f>Source!X386</f>
        <v>824.63</v>
      </c>
      <c r="S384">
        <f>ROUND((Source!CA386/100)*ROUND((Source!AF386*Source!AV386)*Source!I386, 2), 2)</f>
        <v>117.8</v>
      </c>
      <c r="T384">
        <f>Source!Y386</f>
        <v>117.8</v>
      </c>
      <c r="U384">
        <f>ROUND((175/100)*ROUND((Source!AE386*Source!AV386)*Source!I386, 2), 2)</f>
        <v>867.51</v>
      </c>
      <c r="V384">
        <f>ROUND((108/100)*ROUND(Source!CS386*Source!I386, 2), 2)</f>
        <v>535.38</v>
      </c>
    </row>
    <row r="385" spans="1:22" ht="14.25" x14ac:dyDescent="0.2">
      <c r="A385" s="18"/>
      <c r="B385" s="18"/>
      <c r="C385" s="18"/>
      <c r="D385" s="18" t="s">
        <v>1100</v>
      </c>
      <c r="E385" s="19"/>
      <c r="F385" s="9"/>
      <c r="G385" s="21">
        <f>Source!AO386</f>
        <v>294.51</v>
      </c>
      <c r="H385" s="20" t="str">
        <f>Source!DG386</f>
        <v>)*4</v>
      </c>
      <c r="I385" s="9">
        <f>Source!AV386</f>
        <v>1</v>
      </c>
      <c r="J385" s="9">
        <f>IF(Source!BA386&lt;&gt; 0, Source!BA386, 1)</f>
        <v>1</v>
      </c>
      <c r="K385" s="21">
        <f>Source!S386</f>
        <v>1178.04</v>
      </c>
      <c r="L385" s="21"/>
    </row>
    <row r="386" spans="1:22" ht="14.25" x14ac:dyDescent="0.2">
      <c r="A386" s="18"/>
      <c r="B386" s="18"/>
      <c r="C386" s="18"/>
      <c r="D386" s="18" t="s">
        <v>1107</v>
      </c>
      <c r="E386" s="19"/>
      <c r="F386" s="9"/>
      <c r="G386" s="21">
        <f>Source!AM386</f>
        <v>195.45</v>
      </c>
      <c r="H386" s="20" t="str">
        <f>Source!DE386</f>
        <v>)*4</v>
      </c>
      <c r="I386" s="9">
        <f>Source!AV386</f>
        <v>1</v>
      </c>
      <c r="J386" s="9">
        <f>IF(Source!BB386&lt;&gt; 0, Source!BB386, 1)</f>
        <v>1</v>
      </c>
      <c r="K386" s="21">
        <f>Source!Q386</f>
        <v>781.8</v>
      </c>
      <c r="L386" s="21"/>
    </row>
    <row r="387" spans="1:22" ht="14.25" x14ac:dyDescent="0.2">
      <c r="A387" s="18"/>
      <c r="B387" s="18"/>
      <c r="C387" s="18"/>
      <c r="D387" s="18" t="s">
        <v>1108</v>
      </c>
      <c r="E387" s="19"/>
      <c r="F387" s="9"/>
      <c r="G387" s="21">
        <f>Source!AN386</f>
        <v>123.93</v>
      </c>
      <c r="H387" s="20" t="str">
        <f>Source!DF386</f>
        <v>)*4</v>
      </c>
      <c r="I387" s="9">
        <f>Source!AV386</f>
        <v>1</v>
      </c>
      <c r="J387" s="9">
        <f>IF(Source!BS386&lt;&gt; 0, Source!BS386, 1)</f>
        <v>1</v>
      </c>
      <c r="K387" s="25">
        <f>Source!R386</f>
        <v>495.72</v>
      </c>
      <c r="L387" s="21"/>
    </row>
    <row r="388" spans="1:22" ht="14.25" x14ac:dyDescent="0.2">
      <c r="A388" s="18"/>
      <c r="B388" s="18"/>
      <c r="C388" s="18"/>
      <c r="D388" s="18" t="s">
        <v>1101</v>
      </c>
      <c r="E388" s="19"/>
      <c r="F388" s="9"/>
      <c r="G388" s="21">
        <f>Source!AL386</f>
        <v>0.63</v>
      </c>
      <c r="H388" s="20" t="str">
        <f>Source!DD386</f>
        <v>)*4</v>
      </c>
      <c r="I388" s="9">
        <f>Source!AW386</f>
        <v>1</v>
      </c>
      <c r="J388" s="9">
        <f>IF(Source!BC386&lt;&gt; 0, Source!BC386, 1)</f>
        <v>1</v>
      </c>
      <c r="K388" s="21">
        <f>Source!P386</f>
        <v>2.52</v>
      </c>
      <c r="L388" s="21"/>
    </row>
    <row r="389" spans="1:22" ht="14.25" x14ac:dyDescent="0.2">
      <c r="A389" s="18"/>
      <c r="B389" s="18"/>
      <c r="C389" s="18"/>
      <c r="D389" s="18" t="s">
        <v>1102</v>
      </c>
      <c r="E389" s="19" t="s">
        <v>1103</v>
      </c>
      <c r="F389" s="9">
        <f>Source!AT386</f>
        <v>70</v>
      </c>
      <c r="G389" s="21"/>
      <c r="H389" s="20"/>
      <c r="I389" s="9"/>
      <c r="J389" s="9"/>
      <c r="K389" s="21">
        <f>SUM(R384:R388)</f>
        <v>824.63</v>
      </c>
      <c r="L389" s="21"/>
    </row>
    <row r="390" spans="1:22" ht="14.25" x14ac:dyDescent="0.2">
      <c r="A390" s="18"/>
      <c r="B390" s="18"/>
      <c r="C390" s="18"/>
      <c r="D390" s="18" t="s">
        <v>1104</v>
      </c>
      <c r="E390" s="19" t="s">
        <v>1103</v>
      </c>
      <c r="F390" s="9">
        <f>Source!AU386</f>
        <v>10</v>
      </c>
      <c r="G390" s="21"/>
      <c r="H390" s="20"/>
      <c r="I390" s="9"/>
      <c r="J390" s="9"/>
      <c r="K390" s="21">
        <f>SUM(T384:T389)</f>
        <v>117.8</v>
      </c>
      <c r="L390" s="21"/>
    </row>
    <row r="391" spans="1:22" ht="14.25" x14ac:dyDescent="0.2">
      <c r="A391" s="18"/>
      <c r="B391" s="18"/>
      <c r="C391" s="18"/>
      <c r="D391" s="18" t="s">
        <v>1109</v>
      </c>
      <c r="E391" s="19" t="s">
        <v>1103</v>
      </c>
      <c r="F391" s="9">
        <f>108</f>
        <v>108</v>
      </c>
      <c r="G391" s="21"/>
      <c r="H391" s="20"/>
      <c r="I391" s="9"/>
      <c r="J391" s="9"/>
      <c r="K391" s="21">
        <f>SUM(V384:V390)</f>
        <v>535.38</v>
      </c>
      <c r="L391" s="21"/>
    </row>
    <row r="392" spans="1:22" ht="14.25" x14ac:dyDescent="0.2">
      <c r="A392" s="18"/>
      <c r="B392" s="18"/>
      <c r="C392" s="18"/>
      <c r="D392" s="18" t="s">
        <v>1105</v>
      </c>
      <c r="E392" s="19" t="s">
        <v>1106</v>
      </c>
      <c r="F392" s="9">
        <f>Source!AQ386</f>
        <v>0.42</v>
      </c>
      <c r="G392" s="21"/>
      <c r="H392" s="20" t="str">
        <f>Source!DI386</f>
        <v>)*4</v>
      </c>
      <c r="I392" s="9">
        <f>Source!AV386</f>
        <v>1</v>
      </c>
      <c r="J392" s="9"/>
      <c r="K392" s="21"/>
      <c r="L392" s="21">
        <f>Source!U386</f>
        <v>1.68</v>
      </c>
    </row>
    <row r="393" spans="1:22" ht="15" x14ac:dyDescent="0.25">
      <c r="A393" s="23"/>
      <c r="B393" s="23"/>
      <c r="C393" s="23"/>
      <c r="D393" s="23"/>
      <c r="E393" s="23"/>
      <c r="F393" s="23"/>
      <c r="G393" s="23"/>
      <c r="H393" s="23"/>
      <c r="I393" s="23"/>
      <c r="J393" s="44">
        <f>K385+K386+K388+K389+K390+K391</f>
        <v>3440.17</v>
      </c>
      <c r="K393" s="44"/>
      <c r="L393" s="24">
        <f>IF(Source!I386&lt;&gt;0, ROUND(J393/Source!I386, 2), 0)</f>
        <v>3440.17</v>
      </c>
      <c r="P393" s="22">
        <f>J393</f>
        <v>3440.17</v>
      </c>
    </row>
    <row r="394" spans="1:22" ht="57" x14ac:dyDescent="0.2">
      <c r="A394" s="18">
        <v>38</v>
      </c>
      <c r="B394" s="18">
        <v>38</v>
      </c>
      <c r="C394" s="18" t="str">
        <f>Source!F387</f>
        <v>1.23-2103-21-1/1</v>
      </c>
      <c r="D394" s="18" t="str">
        <f>Source!G387</f>
        <v>Техническое обслуживание преобразователей давления, перепада давления, тензорезисторных, дифференциальных (Сапфир)</v>
      </c>
      <c r="E394" s="19" t="str">
        <f>Source!H387</f>
        <v>шт.</v>
      </c>
      <c r="F394" s="9">
        <f>Source!I387</f>
        <v>1</v>
      </c>
      <c r="G394" s="21"/>
      <c r="H394" s="20"/>
      <c r="I394" s="9"/>
      <c r="J394" s="9"/>
      <c r="K394" s="21"/>
      <c r="L394" s="21"/>
      <c r="Q394">
        <f>ROUND((Source!BZ387/100)*ROUND((Source!AF387*Source!AV387)*Source!I387, 2), 2)</f>
        <v>894.17</v>
      </c>
      <c r="R394">
        <f>Source!X387</f>
        <v>894.17</v>
      </c>
      <c r="S394">
        <f>ROUND((Source!CA387/100)*ROUND((Source!AF387*Source!AV387)*Source!I387, 2), 2)</f>
        <v>127.74</v>
      </c>
      <c r="T394">
        <f>Source!Y387</f>
        <v>127.74</v>
      </c>
      <c r="U394">
        <f>ROUND((175/100)*ROUND((Source!AE387*Source!AV387)*Source!I387, 2), 2)</f>
        <v>0</v>
      </c>
      <c r="V394">
        <f>ROUND((108/100)*ROUND(Source!CS387*Source!I387, 2), 2)</f>
        <v>0</v>
      </c>
    </row>
    <row r="395" spans="1:22" ht="14.25" x14ac:dyDescent="0.2">
      <c r="A395" s="18"/>
      <c r="B395" s="18"/>
      <c r="C395" s="18"/>
      <c r="D395" s="18" t="s">
        <v>1100</v>
      </c>
      <c r="E395" s="19"/>
      <c r="F395" s="9"/>
      <c r="G395" s="21">
        <f>Source!AO387</f>
        <v>638.69000000000005</v>
      </c>
      <c r="H395" s="20" t="str">
        <f>Source!DG387</f>
        <v>)*2</v>
      </c>
      <c r="I395" s="9">
        <f>Source!AV387</f>
        <v>1</v>
      </c>
      <c r="J395" s="9">
        <f>IF(Source!BA387&lt;&gt; 0, Source!BA387, 1)</f>
        <v>1</v>
      </c>
      <c r="K395" s="21">
        <f>Source!S387</f>
        <v>1277.3800000000001</v>
      </c>
      <c r="L395" s="21"/>
    </row>
    <row r="396" spans="1:22" ht="14.25" x14ac:dyDescent="0.2">
      <c r="A396" s="18"/>
      <c r="B396" s="18"/>
      <c r="C396" s="18"/>
      <c r="D396" s="18" t="s">
        <v>1101</v>
      </c>
      <c r="E396" s="19"/>
      <c r="F396" s="9"/>
      <c r="G396" s="21">
        <f>Source!AL387</f>
        <v>19.14</v>
      </c>
      <c r="H396" s="20" t="str">
        <f>Source!DD387</f>
        <v>)*2</v>
      </c>
      <c r="I396" s="9">
        <f>Source!AW387</f>
        <v>1</v>
      </c>
      <c r="J396" s="9">
        <f>IF(Source!BC387&lt;&gt; 0, Source!BC387, 1)</f>
        <v>1</v>
      </c>
      <c r="K396" s="21">
        <f>Source!P387</f>
        <v>38.28</v>
      </c>
      <c r="L396" s="21"/>
    </row>
    <row r="397" spans="1:22" ht="14.25" x14ac:dyDescent="0.2">
      <c r="A397" s="18"/>
      <c r="B397" s="18"/>
      <c r="C397" s="18"/>
      <c r="D397" s="18" t="s">
        <v>1102</v>
      </c>
      <c r="E397" s="19" t="s">
        <v>1103</v>
      </c>
      <c r="F397" s="9">
        <f>Source!AT387</f>
        <v>70</v>
      </c>
      <c r="G397" s="21"/>
      <c r="H397" s="20"/>
      <c r="I397" s="9"/>
      <c r="J397" s="9"/>
      <c r="K397" s="21">
        <f>SUM(R394:R396)</f>
        <v>894.17</v>
      </c>
      <c r="L397" s="21"/>
    </row>
    <row r="398" spans="1:22" ht="14.25" x14ac:dyDescent="0.2">
      <c r="A398" s="18"/>
      <c r="B398" s="18"/>
      <c r="C398" s="18"/>
      <c r="D398" s="18" t="s">
        <v>1104</v>
      </c>
      <c r="E398" s="19" t="s">
        <v>1103</v>
      </c>
      <c r="F398" s="9">
        <f>Source!AU387</f>
        <v>10</v>
      </c>
      <c r="G398" s="21"/>
      <c r="H398" s="20"/>
      <c r="I398" s="9"/>
      <c r="J398" s="9"/>
      <c r="K398" s="21">
        <f>SUM(T394:T397)</f>
        <v>127.74</v>
      </c>
      <c r="L398" s="21"/>
    </row>
    <row r="399" spans="1:22" ht="14.25" x14ac:dyDescent="0.2">
      <c r="A399" s="18"/>
      <c r="B399" s="18"/>
      <c r="C399" s="18"/>
      <c r="D399" s="18" t="s">
        <v>1105</v>
      </c>
      <c r="E399" s="19" t="s">
        <v>1106</v>
      </c>
      <c r="F399" s="9">
        <f>Source!AQ387</f>
        <v>0.77</v>
      </c>
      <c r="G399" s="21"/>
      <c r="H399" s="20" t="str">
        <f>Source!DI387</f>
        <v>)*2</v>
      </c>
      <c r="I399" s="9">
        <f>Source!AV387</f>
        <v>1</v>
      </c>
      <c r="J399" s="9"/>
      <c r="K399" s="21"/>
      <c r="L399" s="21">
        <f>Source!U387</f>
        <v>1.54</v>
      </c>
    </row>
    <row r="400" spans="1:22" ht="15" x14ac:dyDescent="0.25">
      <c r="A400" s="23"/>
      <c r="B400" s="23"/>
      <c r="C400" s="23"/>
      <c r="D400" s="23"/>
      <c r="E400" s="23"/>
      <c r="F400" s="23"/>
      <c r="G400" s="23"/>
      <c r="H400" s="23"/>
      <c r="I400" s="23"/>
      <c r="J400" s="44">
        <f>K395+K396+K397+K398</f>
        <v>2337.5699999999997</v>
      </c>
      <c r="K400" s="44"/>
      <c r="L400" s="24">
        <f>IF(Source!I387&lt;&gt;0, ROUND(J400/Source!I387, 2), 0)</f>
        <v>2337.5700000000002</v>
      </c>
      <c r="P400" s="22">
        <f>J400</f>
        <v>2337.5699999999997</v>
      </c>
    </row>
    <row r="401" spans="1:22" ht="28.5" x14ac:dyDescent="0.2">
      <c r="A401" s="18">
        <v>39</v>
      </c>
      <c r="B401" s="18">
        <v>39</v>
      </c>
      <c r="C401" s="18" t="str">
        <f>Source!F388</f>
        <v>1.23-2303-7-2/1</v>
      </c>
      <c r="D401" s="18" t="str">
        <f>Source!G388</f>
        <v>Техническое обслуживание реле давления, напора, тяги</v>
      </c>
      <c r="E401" s="19" t="str">
        <f>Source!H388</f>
        <v>шт.</v>
      </c>
      <c r="F401" s="9">
        <f>Source!I388</f>
        <v>2</v>
      </c>
      <c r="G401" s="21"/>
      <c r="H401" s="20"/>
      <c r="I401" s="9"/>
      <c r="J401" s="9"/>
      <c r="K401" s="21"/>
      <c r="L401" s="21"/>
      <c r="Q401">
        <f>ROUND((Source!BZ388/100)*ROUND((Source!AF388*Source!AV388)*Source!I388, 2), 2)</f>
        <v>755.08</v>
      </c>
      <c r="R401">
        <f>Source!X388</f>
        <v>755.08</v>
      </c>
      <c r="S401">
        <f>ROUND((Source!CA388/100)*ROUND((Source!AF388*Source!AV388)*Source!I388, 2), 2)</f>
        <v>107.87</v>
      </c>
      <c r="T401">
        <f>Source!Y388</f>
        <v>107.87</v>
      </c>
      <c r="U401">
        <f>ROUND((175/100)*ROUND((Source!AE388*Source!AV388)*Source!I388, 2), 2)</f>
        <v>0</v>
      </c>
      <c r="V401">
        <f>ROUND((108/100)*ROUND(Source!CS388*Source!I388, 2), 2)</f>
        <v>0</v>
      </c>
    </row>
    <row r="402" spans="1:22" x14ac:dyDescent="0.2">
      <c r="D402" s="28" t="str">
        <f>"Объем: "&amp;Source!I388&amp;"=1+"&amp;"1"</f>
        <v>Объем: 2=1+1</v>
      </c>
    </row>
    <row r="403" spans="1:22" ht="14.25" x14ac:dyDescent="0.2">
      <c r="A403" s="18"/>
      <c r="B403" s="18"/>
      <c r="C403" s="18"/>
      <c r="D403" s="18" t="s">
        <v>1100</v>
      </c>
      <c r="E403" s="19"/>
      <c r="F403" s="9"/>
      <c r="G403" s="21">
        <f>Source!AO388</f>
        <v>269.67</v>
      </c>
      <c r="H403" s="20" t="str">
        <f>Source!DG388</f>
        <v>)*2</v>
      </c>
      <c r="I403" s="9">
        <f>Source!AV388</f>
        <v>1</v>
      </c>
      <c r="J403" s="9">
        <f>IF(Source!BA388&lt;&gt; 0, Source!BA388, 1)</f>
        <v>1</v>
      </c>
      <c r="K403" s="21">
        <f>Source!S388</f>
        <v>1078.68</v>
      </c>
      <c r="L403" s="21"/>
    </row>
    <row r="404" spans="1:22" ht="14.25" x14ac:dyDescent="0.2">
      <c r="A404" s="18"/>
      <c r="B404" s="18"/>
      <c r="C404" s="18"/>
      <c r="D404" s="18" t="s">
        <v>1101</v>
      </c>
      <c r="E404" s="19"/>
      <c r="F404" s="9"/>
      <c r="G404" s="21">
        <f>Source!AL388</f>
        <v>19.14</v>
      </c>
      <c r="H404" s="20" t="str">
        <f>Source!DD388</f>
        <v>)*2</v>
      </c>
      <c r="I404" s="9">
        <f>Source!AW388</f>
        <v>1</v>
      </c>
      <c r="J404" s="9">
        <f>IF(Source!BC388&lt;&gt; 0, Source!BC388, 1)</f>
        <v>1</v>
      </c>
      <c r="K404" s="21">
        <f>Source!P388</f>
        <v>76.56</v>
      </c>
      <c r="L404" s="21"/>
    </row>
    <row r="405" spans="1:22" ht="14.25" x14ac:dyDescent="0.2">
      <c r="A405" s="18"/>
      <c r="B405" s="18"/>
      <c r="C405" s="18"/>
      <c r="D405" s="18" t="s">
        <v>1102</v>
      </c>
      <c r="E405" s="19" t="s">
        <v>1103</v>
      </c>
      <c r="F405" s="9">
        <f>Source!AT388</f>
        <v>70</v>
      </c>
      <c r="G405" s="21"/>
      <c r="H405" s="20"/>
      <c r="I405" s="9"/>
      <c r="J405" s="9"/>
      <c r="K405" s="21">
        <f>SUM(R401:R404)</f>
        <v>755.08</v>
      </c>
      <c r="L405" s="21"/>
    </row>
    <row r="406" spans="1:22" ht="14.25" x14ac:dyDescent="0.2">
      <c r="A406" s="18"/>
      <c r="B406" s="18"/>
      <c r="C406" s="18"/>
      <c r="D406" s="18" t="s">
        <v>1104</v>
      </c>
      <c r="E406" s="19" t="s">
        <v>1103</v>
      </c>
      <c r="F406" s="9">
        <f>Source!AU388</f>
        <v>10</v>
      </c>
      <c r="G406" s="21"/>
      <c r="H406" s="20"/>
      <c r="I406" s="9"/>
      <c r="J406" s="9"/>
      <c r="K406" s="21">
        <f>SUM(T401:T405)</f>
        <v>107.87</v>
      </c>
      <c r="L406" s="21"/>
    </row>
    <row r="407" spans="1:22" ht="14.25" x14ac:dyDescent="0.2">
      <c r="A407" s="18"/>
      <c r="B407" s="18"/>
      <c r="C407" s="18"/>
      <c r="D407" s="18" t="s">
        <v>1105</v>
      </c>
      <c r="E407" s="19" t="s">
        <v>1106</v>
      </c>
      <c r="F407" s="9">
        <f>Source!AQ388</f>
        <v>0.38</v>
      </c>
      <c r="G407" s="21"/>
      <c r="H407" s="20" t="str">
        <f>Source!DI388</f>
        <v>)*2</v>
      </c>
      <c r="I407" s="9">
        <f>Source!AV388</f>
        <v>1</v>
      </c>
      <c r="J407" s="9"/>
      <c r="K407" s="21"/>
      <c r="L407" s="21">
        <f>Source!U388</f>
        <v>1.52</v>
      </c>
    </row>
    <row r="408" spans="1:22" ht="15" x14ac:dyDescent="0.25">
      <c r="A408" s="23"/>
      <c r="B408" s="23"/>
      <c r="C408" s="23"/>
      <c r="D408" s="23"/>
      <c r="E408" s="23"/>
      <c r="F408" s="23"/>
      <c r="G408" s="23"/>
      <c r="H408" s="23"/>
      <c r="I408" s="23"/>
      <c r="J408" s="44">
        <f>K403+K404+K405+K406</f>
        <v>2018.19</v>
      </c>
      <c r="K408" s="44"/>
      <c r="L408" s="24">
        <f>IF(Source!I388&lt;&gt;0, ROUND(J408/Source!I388, 2), 0)</f>
        <v>1009.1</v>
      </c>
      <c r="P408" s="22">
        <f>J408</f>
        <v>2018.19</v>
      </c>
    </row>
    <row r="409" spans="1:22" ht="28.5" x14ac:dyDescent="0.2">
      <c r="A409" s="18">
        <v>40</v>
      </c>
      <c r="B409" s="18">
        <v>40</v>
      </c>
      <c r="C409" s="18" t="str">
        <f>Source!F389</f>
        <v>1.23-2303-12-2/1</v>
      </c>
      <c r="D409" s="18" t="str">
        <f>Source!G389</f>
        <v>Техническое обслуживание контроллеров регулирования</v>
      </c>
      <c r="E409" s="19" t="str">
        <f>Source!H389</f>
        <v>шт.</v>
      </c>
      <c r="F409" s="9">
        <f>Source!I389</f>
        <v>1</v>
      </c>
      <c r="G409" s="21"/>
      <c r="H409" s="20"/>
      <c r="I409" s="9"/>
      <c r="J409" s="9"/>
      <c r="K409" s="21"/>
      <c r="L409" s="21"/>
      <c r="Q409">
        <f>ROUND((Source!BZ389/100)*ROUND((Source!AF389*Source!AV389)*Source!I389, 2), 2)</f>
        <v>3844.93</v>
      </c>
      <c r="R409">
        <f>Source!X389</f>
        <v>3844.93</v>
      </c>
      <c r="S409">
        <f>ROUND((Source!CA389/100)*ROUND((Source!AF389*Source!AV389)*Source!I389, 2), 2)</f>
        <v>549.28</v>
      </c>
      <c r="T409">
        <f>Source!Y389</f>
        <v>549.28</v>
      </c>
      <c r="U409">
        <f>ROUND((175/100)*ROUND((Source!AE389*Source!AV389)*Source!I389, 2), 2)</f>
        <v>0</v>
      </c>
      <c r="V409">
        <f>ROUND((108/100)*ROUND(Source!CS389*Source!I389, 2), 2)</f>
        <v>0</v>
      </c>
    </row>
    <row r="410" spans="1:22" ht="14.25" x14ac:dyDescent="0.2">
      <c r="A410" s="18"/>
      <c r="B410" s="18"/>
      <c r="C410" s="18"/>
      <c r="D410" s="18" t="s">
        <v>1100</v>
      </c>
      <c r="E410" s="19"/>
      <c r="F410" s="9"/>
      <c r="G410" s="21">
        <f>Source!AO389</f>
        <v>2746.38</v>
      </c>
      <c r="H410" s="20" t="str">
        <f>Source!DG389</f>
        <v>)*2</v>
      </c>
      <c r="I410" s="9">
        <f>Source!AV389</f>
        <v>1</v>
      </c>
      <c r="J410" s="9">
        <f>IF(Source!BA389&lt;&gt; 0, Source!BA389, 1)</f>
        <v>1</v>
      </c>
      <c r="K410" s="21">
        <f>Source!S389</f>
        <v>5492.76</v>
      </c>
      <c r="L410" s="21"/>
    </row>
    <row r="411" spans="1:22" ht="14.25" x14ac:dyDescent="0.2">
      <c r="A411" s="18"/>
      <c r="B411" s="18"/>
      <c r="C411" s="18"/>
      <c r="D411" s="18" t="s">
        <v>1101</v>
      </c>
      <c r="E411" s="19"/>
      <c r="F411" s="9"/>
      <c r="G411" s="21">
        <f>Source!AL389</f>
        <v>4.97</v>
      </c>
      <c r="H411" s="20" t="str">
        <f>Source!DD389</f>
        <v>)*2</v>
      </c>
      <c r="I411" s="9">
        <f>Source!AW389</f>
        <v>1</v>
      </c>
      <c r="J411" s="9">
        <f>IF(Source!BC389&lt;&gt; 0, Source!BC389, 1)</f>
        <v>1</v>
      </c>
      <c r="K411" s="21">
        <f>Source!P389</f>
        <v>9.94</v>
      </c>
      <c r="L411" s="21"/>
    </row>
    <row r="412" spans="1:22" ht="14.25" x14ac:dyDescent="0.2">
      <c r="A412" s="18"/>
      <c r="B412" s="18"/>
      <c r="C412" s="18"/>
      <c r="D412" s="18" t="s">
        <v>1102</v>
      </c>
      <c r="E412" s="19" t="s">
        <v>1103</v>
      </c>
      <c r="F412" s="9">
        <f>Source!AT389</f>
        <v>70</v>
      </c>
      <c r="G412" s="21"/>
      <c r="H412" s="20"/>
      <c r="I412" s="9"/>
      <c r="J412" s="9"/>
      <c r="K412" s="21">
        <f>SUM(R409:R411)</f>
        <v>3844.93</v>
      </c>
      <c r="L412" s="21"/>
    </row>
    <row r="413" spans="1:22" ht="14.25" x14ac:dyDescent="0.2">
      <c r="A413" s="18"/>
      <c r="B413" s="18"/>
      <c r="C413" s="18"/>
      <c r="D413" s="18" t="s">
        <v>1104</v>
      </c>
      <c r="E413" s="19" t="s">
        <v>1103</v>
      </c>
      <c r="F413" s="9">
        <f>Source!AU389</f>
        <v>10</v>
      </c>
      <c r="G413" s="21"/>
      <c r="H413" s="20"/>
      <c r="I413" s="9"/>
      <c r="J413" s="9"/>
      <c r="K413" s="21">
        <f>SUM(T409:T412)</f>
        <v>549.28</v>
      </c>
      <c r="L413" s="21"/>
    </row>
    <row r="414" spans="1:22" ht="14.25" x14ac:dyDescent="0.2">
      <c r="A414" s="18"/>
      <c r="B414" s="18"/>
      <c r="C414" s="18"/>
      <c r="D414" s="18" t="s">
        <v>1105</v>
      </c>
      <c r="E414" s="19" t="s">
        <v>1106</v>
      </c>
      <c r="F414" s="9">
        <f>Source!AQ389</f>
        <v>3.87</v>
      </c>
      <c r="G414" s="21"/>
      <c r="H414" s="20" t="str">
        <f>Source!DI389</f>
        <v>)*2</v>
      </c>
      <c r="I414" s="9">
        <f>Source!AV389</f>
        <v>1</v>
      </c>
      <c r="J414" s="9"/>
      <c r="K414" s="21"/>
      <c r="L414" s="21">
        <f>Source!U389</f>
        <v>7.74</v>
      </c>
    </row>
    <row r="415" spans="1:22" ht="15" x14ac:dyDescent="0.25">
      <c r="A415" s="23"/>
      <c r="B415" s="23"/>
      <c r="C415" s="23"/>
      <c r="D415" s="23"/>
      <c r="E415" s="23"/>
      <c r="F415" s="23"/>
      <c r="G415" s="23"/>
      <c r="H415" s="23"/>
      <c r="I415" s="23"/>
      <c r="J415" s="44">
        <f>K410+K411+K412+K413</f>
        <v>9896.91</v>
      </c>
      <c r="K415" s="44"/>
      <c r="L415" s="24">
        <f>IF(Source!I389&lt;&gt;0, ROUND(J415/Source!I389, 2), 0)</f>
        <v>9896.91</v>
      </c>
      <c r="P415" s="22">
        <f>J415</f>
        <v>9896.91</v>
      </c>
    </row>
    <row r="416" spans="1:22" ht="99.75" x14ac:dyDescent="0.2">
      <c r="A416" s="18">
        <v>41</v>
      </c>
      <c r="B416" s="18">
        <v>41</v>
      </c>
      <c r="C416" s="18" t="str">
        <f>Source!F390</f>
        <v>1.23-2103-9-7/1</v>
      </c>
      <c r="D416" s="18" t="str">
        <f>Source!G390</f>
        <v>Техническое обслуживание приборов для измерения температуры, регулятор температуры дилатометрический, тип ТУДЭ / Комнатный датчик температуры, задатчик NTC20 T7460B Honeywell, Датчик температуры комнатный</v>
      </c>
      <c r="E416" s="19" t="str">
        <f>Source!H390</f>
        <v>шт.</v>
      </c>
      <c r="F416" s="9">
        <f>Source!I390</f>
        <v>3</v>
      </c>
      <c r="G416" s="21"/>
      <c r="H416" s="20"/>
      <c r="I416" s="9"/>
      <c r="J416" s="9"/>
      <c r="K416" s="21"/>
      <c r="L416" s="21"/>
      <c r="Q416">
        <f>ROUND((Source!BZ390/100)*ROUND((Source!AF390*Source!AV390)*Source!I390, 2), 2)</f>
        <v>2074.7600000000002</v>
      </c>
      <c r="R416">
        <f>Source!X390</f>
        <v>2074.7600000000002</v>
      </c>
      <c r="S416">
        <f>ROUND((Source!CA390/100)*ROUND((Source!AF390*Source!AV390)*Source!I390, 2), 2)</f>
        <v>296.39</v>
      </c>
      <c r="T416">
        <f>Source!Y390</f>
        <v>296.39</v>
      </c>
      <c r="U416">
        <f>ROUND((175/100)*ROUND((Source!AE390*Source!AV390)*Source!I390, 2), 2)</f>
        <v>0</v>
      </c>
      <c r="V416">
        <f>ROUND((108/100)*ROUND(Source!CS390*Source!I390, 2), 2)</f>
        <v>0</v>
      </c>
    </row>
    <row r="417" spans="1:22" ht="14.25" x14ac:dyDescent="0.2">
      <c r="A417" s="18"/>
      <c r="B417" s="18"/>
      <c r="C417" s="18"/>
      <c r="D417" s="18" t="s">
        <v>1100</v>
      </c>
      <c r="E417" s="19"/>
      <c r="F417" s="9"/>
      <c r="G417" s="21">
        <f>Source!AO390</f>
        <v>493.99</v>
      </c>
      <c r="H417" s="20" t="str">
        <f>Source!DG390</f>
        <v>)*2</v>
      </c>
      <c r="I417" s="9">
        <f>Source!AV390</f>
        <v>1</v>
      </c>
      <c r="J417" s="9">
        <f>IF(Source!BA390&lt;&gt; 0, Source!BA390, 1)</f>
        <v>1</v>
      </c>
      <c r="K417" s="21">
        <f>Source!S390</f>
        <v>2963.94</v>
      </c>
      <c r="L417" s="21"/>
    </row>
    <row r="418" spans="1:22" ht="14.25" x14ac:dyDescent="0.2">
      <c r="A418" s="18"/>
      <c r="B418" s="18"/>
      <c r="C418" s="18"/>
      <c r="D418" s="18" t="s">
        <v>1102</v>
      </c>
      <c r="E418" s="19" t="s">
        <v>1103</v>
      </c>
      <c r="F418" s="9">
        <f>Source!AT390</f>
        <v>70</v>
      </c>
      <c r="G418" s="21"/>
      <c r="H418" s="20"/>
      <c r="I418" s="9"/>
      <c r="J418" s="9"/>
      <c r="K418" s="21">
        <f>SUM(R416:R417)</f>
        <v>2074.7600000000002</v>
      </c>
      <c r="L418" s="21"/>
    </row>
    <row r="419" spans="1:22" ht="14.25" x14ac:dyDescent="0.2">
      <c r="A419" s="18"/>
      <c r="B419" s="18"/>
      <c r="C419" s="18"/>
      <c r="D419" s="18" t="s">
        <v>1104</v>
      </c>
      <c r="E419" s="19" t="s">
        <v>1103</v>
      </c>
      <c r="F419" s="9">
        <f>Source!AU390</f>
        <v>10</v>
      </c>
      <c r="G419" s="21"/>
      <c r="H419" s="20"/>
      <c r="I419" s="9"/>
      <c r="J419" s="9"/>
      <c r="K419" s="21">
        <f>SUM(T416:T418)</f>
        <v>296.39</v>
      </c>
      <c r="L419" s="21"/>
    </row>
    <row r="420" spans="1:22" ht="14.25" x14ac:dyDescent="0.2">
      <c r="A420" s="18"/>
      <c r="B420" s="18"/>
      <c r="C420" s="18"/>
      <c r="D420" s="18" t="s">
        <v>1105</v>
      </c>
      <c r="E420" s="19" t="s">
        <v>1106</v>
      </c>
      <c r="F420" s="9">
        <f>Source!AQ390</f>
        <v>0.8</v>
      </c>
      <c r="G420" s="21"/>
      <c r="H420" s="20" t="str">
        <f>Source!DI390</f>
        <v>)*2</v>
      </c>
      <c r="I420" s="9">
        <f>Source!AV390</f>
        <v>1</v>
      </c>
      <c r="J420" s="9"/>
      <c r="K420" s="21"/>
      <c r="L420" s="21">
        <f>Source!U390</f>
        <v>4.8000000000000007</v>
      </c>
    </row>
    <row r="421" spans="1:22" ht="15" x14ac:dyDescent="0.25">
      <c r="A421" s="23"/>
      <c r="B421" s="23"/>
      <c r="C421" s="23"/>
      <c r="D421" s="23"/>
      <c r="E421" s="23"/>
      <c r="F421" s="23"/>
      <c r="G421" s="23"/>
      <c r="H421" s="23"/>
      <c r="I421" s="23"/>
      <c r="J421" s="44">
        <f>K417+K418+K419</f>
        <v>5335.0900000000011</v>
      </c>
      <c r="K421" s="44"/>
      <c r="L421" s="24">
        <f>IF(Source!I390&lt;&gt;0, ROUND(J421/Source!I390, 2), 0)</f>
        <v>1778.36</v>
      </c>
      <c r="P421" s="22">
        <f>J421</f>
        <v>5335.0900000000011</v>
      </c>
    </row>
    <row r="422" spans="1:22" ht="71.25" x14ac:dyDescent="0.2">
      <c r="A422" s="18">
        <v>42</v>
      </c>
      <c r="B422" s="18">
        <v>42</v>
      </c>
      <c r="C422" s="18" t="str">
        <f>Source!F391</f>
        <v>1.15-2203-8-2/1</v>
      </c>
      <c r="D422" s="18" t="str">
        <f>Source!G391</f>
        <v>Техническое обслуживание затворов дисковых поворотных межфланцевых с ручным управлением диаметром 100-150 мм / Затвор поворотный Ду65 Ру16 ADL  ООО «Термаль 31»</v>
      </c>
      <c r="E422" s="19" t="str">
        <f>Source!H391</f>
        <v>шт.</v>
      </c>
      <c r="F422" s="9">
        <f>Source!I391</f>
        <v>2</v>
      </c>
      <c r="G422" s="21"/>
      <c r="H422" s="20"/>
      <c r="I422" s="9"/>
      <c r="J422" s="9"/>
      <c r="K422" s="21"/>
      <c r="L422" s="21"/>
      <c r="Q422">
        <f>ROUND((Source!BZ391/100)*ROUND((Source!AF391*Source!AV391)*Source!I391, 2), 2)</f>
        <v>188.89</v>
      </c>
      <c r="R422">
        <f>Source!X391</f>
        <v>188.89</v>
      </c>
      <c r="S422">
        <f>ROUND((Source!CA391/100)*ROUND((Source!AF391*Source!AV391)*Source!I391, 2), 2)</f>
        <v>26.98</v>
      </c>
      <c r="T422">
        <f>Source!Y391</f>
        <v>26.98</v>
      </c>
      <c r="U422">
        <f>ROUND((175/100)*ROUND((Source!AE391*Source!AV391)*Source!I391, 2), 2)</f>
        <v>0</v>
      </c>
      <c r="V422">
        <f>ROUND((108/100)*ROUND(Source!CS391*Source!I391, 2), 2)</f>
        <v>0</v>
      </c>
    </row>
    <row r="423" spans="1:22" ht="14.25" x14ac:dyDescent="0.2">
      <c r="A423" s="18"/>
      <c r="B423" s="18"/>
      <c r="C423" s="18"/>
      <c r="D423" s="18" t="s">
        <v>1100</v>
      </c>
      <c r="E423" s="19"/>
      <c r="F423" s="9"/>
      <c r="G423" s="21">
        <f>Source!AO391</f>
        <v>134.91999999999999</v>
      </c>
      <c r="H423" s="20" t="str">
        <f>Source!DG391</f>
        <v/>
      </c>
      <c r="I423" s="9">
        <f>Source!AV391</f>
        <v>1</v>
      </c>
      <c r="J423" s="9">
        <f>IF(Source!BA391&lt;&gt; 0, Source!BA391, 1)</f>
        <v>1</v>
      </c>
      <c r="K423" s="21">
        <f>Source!S391</f>
        <v>269.83999999999997</v>
      </c>
      <c r="L423" s="21"/>
    </row>
    <row r="424" spans="1:22" ht="14.25" x14ac:dyDescent="0.2">
      <c r="A424" s="18"/>
      <c r="B424" s="18"/>
      <c r="C424" s="18"/>
      <c r="D424" s="18" t="s">
        <v>1101</v>
      </c>
      <c r="E424" s="19"/>
      <c r="F424" s="9"/>
      <c r="G424" s="21">
        <f>Source!AL391</f>
        <v>0.63</v>
      </c>
      <c r="H424" s="20" t="str">
        <f>Source!DD391</f>
        <v/>
      </c>
      <c r="I424" s="9">
        <f>Source!AW391</f>
        <v>1</v>
      </c>
      <c r="J424" s="9">
        <f>IF(Source!BC391&lt;&gt; 0, Source!BC391, 1)</f>
        <v>1</v>
      </c>
      <c r="K424" s="21">
        <f>Source!P391</f>
        <v>1.26</v>
      </c>
      <c r="L424" s="21"/>
    </row>
    <row r="425" spans="1:22" ht="14.25" x14ac:dyDescent="0.2">
      <c r="A425" s="18"/>
      <c r="B425" s="18"/>
      <c r="C425" s="18"/>
      <c r="D425" s="18" t="s">
        <v>1102</v>
      </c>
      <c r="E425" s="19" t="s">
        <v>1103</v>
      </c>
      <c r="F425" s="9">
        <f>Source!AT391</f>
        <v>70</v>
      </c>
      <c r="G425" s="21"/>
      <c r="H425" s="20"/>
      <c r="I425" s="9"/>
      <c r="J425" s="9"/>
      <c r="K425" s="21">
        <f>SUM(R422:R424)</f>
        <v>188.89</v>
      </c>
      <c r="L425" s="21"/>
    </row>
    <row r="426" spans="1:22" ht="14.25" x14ac:dyDescent="0.2">
      <c r="A426" s="18"/>
      <c r="B426" s="18"/>
      <c r="C426" s="18"/>
      <c r="D426" s="18" t="s">
        <v>1104</v>
      </c>
      <c r="E426" s="19" t="s">
        <v>1103</v>
      </c>
      <c r="F426" s="9">
        <f>Source!AU391</f>
        <v>10</v>
      </c>
      <c r="G426" s="21"/>
      <c r="H426" s="20"/>
      <c r="I426" s="9"/>
      <c r="J426" s="9"/>
      <c r="K426" s="21">
        <f>SUM(T422:T425)</f>
        <v>26.98</v>
      </c>
      <c r="L426" s="21"/>
    </row>
    <row r="427" spans="1:22" ht="14.25" x14ac:dyDescent="0.2">
      <c r="A427" s="18"/>
      <c r="B427" s="18"/>
      <c r="C427" s="18"/>
      <c r="D427" s="18" t="s">
        <v>1105</v>
      </c>
      <c r="E427" s="19" t="s">
        <v>1106</v>
      </c>
      <c r="F427" s="9">
        <f>Source!AQ391</f>
        <v>0.24</v>
      </c>
      <c r="G427" s="21"/>
      <c r="H427" s="20" t="str">
        <f>Source!DI391</f>
        <v/>
      </c>
      <c r="I427" s="9">
        <f>Source!AV391</f>
        <v>1</v>
      </c>
      <c r="J427" s="9"/>
      <c r="K427" s="21"/>
      <c r="L427" s="21">
        <f>Source!U391</f>
        <v>0.48</v>
      </c>
    </row>
    <row r="428" spans="1:22" ht="15" x14ac:dyDescent="0.25">
      <c r="A428" s="23"/>
      <c r="B428" s="23"/>
      <c r="C428" s="23"/>
      <c r="D428" s="23"/>
      <c r="E428" s="23"/>
      <c r="F428" s="23"/>
      <c r="G428" s="23"/>
      <c r="H428" s="23"/>
      <c r="I428" s="23"/>
      <c r="J428" s="44">
        <f>K423+K424+K425+K426</f>
        <v>486.96999999999997</v>
      </c>
      <c r="K428" s="44"/>
      <c r="L428" s="24">
        <f>IF(Source!I391&lt;&gt;0, ROUND(J428/Source!I391, 2), 0)</f>
        <v>243.49</v>
      </c>
      <c r="P428" s="22">
        <f>J428</f>
        <v>486.96999999999997</v>
      </c>
    </row>
    <row r="429" spans="1:22" ht="42.75" x14ac:dyDescent="0.2">
      <c r="A429" s="18">
        <v>43</v>
      </c>
      <c r="B429" s="18">
        <v>43</v>
      </c>
      <c r="C429" s="18" t="str">
        <f>Source!F392</f>
        <v>1.15-2203-7-3/1</v>
      </c>
      <c r="D429" s="18" t="str">
        <f>Source!G392</f>
        <v>Техническое обслуживание крана шарового латунного никелированного диаметром до 100 мм</v>
      </c>
      <c r="E429" s="19" t="str">
        <f>Source!H392</f>
        <v>10 шт.</v>
      </c>
      <c r="F429" s="9">
        <f>Source!I392</f>
        <v>0.4</v>
      </c>
      <c r="G429" s="21"/>
      <c r="H429" s="20"/>
      <c r="I429" s="9"/>
      <c r="J429" s="9"/>
      <c r="K429" s="21"/>
      <c r="L429" s="21"/>
      <c r="Q429">
        <f>ROUND((Source!BZ392/100)*ROUND((Source!AF392*Source!AV392)*Source!I392, 2), 2)</f>
        <v>159.07</v>
      </c>
      <c r="R429">
        <f>Source!X392</f>
        <v>159.07</v>
      </c>
      <c r="S429">
        <f>ROUND((Source!CA392/100)*ROUND((Source!AF392*Source!AV392)*Source!I392, 2), 2)</f>
        <v>22.72</v>
      </c>
      <c r="T429">
        <f>Source!Y392</f>
        <v>22.72</v>
      </c>
      <c r="U429">
        <f>ROUND((175/100)*ROUND((Source!AE392*Source!AV392)*Source!I392, 2), 2)</f>
        <v>0</v>
      </c>
      <c r="V429">
        <f>ROUND((108/100)*ROUND(Source!CS392*Source!I392, 2), 2)</f>
        <v>0</v>
      </c>
    </row>
    <row r="430" spans="1:22" x14ac:dyDescent="0.2">
      <c r="D430" s="28" t="str">
        <f>"Объем: "&amp;Source!I392&amp;"=4/"&amp;"10"</f>
        <v>Объем: 0,4=4/10</v>
      </c>
    </row>
    <row r="431" spans="1:22" ht="14.25" x14ac:dyDescent="0.2">
      <c r="A431" s="18"/>
      <c r="B431" s="18"/>
      <c r="C431" s="18"/>
      <c r="D431" s="18" t="s">
        <v>1100</v>
      </c>
      <c r="E431" s="19"/>
      <c r="F431" s="9"/>
      <c r="G431" s="21">
        <f>Source!AO392</f>
        <v>568.09</v>
      </c>
      <c r="H431" s="20" t="str">
        <f>Source!DG392</f>
        <v/>
      </c>
      <c r="I431" s="9">
        <f>Source!AV392</f>
        <v>1</v>
      </c>
      <c r="J431" s="9">
        <f>IF(Source!BA392&lt;&gt; 0, Source!BA392, 1)</f>
        <v>1</v>
      </c>
      <c r="K431" s="21">
        <f>Source!S392</f>
        <v>227.24</v>
      </c>
      <c r="L431" s="21"/>
    </row>
    <row r="432" spans="1:22" ht="14.25" x14ac:dyDescent="0.2">
      <c r="A432" s="18"/>
      <c r="B432" s="18"/>
      <c r="C432" s="18"/>
      <c r="D432" s="18" t="s">
        <v>1102</v>
      </c>
      <c r="E432" s="19" t="s">
        <v>1103</v>
      </c>
      <c r="F432" s="9">
        <f>Source!AT392</f>
        <v>70</v>
      </c>
      <c r="G432" s="21"/>
      <c r="H432" s="20"/>
      <c r="I432" s="9"/>
      <c r="J432" s="9"/>
      <c r="K432" s="21">
        <f>SUM(R429:R431)</f>
        <v>159.07</v>
      </c>
      <c r="L432" s="21"/>
    </row>
    <row r="433" spans="1:22" ht="14.25" x14ac:dyDescent="0.2">
      <c r="A433" s="18"/>
      <c r="B433" s="18"/>
      <c r="C433" s="18"/>
      <c r="D433" s="18" t="s">
        <v>1104</v>
      </c>
      <c r="E433" s="19" t="s">
        <v>1103</v>
      </c>
      <c r="F433" s="9">
        <f>Source!AU392</f>
        <v>10</v>
      </c>
      <c r="G433" s="21"/>
      <c r="H433" s="20"/>
      <c r="I433" s="9"/>
      <c r="J433" s="9"/>
      <c r="K433" s="21">
        <f>SUM(T429:T432)</f>
        <v>22.72</v>
      </c>
      <c r="L433" s="21"/>
    </row>
    <row r="434" spans="1:22" ht="14.25" x14ac:dyDescent="0.2">
      <c r="A434" s="18"/>
      <c r="B434" s="18"/>
      <c r="C434" s="18"/>
      <c r="D434" s="18" t="s">
        <v>1105</v>
      </c>
      <c r="E434" s="19" t="s">
        <v>1106</v>
      </c>
      <c r="F434" s="9">
        <f>Source!AQ392</f>
        <v>0.92</v>
      </c>
      <c r="G434" s="21"/>
      <c r="H434" s="20" t="str">
        <f>Source!DI392</f>
        <v/>
      </c>
      <c r="I434" s="9">
        <f>Source!AV392</f>
        <v>1</v>
      </c>
      <c r="J434" s="9"/>
      <c r="K434" s="21"/>
      <c r="L434" s="21">
        <f>Source!U392</f>
        <v>0.36800000000000005</v>
      </c>
    </row>
    <row r="435" spans="1:22" ht="15" x14ac:dyDescent="0.25">
      <c r="A435" s="23"/>
      <c r="B435" s="23"/>
      <c r="C435" s="23"/>
      <c r="D435" s="23"/>
      <c r="E435" s="23"/>
      <c r="F435" s="23"/>
      <c r="G435" s="23"/>
      <c r="H435" s="23"/>
      <c r="I435" s="23"/>
      <c r="J435" s="44">
        <f>K431+K432+K433</f>
        <v>409.03</v>
      </c>
      <c r="K435" s="44"/>
      <c r="L435" s="24">
        <f>IF(Source!I392&lt;&gt;0, ROUND(J435/Source!I392, 2), 0)</f>
        <v>1022.58</v>
      </c>
      <c r="P435" s="22">
        <f>J435</f>
        <v>409.03</v>
      </c>
    </row>
    <row r="436" spans="1:22" ht="57" x14ac:dyDescent="0.2">
      <c r="A436" s="18">
        <v>44</v>
      </c>
      <c r="B436" s="18">
        <v>44</v>
      </c>
      <c r="C436" s="18" t="str">
        <f>Source!F393</f>
        <v>1.23-2103-41-1/1</v>
      </c>
      <c r="D436" s="18" t="str">
        <f>Source!G393</f>
        <v>Техническое обслуживание регулирующего клапана / Клапан предохранительный Ду25 Ру16 OR  ООО «Термаль 31»</v>
      </c>
      <c r="E436" s="19" t="str">
        <f>Source!H393</f>
        <v>шт.</v>
      </c>
      <c r="F436" s="9">
        <f>Source!I393</f>
        <v>2</v>
      </c>
      <c r="G436" s="21"/>
      <c r="H436" s="20"/>
      <c r="I436" s="9"/>
      <c r="J436" s="9"/>
      <c r="K436" s="21"/>
      <c r="L436" s="21"/>
      <c r="Q436">
        <f>ROUND((Source!BZ393/100)*ROUND((Source!AF393*Source!AV393)*Source!I393, 2), 2)</f>
        <v>291.2</v>
      </c>
      <c r="R436">
        <f>Source!X393</f>
        <v>291.2</v>
      </c>
      <c r="S436">
        <f>ROUND((Source!CA393/100)*ROUND((Source!AF393*Source!AV393)*Source!I393, 2), 2)</f>
        <v>41.6</v>
      </c>
      <c r="T436">
        <f>Source!Y393</f>
        <v>41.6</v>
      </c>
      <c r="U436">
        <f>ROUND((175/100)*ROUND((Source!AE393*Source!AV393)*Source!I393, 2), 2)</f>
        <v>173.5</v>
      </c>
      <c r="V436">
        <f>ROUND((108/100)*ROUND(Source!CS393*Source!I393, 2), 2)</f>
        <v>107.07</v>
      </c>
    </row>
    <row r="437" spans="1:22" ht="14.25" x14ac:dyDescent="0.2">
      <c r="A437" s="18"/>
      <c r="B437" s="18"/>
      <c r="C437" s="18"/>
      <c r="D437" s="18" t="s">
        <v>1100</v>
      </c>
      <c r="E437" s="19"/>
      <c r="F437" s="9"/>
      <c r="G437" s="21">
        <f>Source!AO393</f>
        <v>208</v>
      </c>
      <c r="H437" s="20" t="str">
        <f>Source!DG393</f>
        <v/>
      </c>
      <c r="I437" s="9">
        <f>Source!AV393</f>
        <v>1</v>
      </c>
      <c r="J437" s="9">
        <f>IF(Source!BA393&lt;&gt; 0, Source!BA393, 1)</f>
        <v>1</v>
      </c>
      <c r="K437" s="21">
        <f>Source!S393</f>
        <v>416</v>
      </c>
      <c r="L437" s="21"/>
    </row>
    <row r="438" spans="1:22" ht="14.25" x14ac:dyDescent="0.2">
      <c r="A438" s="18"/>
      <c r="B438" s="18"/>
      <c r="C438" s="18"/>
      <c r="D438" s="18" t="s">
        <v>1107</v>
      </c>
      <c r="E438" s="19"/>
      <c r="F438" s="9"/>
      <c r="G438" s="21">
        <f>Source!AM393</f>
        <v>78.180000000000007</v>
      </c>
      <c r="H438" s="20" t="str">
        <f>Source!DE393</f>
        <v/>
      </c>
      <c r="I438" s="9">
        <f>Source!AV393</f>
        <v>1</v>
      </c>
      <c r="J438" s="9">
        <f>IF(Source!BB393&lt;&gt; 0, Source!BB393, 1)</f>
        <v>1</v>
      </c>
      <c r="K438" s="21">
        <f>Source!Q393</f>
        <v>156.36000000000001</v>
      </c>
      <c r="L438" s="21"/>
    </row>
    <row r="439" spans="1:22" ht="14.25" x14ac:dyDescent="0.2">
      <c r="A439" s="18"/>
      <c r="B439" s="18"/>
      <c r="C439" s="18"/>
      <c r="D439" s="18" t="s">
        <v>1108</v>
      </c>
      <c r="E439" s="19"/>
      <c r="F439" s="9"/>
      <c r="G439" s="21">
        <f>Source!AN393</f>
        <v>49.57</v>
      </c>
      <c r="H439" s="20" t="str">
        <f>Source!DF393</f>
        <v/>
      </c>
      <c r="I439" s="9">
        <f>Source!AV393</f>
        <v>1</v>
      </c>
      <c r="J439" s="9">
        <f>IF(Source!BS393&lt;&gt; 0, Source!BS393, 1)</f>
        <v>1</v>
      </c>
      <c r="K439" s="25">
        <f>Source!R393</f>
        <v>99.14</v>
      </c>
      <c r="L439" s="21"/>
    </row>
    <row r="440" spans="1:22" ht="14.25" x14ac:dyDescent="0.2">
      <c r="A440" s="18"/>
      <c r="B440" s="18"/>
      <c r="C440" s="18"/>
      <c r="D440" s="18" t="s">
        <v>1102</v>
      </c>
      <c r="E440" s="19" t="s">
        <v>1103</v>
      </c>
      <c r="F440" s="9">
        <f>Source!AT393</f>
        <v>70</v>
      </c>
      <c r="G440" s="21"/>
      <c r="H440" s="20"/>
      <c r="I440" s="9"/>
      <c r="J440" s="9"/>
      <c r="K440" s="21">
        <f>SUM(R436:R439)</f>
        <v>291.2</v>
      </c>
      <c r="L440" s="21"/>
    </row>
    <row r="441" spans="1:22" ht="14.25" x14ac:dyDescent="0.2">
      <c r="A441" s="18"/>
      <c r="B441" s="18"/>
      <c r="C441" s="18"/>
      <c r="D441" s="18" t="s">
        <v>1104</v>
      </c>
      <c r="E441" s="19" t="s">
        <v>1103</v>
      </c>
      <c r="F441" s="9">
        <f>Source!AU393</f>
        <v>10</v>
      </c>
      <c r="G441" s="21"/>
      <c r="H441" s="20"/>
      <c r="I441" s="9"/>
      <c r="J441" s="9"/>
      <c r="K441" s="21">
        <f>SUM(T436:T440)</f>
        <v>41.6</v>
      </c>
      <c r="L441" s="21"/>
    </row>
    <row r="442" spans="1:22" ht="14.25" x14ac:dyDescent="0.2">
      <c r="A442" s="18"/>
      <c r="B442" s="18"/>
      <c r="C442" s="18"/>
      <c r="D442" s="18" t="s">
        <v>1109</v>
      </c>
      <c r="E442" s="19" t="s">
        <v>1103</v>
      </c>
      <c r="F442" s="9">
        <f>108</f>
        <v>108</v>
      </c>
      <c r="G442" s="21"/>
      <c r="H442" s="20"/>
      <c r="I442" s="9"/>
      <c r="J442" s="9"/>
      <c r="K442" s="21">
        <f>SUM(V436:V441)</f>
        <v>107.07</v>
      </c>
      <c r="L442" s="21"/>
    </row>
    <row r="443" spans="1:22" ht="14.25" x14ac:dyDescent="0.2">
      <c r="A443" s="18"/>
      <c r="B443" s="18"/>
      <c r="C443" s="18"/>
      <c r="D443" s="18" t="s">
        <v>1105</v>
      </c>
      <c r="E443" s="19" t="s">
        <v>1106</v>
      </c>
      <c r="F443" s="9">
        <f>Source!AQ393</f>
        <v>0.37</v>
      </c>
      <c r="G443" s="21"/>
      <c r="H443" s="20" t="str">
        <f>Source!DI393</f>
        <v/>
      </c>
      <c r="I443" s="9">
        <f>Source!AV393</f>
        <v>1</v>
      </c>
      <c r="J443" s="9"/>
      <c r="K443" s="21"/>
      <c r="L443" s="21">
        <f>Source!U393</f>
        <v>0.74</v>
      </c>
    </row>
    <row r="444" spans="1:22" ht="15" x14ac:dyDescent="0.25">
      <c r="A444" s="23"/>
      <c r="B444" s="23"/>
      <c r="C444" s="23"/>
      <c r="D444" s="23"/>
      <c r="E444" s="23"/>
      <c r="F444" s="23"/>
      <c r="G444" s="23"/>
      <c r="H444" s="23"/>
      <c r="I444" s="23"/>
      <c r="J444" s="44">
        <f>K437+K438+K440+K441+K442</f>
        <v>1012.23</v>
      </c>
      <c r="K444" s="44"/>
      <c r="L444" s="24">
        <f>IF(Source!I393&lt;&gt;0, ROUND(J444/Source!I393, 2), 0)</f>
        <v>506.12</v>
      </c>
      <c r="P444" s="22">
        <f>J444</f>
        <v>1012.23</v>
      </c>
    </row>
    <row r="445" spans="1:22" ht="42.75" x14ac:dyDescent="0.2">
      <c r="A445" s="18">
        <v>45</v>
      </c>
      <c r="B445" s="18">
        <v>45</v>
      </c>
      <c r="C445" s="18" t="str">
        <f>Source!F394</f>
        <v>1.15-2303-5-2/1</v>
      </c>
      <c r="D445" s="18" t="str">
        <f>Source!G394</f>
        <v>Техническое обслуживание фильтров водяных фланцевых сетчатых диаметром до 80 мм</v>
      </c>
      <c r="E445" s="19" t="str">
        <f>Source!H394</f>
        <v>10 шт.</v>
      </c>
      <c r="F445" s="9">
        <f>Source!I394</f>
        <v>0.2</v>
      </c>
      <c r="G445" s="21"/>
      <c r="H445" s="20"/>
      <c r="I445" s="9"/>
      <c r="J445" s="9"/>
      <c r="K445" s="21"/>
      <c r="L445" s="21"/>
      <c r="Q445">
        <f>ROUND((Source!BZ394/100)*ROUND((Source!AF394*Source!AV394)*Source!I394, 2), 2)</f>
        <v>347.87</v>
      </c>
      <c r="R445">
        <f>Source!X394</f>
        <v>347.87</v>
      </c>
      <c r="S445">
        <f>ROUND((Source!CA394/100)*ROUND((Source!AF394*Source!AV394)*Source!I394, 2), 2)</f>
        <v>49.7</v>
      </c>
      <c r="T445">
        <f>Source!Y394</f>
        <v>49.7</v>
      </c>
      <c r="U445">
        <f>ROUND((175/100)*ROUND((Source!AE394*Source!AV394)*Source!I394, 2), 2)</f>
        <v>0</v>
      </c>
      <c r="V445">
        <f>ROUND((108/100)*ROUND(Source!CS394*Source!I394, 2), 2)</f>
        <v>0</v>
      </c>
    </row>
    <row r="446" spans="1:22" x14ac:dyDescent="0.2">
      <c r="D446" s="28" t="str">
        <f>"Объем: "&amp;Source!I394&amp;"=2/"&amp;"10"</f>
        <v>Объем: 0,2=2/10</v>
      </c>
    </row>
    <row r="447" spans="1:22" ht="14.25" x14ac:dyDescent="0.2">
      <c r="A447" s="18"/>
      <c r="B447" s="18"/>
      <c r="C447" s="18"/>
      <c r="D447" s="18" t="s">
        <v>1100</v>
      </c>
      <c r="E447" s="19"/>
      <c r="F447" s="9"/>
      <c r="G447" s="21">
        <f>Source!AO394</f>
        <v>2484.79</v>
      </c>
      <c r="H447" s="20" t="str">
        <f>Source!DG394</f>
        <v/>
      </c>
      <c r="I447" s="9">
        <f>Source!AV394</f>
        <v>1</v>
      </c>
      <c r="J447" s="9">
        <f>IF(Source!BA394&lt;&gt; 0, Source!BA394, 1)</f>
        <v>1</v>
      </c>
      <c r="K447" s="21">
        <f>Source!S394</f>
        <v>496.96</v>
      </c>
      <c r="L447" s="21"/>
    </row>
    <row r="448" spans="1:22" ht="14.25" x14ac:dyDescent="0.2">
      <c r="A448" s="18"/>
      <c r="B448" s="18"/>
      <c r="C448" s="18"/>
      <c r="D448" s="18" t="s">
        <v>1101</v>
      </c>
      <c r="E448" s="19"/>
      <c r="F448" s="9"/>
      <c r="G448" s="21">
        <f>Source!AL394</f>
        <v>0.5</v>
      </c>
      <c r="H448" s="20" t="str">
        <f>Source!DD394</f>
        <v/>
      </c>
      <c r="I448" s="9">
        <f>Source!AW394</f>
        <v>1</v>
      </c>
      <c r="J448" s="9">
        <f>IF(Source!BC394&lt;&gt; 0, Source!BC394, 1)</f>
        <v>1</v>
      </c>
      <c r="K448" s="21">
        <f>Source!P394</f>
        <v>0.1</v>
      </c>
      <c r="L448" s="21"/>
    </row>
    <row r="449" spans="1:22" ht="57" x14ac:dyDescent="0.2">
      <c r="A449" s="18" t="s">
        <v>315</v>
      </c>
      <c r="B449" s="18" t="s">
        <v>315</v>
      </c>
      <c r="C449" s="18" t="str">
        <f>Source!F395</f>
        <v>21.26-1-111</v>
      </c>
      <c r="D449" s="18" t="str">
        <f>Source!G395</f>
        <v>Прокладки из терморасширенного графита для обслуживания фильтра сетчатого чугунного фланцевого диаметром 80 мм</v>
      </c>
      <c r="E449" s="19" t="str">
        <f>Source!H395</f>
        <v>шт.</v>
      </c>
      <c r="F449" s="9">
        <f>Source!I395</f>
        <v>2</v>
      </c>
      <c r="G449" s="21">
        <f>Source!AK395</f>
        <v>246.34</v>
      </c>
      <c r="H449" s="30" t="s">
        <v>3</v>
      </c>
      <c r="I449" s="9">
        <f>Source!AW395</f>
        <v>1</v>
      </c>
      <c r="J449" s="9">
        <f>IF(Source!BC395&lt;&gt; 0, Source!BC395, 1)</f>
        <v>1</v>
      </c>
      <c r="K449" s="21">
        <f>Source!O395</f>
        <v>492.68</v>
      </c>
      <c r="L449" s="21"/>
      <c r="Q449">
        <f>ROUND((Source!BZ395/100)*ROUND((Source!AF395*Source!AV395)*Source!I395, 2), 2)</f>
        <v>0</v>
      </c>
      <c r="R449">
        <f>Source!X395</f>
        <v>0</v>
      </c>
      <c r="S449">
        <f>ROUND((Source!CA395/100)*ROUND((Source!AF395*Source!AV395)*Source!I395, 2), 2)</f>
        <v>0</v>
      </c>
      <c r="T449">
        <f>Source!Y395</f>
        <v>0</v>
      </c>
      <c r="U449">
        <f>ROUND((175/100)*ROUND((Source!AE395*Source!AV395)*Source!I395, 2), 2)</f>
        <v>0</v>
      </c>
      <c r="V449">
        <f>ROUND((108/100)*ROUND(Source!CS395*Source!I395, 2), 2)</f>
        <v>0</v>
      </c>
    </row>
    <row r="450" spans="1:22" ht="14.25" x14ac:dyDescent="0.2">
      <c r="A450" s="18"/>
      <c r="B450" s="18"/>
      <c r="C450" s="18"/>
      <c r="D450" s="18" t="s">
        <v>1102</v>
      </c>
      <c r="E450" s="19" t="s">
        <v>1103</v>
      </c>
      <c r="F450" s="9">
        <f>Source!AT394</f>
        <v>70</v>
      </c>
      <c r="G450" s="21"/>
      <c r="H450" s="20"/>
      <c r="I450" s="9"/>
      <c r="J450" s="9"/>
      <c r="K450" s="21">
        <f>SUM(R445:R449)</f>
        <v>347.87</v>
      </c>
      <c r="L450" s="21"/>
    </row>
    <row r="451" spans="1:22" ht="14.25" x14ac:dyDescent="0.2">
      <c r="A451" s="18"/>
      <c r="B451" s="18"/>
      <c r="C451" s="18"/>
      <c r="D451" s="18" t="s">
        <v>1104</v>
      </c>
      <c r="E451" s="19" t="s">
        <v>1103</v>
      </c>
      <c r="F451" s="9">
        <f>Source!AU394</f>
        <v>10</v>
      </c>
      <c r="G451" s="21"/>
      <c r="H451" s="20"/>
      <c r="I451" s="9"/>
      <c r="J451" s="9"/>
      <c r="K451" s="21">
        <f>SUM(T445:T450)</f>
        <v>49.7</v>
      </c>
      <c r="L451" s="21"/>
    </row>
    <row r="452" spans="1:22" ht="14.25" x14ac:dyDescent="0.2">
      <c r="A452" s="18"/>
      <c r="B452" s="18"/>
      <c r="C452" s="18"/>
      <c r="D452" s="18" t="s">
        <v>1105</v>
      </c>
      <c r="E452" s="19" t="s">
        <v>1106</v>
      </c>
      <c r="F452" s="9">
        <f>Source!AQ394</f>
        <v>4.42</v>
      </c>
      <c r="G452" s="21"/>
      <c r="H452" s="20" t="str">
        <f>Source!DI394</f>
        <v/>
      </c>
      <c r="I452" s="9">
        <f>Source!AV394</f>
        <v>1</v>
      </c>
      <c r="J452" s="9"/>
      <c r="K452" s="21"/>
      <c r="L452" s="21">
        <f>Source!U394</f>
        <v>0.88400000000000001</v>
      </c>
    </row>
    <row r="453" spans="1:22" ht="15" x14ac:dyDescent="0.25">
      <c r="A453" s="23"/>
      <c r="B453" s="23"/>
      <c r="C453" s="23"/>
      <c r="D453" s="23"/>
      <c r="E453" s="23"/>
      <c r="F453" s="23"/>
      <c r="G453" s="23"/>
      <c r="H453" s="23"/>
      <c r="I453" s="23"/>
      <c r="J453" s="44">
        <f>K447+K448+K450+K451+SUM(K449:K449)</f>
        <v>1387.3100000000002</v>
      </c>
      <c r="K453" s="44"/>
      <c r="L453" s="24">
        <f>IF(Source!I394&lt;&gt;0, ROUND(J453/Source!I394, 2), 0)</f>
        <v>6936.55</v>
      </c>
      <c r="P453" s="22">
        <f>J453</f>
        <v>1387.3100000000002</v>
      </c>
    </row>
    <row r="454" spans="1:22" ht="71.25" x14ac:dyDescent="0.2">
      <c r="A454" s="18">
        <v>46</v>
      </c>
      <c r="B454" s="18">
        <v>46</v>
      </c>
      <c r="C454" s="18" t="str">
        <f>Source!F396</f>
        <v>1.15-2203-9-2/1</v>
      </c>
      <c r="D454" s="18" t="str">
        <f>Source!G396</f>
        <v>Техническое обслуживание клапанов обратных фланцевых диаметром 100-150 мм /Клапан обратный межфланцевый Ду65 Ру16 Гранлок  ООО «Термаль 31»</v>
      </c>
      <c r="E454" s="19" t="str">
        <f>Source!H396</f>
        <v>шт.</v>
      </c>
      <c r="F454" s="9">
        <f>Source!I396</f>
        <v>1</v>
      </c>
      <c r="G454" s="21"/>
      <c r="H454" s="20"/>
      <c r="I454" s="9"/>
      <c r="J454" s="9"/>
      <c r="K454" s="21"/>
      <c r="L454" s="21"/>
      <c r="Q454">
        <f>ROUND((Source!BZ396/100)*ROUND((Source!AF396*Source!AV396)*Source!I396, 2), 2)</f>
        <v>86.57</v>
      </c>
      <c r="R454">
        <f>Source!X396</f>
        <v>86.57</v>
      </c>
      <c r="S454">
        <f>ROUND((Source!CA396/100)*ROUND((Source!AF396*Source!AV396)*Source!I396, 2), 2)</f>
        <v>12.37</v>
      </c>
      <c r="T454">
        <f>Source!Y396</f>
        <v>12.37</v>
      </c>
      <c r="U454">
        <f>ROUND((175/100)*ROUND((Source!AE396*Source!AV396)*Source!I396, 2), 2)</f>
        <v>0</v>
      </c>
      <c r="V454">
        <f>ROUND((108/100)*ROUND(Source!CS396*Source!I396, 2), 2)</f>
        <v>0</v>
      </c>
    </row>
    <row r="455" spans="1:22" ht="14.25" x14ac:dyDescent="0.2">
      <c r="A455" s="18"/>
      <c r="B455" s="18"/>
      <c r="C455" s="18"/>
      <c r="D455" s="18" t="s">
        <v>1100</v>
      </c>
      <c r="E455" s="19"/>
      <c r="F455" s="9"/>
      <c r="G455" s="21">
        <f>Source!AO396</f>
        <v>123.67</v>
      </c>
      <c r="H455" s="20" t="str">
        <f>Source!DG396</f>
        <v/>
      </c>
      <c r="I455" s="9">
        <f>Source!AV396</f>
        <v>1</v>
      </c>
      <c r="J455" s="9">
        <f>IF(Source!BA396&lt;&gt; 0, Source!BA396, 1)</f>
        <v>1</v>
      </c>
      <c r="K455" s="21">
        <f>Source!S396</f>
        <v>123.67</v>
      </c>
      <c r="L455" s="21"/>
    </row>
    <row r="456" spans="1:22" ht="14.25" x14ac:dyDescent="0.2">
      <c r="A456" s="18"/>
      <c r="B456" s="18"/>
      <c r="C456" s="18"/>
      <c r="D456" s="18" t="s">
        <v>1101</v>
      </c>
      <c r="E456" s="19"/>
      <c r="F456" s="9"/>
      <c r="G456" s="21">
        <f>Source!AL396</f>
        <v>0.63</v>
      </c>
      <c r="H456" s="20" t="str">
        <f>Source!DD396</f>
        <v/>
      </c>
      <c r="I456" s="9">
        <f>Source!AW396</f>
        <v>1</v>
      </c>
      <c r="J456" s="9">
        <f>IF(Source!BC396&lt;&gt; 0, Source!BC396, 1)</f>
        <v>1</v>
      </c>
      <c r="K456" s="21">
        <f>Source!P396</f>
        <v>0.63</v>
      </c>
      <c r="L456" s="21"/>
    </row>
    <row r="457" spans="1:22" ht="14.25" x14ac:dyDescent="0.2">
      <c r="A457" s="18"/>
      <c r="B457" s="18"/>
      <c r="C457" s="18"/>
      <c r="D457" s="18" t="s">
        <v>1102</v>
      </c>
      <c r="E457" s="19" t="s">
        <v>1103</v>
      </c>
      <c r="F457" s="9">
        <f>Source!AT396</f>
        <v>70</v>
      </c>
      <c r="G457" s="21"/>
      <c r="H457" s="20"/>
      <c r="I457" s="9"/>
      <c r="J457" s="9"/>
      <c r="K457" s="21">
        <f>SUM(R454:R456)</f>
        <v>86.57</v>
      </c>
      <c r="L457" s="21"/>
    </row>
    <row r="458" spans="1:22" ht="14.25" x14ac:dyDescent="0.2">
      <c r="A458" s="18"/>
      <c r="B458" s="18"/>
      <c r="C458" s="18"/>
      <c r="D458" s="18" t="s">
        <v>1104</v>
      </c>
      <c r="E458" s="19" t="s">
        <v>1103</v>
      </c>
      <c r="F458" s="9">
        <f>Source!AU396</f>
        <v>10</v>
      </c>
      <c r="G458" s="21"/>
      <c r="H458" s="20"/>
      <c r="I458" s="9"/>
      <c r="J458" s="9"/>
      <c r="K458" s="21">
        <f>SUM(T454:T457)</f>
        <v>12.37</v>
      </c>
      <c r="L458" s="21"/>
    </row>
    <row r="459" spans="1:22" ht="14.25" x14ac:dyDescent="0.2">
      <c r="A459" s="18"/>
      <c r="B459" s="18"/>
      <c r="C459" s="18"/>
      <c r="D459" s="18" t="s">
        <v>1105</v>
      </c>
      <c r="E459" s="19" t="s">
        <v>1106</v>
      </c>
      <c r="F459" s="9">
        <f>Source!AQ396</f>
        <v>0.22</v>
      </c>
      <c r="G459" s="21"/>
      <c r="H459" s="20" t="str">
        <f>Source!DI396</f>
        <v/>
      </c>
      <c r="I459" s="9">
        <f>Source!AV396</f>
        <v>1</v>
      </c>
      <c r="J459" s="9"/>
      <c r="K459" s="21"/>
      <c r="L459" s="21">
        <f>Source!U396</f>
        <v>0.22</v>
      </c>
    </row>
    <row r="460" spans="1:22" ht="15" x14ac:dyDescent="0.25">
      <c r="A460" s="23"/>
      <c r="B460" s="23"/>
      <c r="C460" s="23"/>
      <c r="D460" s="23"/>
      <c r="E460" s="23"/>
      <c r="F460" s="23"/>
      <c r="G460" s="23"/>
      <c r="H460" s="23"/>
      <c r="I460" s="23"/>
      <c r="J460" s="44">
        <f>K455+K456+K457+K458</f>
        <v>223.24</v>
      </c>
      <c r="K460" s="44"/>
      <c r="L460" s="24">
        <f>IF(Source!I396&lt;&gt;0, ROUND(J460/Source!I396, 2), 0)</f>
        <v>223.24</v>
      </c>
      <c r="P460" s="22">
        <f>J460</f>
        <v>223.24</v>
      </c>
    </row>
    <row r="461" spans="1:22" ht="85.5" x14ac:dyDescent="0.2">
      <c r="A461" s="18">
        <v>47</v>
      </c>
      <c r="B461" s="18">
        <v>47</v>
      </c>
      <c r="C461" s="18" t="str">
        <f>Source!F397</f>
        <v>1.23-2303-5-1/1</v>
      </c>
      <c r="D461" s="18" t="str">
        <f>Source!G397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</v>
      </c>
      <c r="E461" s="19" t="str">
        <f>Source!H397</f>
        <v>шт.</v>
      </c>
      <c r="F461" s="9">
        <f>Source!I397</f>
        <v>1</v>
      </c>
      <c r="G461" s="21"/>
      <c r="H461" s="20"/>
      <c r="I461" s="9"/>
      <c r="J461" s="9"/>
      <c r="K461" s="21"/>
      <c r="L461" s="21"/>
      <c r="Q461">
        <f>ROUND((Source!BZ397/100)*ROUND((Source!AF397*Source!AV397)*Source!I397, 2), 2)</f>
        <v>1142.04</v>
      </c>
      <c r="R461">
        <f>Source!X397</f>
        <v>1142.04</v>
      </c>
      <c r="S461">
        <f>ROUND((Source!CA397/100)*ROUND((Source!AF397*Source!AV397)*Source!I397, 2), 2)</f>
        <v>163.15</v>
      </c>
      <c r="T461">
        <f>Source!Y397</f>
        <v>163.15</v>
      </c>
      <c r="U461">
        <f>ROUND((175/100)*ROUND((Source!AE397*Source!AV397)*Source!I397, 2), 2)</f>
        <v>0</v>
      </c>
      <c r="V461">
        <f>ROUND((108/100)*ROUND(Source!CS397*Source!I397, 2), 2)</f>
        <v>0</v>
      </c>
    </row>
    <row r="462" spans="1:22" ht="14.25" x14ac:dyDescent="0.2">
      <c r="A462" s="18"/>
      <c r="B462" s="18"/>
      <c r="C462" s="18"/>
      <c r="D462" s="18" t="s">
        <v>1100</v>
      </c>
      <c r="E462" s="19"/>
      <c r="F462" s="9"/>
      <c r="G462" s="21">
        <f>Source!AO397</f>
        <v>815.74</v>
      </c>
      <c r="H462" s="20" t="str">
        <f>Source!DG397</f>
        <v>)*2</v>
      </c>
      <c r="I462" s="9">
        <f>Source!AV397</f>
        <v>1</v>
      </c>
      <c r="J462" s="9">
        <f>IF(Source!BA397&lt;&gt; 0, Source!BA397, 1)</f>
        <v>1</v>
      </c>
      <c r="K462" s="21">
        <f>Source!S397</f>
        <v>1631.48</v>
      </c>
      <c r="L462" s="21"/>
    </row>
    <row r="463" spans="1:22" ht="14.25" x14ac:dyDescent="0.2">
      <c r="A463" s="18"/>
      <c r="B463" s="18"/>
      <c r="C463" s="18"/>
      <c r="D463" s="18" t="s">
        <v>1102</v>
      </c>
      <c r="E463" s="19" t="s">
        <v>1103</v>
      </c>
      <c r="F463" s="9">
        <f>Source!AT397</f>
        <v>70</v>
      </c>
      <c r="G463" s="21"/>
      <c r="H463" s="20"/>
      <c r="I463" s="9"/>
      <c r="J463" s="9"/>
      <c r="K463" s="21">
        <f>SUM(R461:R462)</f>
        <v>1142.04</v>
      </c>
      <c r="L463" s="21"/>
    </row>
    <row r="464" spans="1:22" ht="14.25" x14ac:dyDescent="0.2">
      <c r="A464" s="18"/>
      <c r="B464" s="18"/>
      <c r="C464" s="18"/>
      <c r="D464" s="18" t="s">
        <v>1104</v>
      </c>
      <c r="E464" s="19" t="s">
        <v>1103</v>
      </c>
      <c r="F464" s="9">
        <f>Source!AU397</f>
        <v>10</v>
      </c>
      <c r="G464" s="21"/>
      <c r="H464" s="20"/>
      <c r="I464" s="9"/>
      <c r="J464" s="9"/>
      <c r="K464" s="21">
        <f>SUM(T461:T463)</f>
        <v>163.15</v>
      </c>
      <c r="L464" s="21"/>
    </row>
    <row r="465" spans="1:22" ht="14.25" x14ac:dyDescent="0.2">
      <c r="A465" s="18"/>
      <c r="B465" s="18"/>
      <c r="C465" s="18"/>
      <c r="D465" s="18" t="s">
        <v>1105</v>
      </c>
      <c r="E465" s="19" t="s">
        <v>1106</v>
      </c>
      <c r="F465" s="9">
        <f>Source!AQ397</f>
        <v>1.06</v>
      </c>
      <c r="G465" s="21"/>
      <c r="H465" s="20" t="str">
        <f>Source!DI397</f>
        <v>)*2</v>
      </c>
      <c r="I465" s="9">
        <f>Source!AV397</f>
        <v>1</v>
      </c>
      <c r="J465" s="9"/>
      <c r="K465" s="21"/>
      <c r="L465" s="21">
        <f>Source!U397</f>
        <v>2.12</v>
      </c>
    </row>
    <row r="466" spans="1:22" ht="15" x14ac:dyDescent="0.25">
      <c r="A466" s="23"/>
      <c r="B466" s="23"/>
      <c r="C466" s="23"/>
      <c r="D466" s="23"/>
      <c r="E466" s="23"/>
      <c r="F466" s="23"/>
      <c r="G466" s="23"/>
      <c r="H466" s="23"/>
      <c r="I466" s="23"/>
      <c r="J466" s="44">
        <f>K462+K463+K464</f>
        <v>2936.67</v>
      </c>
      <c r="K466" s="44"/>
      <c r="L466" s="24">
        <f>IF(Source!I397&lt;&gt;0, ROUND(J466/Source!I397, 2), 0)</f>
        <v>2936.67</v>
      </c>
      <c r="P466" s="22">
        <f>J466</f>
        <v>2936.67</v>
      </c>
    </row>
    <row r="467" spans="1:22" ht="42.75" x14ac:dyDescent="0.2">
      <c r="A467" s="18">
        <v>48</v>
      </c>
      <c r="B467" s="18">
        <v>48</v>
      </c>
      <c r="C467" s="18" t="str">
        <f>Source!F398</f>
        <v>1.23-2103-18-1/1</v>
      </c>
      <c r="D467" s="18" t="str">
        <f>Source!G398</f>
        <v>Техническое обслуживание термометра биметаллического, дилатометрического</v>
      </c>
      <c r="E467" s="19" t="str">
        <f>Source!H398</f>
        <v>шт.</v>
      </c>
      <c r="F467" s="9">
        <f>Source!I398</f>
        <v>4</v>
      </c>
      <c r="G467" s="21"/>
      <c r="H467" s="20"/>
      <c r="I467" s="9"/>
      <c r="J467" s="9"/>
      <c r="K467" s="21"/>
      <c r="L467" s="21"/>
      <c r="Q467">
        <f>ROUND((Source!BZ398/100)*ROUND((Source!AF398*Source!AV398)*Source!I398, 2), 2)</f>
        <v>1231.94</v>
      </c>
      <c r="R467">
        <f>Source!X398</f>
        <v>1231.94</v>
      </c>
      <c r="S467">
        <f>ROUND((Source!CA398/100)*ROUND((Source!AF398*Source!AV398)*Source!I398, 2), 2)</f>
        <v>175.99</v>
      </c>
      <c r="T467">
        <f>Source!Y398</f>
        <v>175.99</v>
      </c>
      <c r="U467">
        <f>ROUND((175/100)*ROUND((Source!AE398*Source!AV398)*Source!I398, 2), 2)</f>
        <v>0</v>
      </c>
      <c r="V467">
        <f>ROUND((108/100)*ROUND(Source!CS398*Source!I398, 2), 2)</f>
        <v>0</v>
      </c>
    </row>
    <row r="468" spans="1:22" ht="14.25" x14ac:dyDescent="0.2">
      <c r="A468" s="18"/>
      <c r="B468" s="18"/>
      <c r="C468" s="18"/>
      <c r="D468" s="18" t="s">
        <v>1100</v>
      </c>
      <c r="E468" s="19"/>
      <c r="F468" s="9"/>
      <c r="G468" s="21">
        <f>Source!AO398</f>
        <v>219.99</v>
      </c>
      <c r="H468" s="20" t="str">
        <f>Source!DG398</f>
        <v>)*2</v>
      </c>
      <c r="I468" s="9">
        <f>Source!AV398</f>
        <v>1</v>
      </c>
      <c r="J468" s="9">
        <f>IF(Source!BA398&lt;&gt; 0, Source!BA398, 1)</f>
        <v>1</v>
      </c>
      <c r="K468" s="21">
        <f>Source!S398</f>
        <v>1759.92</v>
      </c>
      <c r="L468" s="21"/>
    </row>
    <row r="469" spans="1:22" ht="14.25" x14ac:dyDescent="0.2">
      <c r="A469" s="18"/>
      <c r="B469" s="18"/>
      <c r="C469" s="18"/>
      <c r="D469" s="18" t="s">
        <v>1101</v>
      </c>
      <c r="E469" s="19"/>
      <c r="F469" s="9"/>
      <c r="G469" s="21">
        <f>Source!AL398</f>
        <v>19.14</v>
      </c>
      <c r="H469" s="20" t="str">
        <f>Source!DD398</f>
        <v>)*2</v>
      </c>
      <c r="I469" s="9">
        <f>Source!AW398</f>
        <v>1</v>
      </c>
      <c r="J469" s="9">
        <f>IF(Source!BC398&lt;&gt; 0, Source!BC398, 1)</f>
        <v>1</v>
      </c>
      <c r="K469" s="21">
        <f>Source!P398</f>
        <v>153.12</v>
      </c>
      <c r="L469" s="21"/>
    </row>
    <row r="470" spans="1:22" ht="14.25" x14ac:dyDescent="0.2">
      <c r="A470" s="18"/>
      <c r="B470" s="18"/>
      <c r="C470" s="18"/>
      <c r="D470" s="18" t="s">
        <v>1102</v>
      </c>
      <c r="E470" s="19" t="s">
        <v>1103</v>
      </c>
      <c r="F470" s="9">
        <f>Source!AT398</f>
        <v>70</v>
      </c>
      <c r="G470" s="21"/>
      <c r="H470" s="20"/>
      <c r="I470" s="9"/>
      <c r="J470" s="9"/>
      <c r="K470" s="21">
        <f>SUM(R467:R469)</f>
        <v>1231.94</v>
      </c>
      <c r="L470" s="21"/>
    </row>
    <row r="471" spans="1:22" ht="14.25" x14ac:dyDescent="0.2">
      <c r="A471" s="18"/>
      <c r="B471" s="18"/>
      <c r="C471" s="18"/>
      <c r="D471" s="18" t="s">
        <v>1104</v>
      </c>
      <c r="E471" s="19" t="s">
        <v>1103</v>
      </c>
      <c r="F471" s="9">
        <f>Source!AU398</f>
        <v>10</v>
      </c>
      <c r="G471" s="21"/>
      <c r="H471" s="20"/>
      <c r="I471" s="9"/>
      <c r="J471" s="9"/>
      <c r="K471" s="21">
        <f>SUM(T467:T470)</f>
        <v>175.99</v>
      </c>
      <c r="L471" s="21"/>
    </row>
    <row r="472" spans="1:22" ht="14.25" x14ac:dyDescent="0.2">
      <c r="A472" s="18"/>
      <c r="B472" s="18"/>
      <c r="C472" s="18"/>
      <c r="D472" s="18" t="s">
        <v>1105</v>
      </c>
      <c r="E472" s="19" t="s">
        <v>1106</v>
      </c>
      <c r="F472" s="9">
        <f>Source!AQ398</f>
        <v>0.31</v>
      </c>
      <c r="G472" s="21"/>
      <c r="H472" s="20" t="str">
        <f>Source!DI398</f>
        <v>)*2</v>
      </c>
      <c r="I472" s="9">
        <f>Source!AV398</f>
        <v>1</v>
      </c>
      <c r="J472" s="9"/>
      <c r="K472" s="21"/>
      <c r="L472" s="21">
        <f>Source!U398</f>
        <v>2.48</v>
      </c>
    </row>
    <row r="473" spans="1:22" ht="15" x14ac:dyDescent="0.25">
      <c r="A473" s="23"/>
      <c r="B473" s="23"/>
      <c r="C473" s="23"/>
      <c r="D473" s="23"/>
      <c r="E473" s="23"/>
      <c r="F473" s="23"/>
      <c r="G473" s="23"/>
      <c r="H473" s="23"/>
      <c r="I473" s="23"/>
      <c r="J473" s="44">
        <f>K468+K469+K470+K471</f>
        <v>3320.9700000000003</v>
      </c>
      <c r="K473" s="44"/>
      <c r="L473" s="24">
        <f>IF(Source!I398&lt;&gt;0, ROUND(J473/Source!I398, 2), 0)</f>
        <v>830.24</v>
      </c>
      <c r="P473" s="22">
        <f>J473</f>
        <v>3320.9700000000003</v>
      </c>
    </row>
    <row r="474" spans="1:22" ht="42.75" x14ac:dyDescent="0.2">
      <c r="A474" s="18">
        <v>49</v>
      </c>
      <c r="B474" s="18">
        <v>49</v>
      </c>
      <c r="C474" s="18" t="str">
        <f>Source!F402</f>
        <v>1.15-2203-7-1/1</v>
      </c>
      <c r="D474" s="18" t="str">
        <f>Source!G402</f>
        <v>Техническое обслуживание крана шарового латунного никелированного диаметром до 25 мм</v>
      </c>
      <c r="E474" s="19" t="str">
        <f>Source!H402</f>
        <v>10 шт.</v>
      </c>
      <c r="F474" s="9">
        <f>Source!I402</f>
        <v>0.2</v>
      </c>
      <c r="G474" s="21"/>
      <c r="H474" s="20"/>
      <c r="I474" s="9"/>
      <c r="J474" s="9"/>
      <c r="K474" s="21"/>
      <c r="L474" s="21"/>
      <c r="Q474">
        <f>ROUND((Source!BZ402/100)*ROUND((Source!AF402*Source!AV402)*Source!I402, 2), 2)</f>
        <v>38.9</v>
      </c>
      <c r="R474">
        <f>Source!X402</f>
        <v>38.9</v>
      </c>
      <c r="S474">
        <f>ROUND((Source!CA402/100)*ROUND((Source!AF402*Source!AV402)*Source!I402, 2), 2)</f>
        <v>5.56</v>
      </c>
      <c r="T474">
        <f>Source!Y402</f>
        <v>5.56</v>
      </c>
      <c r="U474">
        <f>ROUND((175/100)*ROUND((Source!AE402*Source!AV402)*Source!I402, 2), 2)</f>
        <v>0</v>
      </c>
      <c r="V474">
        <f>ROUND((108/100)*ROUND(Source!CS402*Source!I402, 2), 2)</f>
        <v>0</v>
      </c>
    </row>
    <row r="475" spans="1:22" x14ac:dyDescent="0.2">
      <c r="D475" s="28" t="str">
        <f>"Объем: "&amp;Source!I402&amp;"=2/"&amp;"10"</f>
        <v>Объем: 0,2=2/10</v>
      </c>
    </row>
    <row r="476" spans="1:22" ht="14.25" x14ac:dyDescent="0.2">
      <c r="A476" s="18"/>
      <c r="B476" s="18"/>
      <c r="C476" s="18"/>
      <c r="D476" s="18" t="s">
        <v>1100</v>
      </c>
      <c r="E476" s="19"/>
      <c r="F476" s="9"/>
      <c r="G476" s="21">
        <f>Source!AO402</f>
        <v>277.87</v>
      </c>
      <c r="H476" s="20" t="str">
        <f>Source!DG402</f>
        <v/>
      </c>
      <c r="I476" s="9">
        <f>Source!AV402</f>
        <v>1</v>
      </c>
      <c r="J476" s="9">
        <f>IF(Source!BA402&lt;&gt; 0, Source!BA402, 1)</f>
        <v>1</v>
      </c>
      <c r="K476" s="21">
        <f>Source!S402</f>
        <v>55.57</v>
      </c>
      <c r="L476" s="21"/>
    </row>
    <row r="477" spans="1:22" ht="14.25" x14ac:dyDescent="0.2">
      <c r="A477" s="18"/>
      <c r="B477" s="18"/>
      <c r="C477" s="18"/>
      <c r="D477" s="18" t="s">
        <v>1102</v>
      </c>
      <c r="E477" s="19" t="s">
        <v>1103</v>
      </c>
      <c r="F477" s="9">
        <f>Source!AT402</f>
        <v>70</v>
      </c>
      <c r="G477" s="21"/>
      <c r="H477" s="20"/>
      <c r="I477" s="9"/>
      <c r="J477" s="9"/>
      <c r="K477" s="21">
        <f>SUM(R474:R476)</f>
        <v>38.9</v>
      </c>
      <c r="L477" s="21"/>
    </row>
    <row r="478" spans="1:22" ht="14.25" x14ac:dyDescent="0.2">
      <c r="A478" s="18"/>
      <c r="B478" s="18"/>
      <c r="C478" s="18"/>
      <c r="D478" s="18" t="s">
        <v>1104</v>
      </c>
      <c r="E478" s="19" t="s">
        <v>1103</v>
      </c>
      <c r="F478" s="9">
        <f>Source!AU402</f>
        <v>10</v>
      </c>
      <c r="G478" s="21"/>
      <c r="H478" s="20"/>
      <c r="I478" s="9"/>
      <c r="J478" s="9"/>
      <c r="K478" s="21">
        <f>SUM(T474:T477)</f>
        <v>5.56</v>
      </c>
      <c r="L478" s="21"/>
    </row>
    <row r="479" spans="1:22" ht="14.25" x14ac:dyDescent="0.2">
      <c r="A479" s="18"/>
      <c r="B479" s="18"/>
      <c r="C479" s="18"/>
      <c r="D479" s="18" t="s">
        <v>1105</v>
      </c>
      <c r="E479" s="19" t="s">
        <v>1106</v>
      </c>
      <c r="F479" s="9">
        <f>Source!AQ402</f>
        <v>0.45</v>
      </c>
      <c r="G479" s="21"/>
      <c r="H479" s="20" t="str">
        <f>Source!DI402</f>
        <v/>
      </c>
      <c r="I479" s="9">
        <f>Source!AV402</f>
        <v>1</v>
      </c>
      <c r="J479" s="9"/>
      <c r="K479" s="21"/>
      <c r="L479" s="21">
        <f>Source!U402</f>
        <v>9.0000000000000011E-2</v>
      </c>
    </row>
    <row r="480" spans="1:22" ht="15" x14ac:dyDescent="0.25">
      <c r="A480" s="23"/>
      <c r="B480" s="23"/>
      <c r="C480" s="23"/>
      <c r="D480" s="23"/>
      <c r="E480" s="23"/>
      <c r="F480" s="23"/>
      <c r="G480" s="23"/>
      <c r="H480" s="23"/>
      <c r="I480" s="23"/>
      <c r="J480" s="44">
        <f>K476+K477+K478</f>
        <v>100.03</v>
      </c>
      <c r="K480" s="44"/>
      <c r="L480" s="24">
        <f>IF(Source!I402&lt;&gt;0, ROUND(J480/Source!I402, 2), 0)</f>
        <v>500.15</v>
      </c>
      <c r="P480" s="22">
        <f>J480</f>
        <v>100.03</v>
      </c>
    </row>
    <row r="481" spans="1:22" ht="42.75" x14ac:dyDescent="0.2">
      <c r="A481" s="18">
        <v>50</v>
      </c>
      <c r="B481" s="18">
        <v>50</v>
      </c>
      <c r="C481" s="18" t="str">
        <f>Source!F403</f>
        <v>1.15-2203-7-2/1</v>
      </c>
      <c r="D481" s="18" t="str">
        <f>Source!G403</f>
        <v>Техническое обслуживание крана шарового латунного никелированного диаметром до 50 мм</v>
      </c>
      <c r="E481" s="19" t="str">
        <f>Source!H403</f>
        <v>10 шт.</v>
      </c>
      <c r="F481" s="9">
        <f>Source!I403</f>
        <v>0.2</v>
      </c>
      <c r="G481" s="21"/>
      <c r="H481" s="20"/>
      <c r="I481" s="9"/>
      <c r="J481" s="9"/>
      <c r="K481" s="21"/>
      <c r="L481" s="21"/>
      <c r="Q481">
        <f>ROUND((Source!BZ403/100)*ROUND((Source!AF403*Source!AV403)*Source!I403, 2), 2)</f>
        <v>52.73</v>
      </c>
      <c r="R481">
        <f>Source!X403</f>
        <v>52.73</v>
      </c>
      <c r="S481">
        <f>ROUND((Source!CA403/100)*ROUND((Source!AF403*Source!AV403)*Source!I403, 2), 2)</f>
        <v>7.53</v>
      </c>
      <c r="T481">
        <f>Source!Y403</f>
        <v>7.53</v>
      </c>
      <c r="U481">
        <f>ROUND((175/100)*ROUND((Source!AE403*Source!AV403)*Source!I403, 2), 2)</f>
        <v>0</v>
      </c>
      <c r="V481">
        <f>ROUND((108/100)*ROUND(Source!CS403*Source!I403, 2), 2)</f>
        <v>0</v>
      </c>
    </row>
    <row r="482" spans="1:22" x14ac:dyDescent="0.2">
      <c r="D482" s="28" t="str">
        <f>"Объем: "&amp;Source!I403&amp;"=2/"&amp;"10"</f>
        <v>Объем: 0,2=2/10</v>
      </c>
    </row>
    <row r="483" spans="1:22" ht="14.25" x14ac:dyDescent="0.2">
      <c r="A483" s="18"/>
      <c r="B483" s="18"/>
      <c r="C483" s="18"/>
      <c r="D483" s="18" t="s">
        <v>1100</v>
      </c>
      <c r="E483" s="19"/>
      <c r="F483" s="9"/>
      <c r="G483" s="21">
        <f>Source!AO403</f>
        <v>376.67</v>
      </c>
      <c r="H483" s="20" t="str">
        <f>Source!DG403</f>
        <v/>
      </c>
      <c r="I483" s="9">
        <f>Source!AV403</f>
        <v>1</v>
      </c>
      <c r="J483" s="9">
        <f>IF(Source!BA403&lt;&gt; 0, Source!BA403, 1)</f>
        <v>1</v>
      </c>
      <c r="K483" s="21">
        <f>Source!S403</f>
        <v>75.33</v>
      </c>
      <c r="L483" s="21"/>
    </row>
    <row r="484" spans="1:22" ht="14.25" x14ac:dyDescent="0.2">
      <c r="A484" s="18"/>
      <c r="B484" s="18"/>
      <c r="C484" s="18"/>
      <c r="D484" s="18" t="s">
        <v>1102</v>
      </c>
      <c r="E484" s="19" t="s">
        <v>1103</v>
      </c>
      <c r="F484" s="9">
        <f>Source!AT403</f>
        <v>70</v>
      </c>
      <c r="G484" s="21"/>
      <c r="H484" s="20"/>
      <c r="I484" s="9"/>
      <c r="J484" s="9"/>
      <c r="K484" s="21">
        <f>SUM(R481:R483)</f>
        <v>52.73</v>
      </c>
      <c r="L484" s="21"/>
    </row>
    <row r="485" spans="1:22" ht="14.25" x14ac:dyDescent="0.2">
      <c r="A485" s="18"/>
      <c r="B485" s="18"/>
      <c r="C485" s="18"/>
      <c r="D485" s="18" t="s">
        <v>1104</v>
      </c>
      <c r="E485" s="19" t="s">
        <v>1103</v>
      </c>
      <c r="F485" s="9">
        <f>Source!AU403</f>
        <v>10</v>
      </c>
      <c r="G485" s="21"/>
      <c r="H485" s="20"/>
      <c r="I485" s="9"/>
      <c r="J485" s="9"/>
      <c r="K485" s="21">
        <f>SUM(T481:T484)</f>
        <v>7.53</v>
      </c>
      <c r="L485" s="21"/>
    </row>
    <row r="486" spans="1:22" ht="14.25" x14ac:dyDescent="0.2">
      <c r="A486" s="18"/>
      <c r="B486" s="18"/>
      <c r="C486" s="18"/>
      <c r="D486" s="18" t="s">
        <v>1105</v>
      </c>
      <c r="E486" s="19" t="s">
        <v>1106</v>
      </c>
      <c r="F486" s="9">
        <f>Source!AQ403</f>
        <v>0.61</v>
      </c>
      <c r="G486" s="21"/>
      <c r="H486" s="20" t="str">
        <f>Source!DI403</f>
        <v/>
      </c>
      <c r="I486" s="9">
        <f>Source!AV403</f>
        <v>1</v>
      </c>
      <c r="J486" s="9"/>
      <c r="K486" s="21"/>
      <c r="L486" s="21">
        <f>Source!U403</f>
        <v>0.122</v>
      </c>
    </row>
    <row r="487" spans="1:22" ht="15" x14ac:dyDescent="0.25">
      <c r="A487" s="23"/>
      <c r="B487" s="23"/>
      <c r="C487" s="23"/>
      <c r="D487" s="23"/>
      <c r="E487" s="23"/>
      <c r="F487" s="23"/>
      <c r="G487" s="23"/>
      <c r="H487" s="23"/>
      <c r="I487" s="23"/>
      <c r="J487" s="44">
        <f>K483+K484+K485</f>
        <v>135.59</v>
      </c>
      <c r="K487" s="44"/>
      <c r="L487" s="24">
        <f>IF(Source!I403&lt;&gt;0, ROUND(J487/Source!I403, 2), 0)</f>
        <v>677.95</v>
      </c>
      <c r="P487" s="22">
        <f>J487</f>
        <v>135.59</v>
      </c>
    </row>
    <row r="489" spans="1:22" ht="15" x14ac:dyDescent="0.25">
      <c r="C489" s="47" t="str">
        <f>Source!G404</f>
        <v>Распределительный коллектор системы отопления</v>
      </c>
      <c r="D489" s="47"/>
      <c r="E489" s="47"/>
      <c r="F489" s="47"/>
      <c r="G489" s="47"/>
      <c r="H489" s="47"/>
      <c r="I489" s="47"/>
      <c r="J489" s="47"/>
      <c r="K489" s="47"/>
    </row>
    <row r="490" spans="1:22" ht="42.75" x14ac:dyDescent="0.2">
      <c r="A490" s="18">
        <v>51</v>
      </c>
      <c r="B490" s="18">
        <v>51</v>
      </c>
      <c r="C490" s="18" t="str">
        <f>Source!F405</f>
        <v>1.15-2203-7-3/1</v>
      </c>
      <c r="D490" s="18" t="str">
        <f>Source!G405</f>
        <v>Техническое обслуживание крана шарового латунного никелированного диаметром до 100 мм</v>
      </c>
      <c r="E490" s="19" t="str">
        <f>Source!H405</f>
        <v>10 шт.</v>
      </c>
      <c r="F490" s="9">
        <f>Source!I405</f>
        <v>0.4</v>
      </c>
      <c r="G490" s="21"/>
      <c r="H490" s="20"/>
      <c r="I490" s="9"/>
      <c r="J490" s="9"/>
      <c r="K490" s="21"/>
      <c r="L490" s="21"/>
      <c r="Q490">
        <f>ROUND((Source!BZ405/100)*ROUND((Source!AF405*Source!AV405)*Source!I405, 2), 2)</f>
        <v>159.07</v>
      </c>
      <c r="R490">
        <f>Source!X405</f>
        <v>159.07</v>
      </c>
      <c r="S490">
        <f>ROUND((Source!CA405/100)*ROUND((Source!AF405*Source!AV405)*Source!I405, 2), 2)</f>
        <v>22.72</v>
      </c>
      <c r="T490">
        <f>Source!Y405</f>
        <v>22.72</v>
      </c>
      <c r="U490">
        <f>ROUND((175/100)*ROUND((Source!AE405*Source!AV405)*Source!I405, 2), 2)</f>
        <v>0</v>
      </c>
      <c r="V490">
        <f>ROUND((108/100)*ROUND(Source!CS405*Source!I405, 2), 2)</f>
        <v>0</v>
      </c>
    </row>
    <row r="491" spans="1:22" x14ac:dyDescent="0.2">
      <c r="D491" s="28" t="str">
        <f>"Объем: "&amp;Source!I405&amp;"=4/"&amp;"10"</f>
        <v>Объем: 0,4=4/10</v>
      </c>
    </row>
    <row r="492" spans="1:22" ht="14.25" x14ac:dyDescent="0.2">
      <c r="A492" s="18"/>
      <c r="B492" s="18"/>
      <c r="C492" s="18"/>
      <c r="D492" s="18" t="s">
        <v>1100</v>
      </c>
      <c r="E492" s="19"/>
      <c r="F492" s="9"/>
      <c r="G492" s="21">
        <f>Source!AO405</f>
        <v>568.09</v>
      </c>
      <c r="H492" s="20" t="str">
        <f>Source!DG405</f>
        <v/>
      </c>
      <c r="I492" s="9">
        <f>Source!AV405</f>
        <v>1</v>
      </c>
      <c r="J492" s="9">
        <f>IF(Source!BA405&lt;&gt; 0, Source!BA405, 1)</f>
        <v>1</v>
      </c>
      <c r="K492" s="21">
        <f>Source!S405</f>
        <v>227.24</v>
      </c>
      <c r="L492" s="21"/>
    </row>
    <row r="493" spans="1:22" ht="14.25" x14ac:dyDescent="0.2">
      <c r="A493" s="18"/>
      <c r="B493" s="18"/>
      <c r="C493" s="18"/>
      <c r="D493" s="18" t="s">
        <v>1102</v>
      </c>
      <c r="E493" s="19" t="s">
        <v>1103</v>
      </c>
      <c r="F493" s="9">
        <f>Source!AT405</f>
        <v>70</v>
      </c>
      <c r="G493" s="21"/>
      <c r="H493" s="20"/>
      <c r="I493" s="9"/>
      <c r="J493" s="9"/>
      <c r="K493" s="21">
        <f>SUM(R490:R492)</f>
        <v>159.07</v>
      </c>
      <c r="L493" s="21"/>
    </row>
    <row r="494" spans="1:22" ht="14.25" x14ac:dyDescent="0.2">
      <c r="A494" s="18"/>
      <c r="B494" s="18"/>
      <c r="C494" s="18"/>
      <c r="D494" s="18" t="s">
        <v>1104</v>
      </c>
      <c r="E494" s="19" t="s">
        <v>1103</v>
      </c>
      <c r="F494" s="9">
        <f>Source!AU405</f>
        <v>10</v>
      </c>
      <c r="G494" s="21"/>
      <c r="H494" s="20"/>
      <c r="I494" s="9"/>
      <c r="J494" s="9"/>
      <c r="K494" s="21">
        <f>SUM(T490:T493)</f>
        <v>22.72</v>
      </c>
      <c r="L494" s="21"/>
    </row>
    <row r="495" spans="1:22" ht="14.25" x14ac:dyDescent="0.2">
      <c r="A495" s="18"/>
      <c r="B495" s="18"/>
      <c r="C495" s="18"/>
      <c r="D495" s="18" t="s">
        <v>1105</v>
      </c>
      <c r="E495" s="19" t="s">
        <v>1106</v>
      </c>
      <c r="F495" s="9">
        <f>Source!AQ405</f>
        <v>0.92</v>
      </c>
      <c r="G495" s="21"/>
      <c r="H495" s="20" t="str">
        <f>Source!DI405</f>
        <v/>
      </c>
      <c r="I495" s="9">
        <f>Source!AV405</f>
        <v>1</v>
      </c>
      <c r="J495" s="9"/>
      <c r="K495" s="21"/>
      <c r="L495" s="21">
        <f>Source!U405</f>
        <v>0.36800000000000005</v>
      </c>
    </row>
    <row r="496" spans="1:22" ht="15" x14ac:dyDescent="0.25">
      <c r="A496" s="23"/>
      <c r="B496" s="23"/>
      <c r="C496" s="23"/>
      <c r="D496" s="23"/>
      <c r="E496" s="23"/>
      <c r="F496" s="23"/>
      <c r="G496" s="23"/>
      <c r="H496" s="23"/>
      <c r="I496" s="23"/>
      <c r="J496" s="44">
        <f>K492+K493+K494</f>
        <v>409.03</v>
      </c>
      <c r="K496" s="44"/>
      <c r="L496" s="24">
        <f>IF(Source!I405&lt;&gt;0, ROUND(J496/Source!I405, 2), 0)</f>
        <v>1022.58</v>
      </c>
      <c r="P496" s="22">
        <f>J496</f>
        <v>409.03</v>
      </c>
    </row>
    <row r="497" spans="1:22" ht="71.25" x14ac:dyDescent="0.2">
      <c r="A497" s="18">
        <v>52</v>
      </c>
      <c r="B497" s="18">
        <v>52</v>
      </c>
      <c r="C497" s="18" t="str">
        <f>Source!F406</f>
        <v>1.23-2103-41-1/1</v>
      </c>
      <c r="D497" s="18" t="str">
        <f>Source!G406</f>
        <v>Техническое обслуживание регулирующего клапана / Автоматический балансировочный клапан , Ручной балансировочный клапан MNF</v>
      </c>
      <c r="E497" s="19" t="str">
        <f>Source!H406</f>
        <v>шт.</v>
      </c>
      <c r="F497" s="9">
        <f>Source!I406</f>
        <v>4</v>
      </c>
      <c r="G497" s="21"/>
      <c r="H497" s="20"/>
      <c r="I497" s="9"/>
      <c r="J497" s="9"/>
      <c r="K497" s="21"/>
      <c r="L497" s="21"/>
      <c r="Q497">
        <f>ROUND((Source!BZ406/100)*ROUND((Source!AF406*Source!AV406)*Source!I406, 2), 2)</f>
        <v>582.4</v>
      </c>
      <c r="R497">
        <f>Source!X406</f>
        <v>582.4</v>
      </c>
      <c r="S497">
        <f>ROUND((Source!CA406/100)*ROUND((Source!AF406*Source!AV406)*Source!I406, 2), 2)</f>
        <v>83.2</v>
      </c>
      <c r="T497">
        <f>Source!Y406</f>
        <v>83.2</v>
      </c>
      <c r="U497">
        <f>ROUND((175/100)*ROUND((Source!AE406*Source!AV406)*Source!I406, 2), 2)</f>
        <v>346.99</v>
      </c>
      <c r="V497">
        <f>ROUND((108/100)*ROUND(Source!CS406*Source!I406, 2), 2)</f>
        <v>214.14</v>
      </c>
    </row>
    <row r="498" spans="1:22" x14ac:dyDescent="0.2">
      <c r="D498" s="28" t="str">
        <f>"Объем: "&amp;Source!I406&amp;"=2+"&amp;"2"</f>
        <v>Объем: 4=2+2</v>
      </c>
    </row>
    <row r="499" spans="1:22" ht="14.25" x14ac:dyDescent="0.2">
      <c r="A499" s="18"/>
      <c r="B499" s="18"/>
      <c r="C499" s="18"/>
      <c r="D499" s="18" t="s">
        <v>1100</v>
      </c>
      <c r="E499" s="19"/>
      <c r="F499" s="9"/>
      <c r="G499" s="21">
        <f>Source!AO406</f>
        <v>208</v>
      </c>
      <c r="H499" s="20" t="str">
        <f>Source!DG406</f>
        <v/>
      </c>
      <c r="I499" s="9">
        <f>Source!AV406</f>
        <v>1</v>
      </c>
      <c r="J499" s="9">
        <f>IF(Source!BA406&lt;&gt; 0, Source!BA406, 1)</f>
        <v>1</v>
      </c>
      <c r="K499" s="21">
        <f>Source!S406</f>
        <v>832</v>
      </c>
      <c r="L499" s="21"/>
    </row>
    <row r="500" spans="1:22" ht="14.25" x14ac:dyDescent="0.2">
      <c r="A500" s="18"/>
      <c r="B500" s="18"/>
      <c r="C500" s="18"/>
      <c r="D500" s="18" t="s">
        <v>1107</v>
      </c>
      <c r="E500" s="19"/>
      <c r="F500" s="9"/>
      <c r="G500" s="21">
        <f>Source!AM406</f>
        <v>78.180000000000007</v>
      </c>
      <c r="H500" s="20" t="str">
        <f>Source!DE406</f>
        <v/>
      </c>
      <c r="I500" s="9">
        <f>Source!AV406</f>
        <v>1</v>
      </c>
      <c r="J500" s="9">
        <f>IF(Source!BB406&lt;&gt; 0, Source!BB406, 1)</f>
        <v>1</v>
      </c>
      <c r="K500" s="21">
        <f>Source!Q406</f>
        <v>312.72000000000003</v>
      </c>
      <c r="L500" s="21"/>
    </row>
    <row r="501" spans="1:22" ht="14.25" x14ac:dyDescent="0.2">
      <c r="A501" s="18"/>
      <c r="B501" s="18"/>
      <c r="C501" s="18"/>
      <c r="D501" s="18" t="s">
        <v>1108</v>
      </c>
      <c r="E501" s="19"/>
      <c r="F501" s="9"/>
      <c r="G501" s="21">
        <f>Source!AN406</f>
        <v>49.57</v>
      </c>
      <c r="H501" s="20" t="str">
        <f>Source!DF406</f>
        <v/>
      </c>
      <c r="I501" s="9">
        <f>Source!AV406</f>
        <v>1</v>
      </c>
      <c r="J501" s="9">
        <f>IF(Source!BS406&lt;&gt; 0, Source!BS406, 1)</f>
        <v>1</v>
      </c>
      <c r="K501" s="25">
        <f>Source!R406</f>
        <v>198.28</v>
      </c>
      <c r="L501" s="21"/>
    </row>
    <row r="502" spans="1:22" ht="14.25" x14ac:dyDescent="0.2">
      <c r="A502" s="18"/>
      <c r="B502" s="18"/>
      <c r="C502" s="18"/>
      <c r="D502" s="18" t="s">
        <v>1102</v>
      </c>
      <c r="E502" s="19" t="s">
        <v>1103</v>
      </c>
      <c r="F502" s="9">
        <f>Source!AT406</f>
        <v>70</v>
      </c>
      <c r="G502" s="21"/>
      <c r="H502" s="20"/>
      <c r="I502" s="9"/>
      <c r="J502" s="9"/>
      <c r="K502" s="21">
        <f>SUM(R497:R501)</f>
        <v>582.4</v>
      </c>
      <c r="L502" s="21"/>
    </row>
    <row r="503" spans="1:22" ht="14.25" x14ac:dyDescent="0.2">
      <c r="A503" s="18"/>
      <c r="B503" s="18"/>
      <c r="C503" s="18"/>
      <c r="D503" s="18" t="s">
        <v>1104</v>
      </c>
      <c r="E503" s="19" t="s">
        <v>1103</v>
      </c>
      <c r="F503" s="9">
        <f>Source!AU406</f>
        <v>10</v>
      </c>
      <c r="G503" s="21"/>
      <c r="H503" s="20"/>
      <c r="I503" s="9"/>
      <c r="J503" s="9"/>
      <c r="K503" s="21">
        <f>SUM(T497:T502)</f>
        <v>83.2</v>
      </c>
      <c r="L503" s="21"/>
    </row>
    <row r="504" spans="1:22" ht="14.25" x14ac:dyDescent="0.2">
      <c r="A504" s="18"/>
      <c r="B504" s="18"/>
      <c r="C504" s="18"/>
      <c r="D504" s="18" t="s">
        <v>1109</v>
      </c>
      <c r="E504" s="19" t="s">
        <v>1103</v>
      </c>
      <c r="F504" s="9">
        <f>108</f>
        <v>108</v>
      </c>
      <c r="G504" s="21"/>
      <c r="H504" s="20"/>
      <c r="I504" s="9"/>
      <c r="J504" s="9"/>
      <c r="K504" s="21">
        <f>SUM(V497:V503)</f>
        <v>214.14</v>
      </c>
      <c r="L504" s="21"/>
    </row>
    <row r="505" spans="1:22" ht="14.25" x14ac:dyDescent="0.2">
      <c r="A505" s="18"/>
      <c r="B505" s="18"/>
      <c r="C505" s="18"/>
      <c r="D505" s="18" t="s">
        <v>1105</v>
      </c>
      <c r="E505" s="19" t="s">
        <v>1106</v>
      </c>
      <c r="F505" s="9">
        <f>Source!AQ406</f>
        <v>0.37</v>
      </c>
      <c r="G505" s="21"/>
      <c r="H505" s="20" t="str">
        <f>Source!DI406</f>
        <v/>
      </c>
      <c r="I505" s="9">
        <f>Source!AV406</f>
        <v>1</v>
      </c>
      <c r="J505" s="9"/>
      <c r="K505" s="21"/>
      <c r="L505" s="21">
        <f>Source!U406</f>
        <v>1.48</v>
      </c>
    </row>
    <row r="506" spans="1:22" ht="15" x14ac:dyDescent="0.25">
      <c r="A506" s="23"/>
      <c r="B506" s="23"/>
      <c r="C506" s="23"/>
      <c r="D506" s="23"/>
      <c r="E506" s="23"/>
      <c r="F506" s="23"/>
      <c r="G506" s="23"/>
      <c r="H506" s="23"/>
      <c r="I506" s="23"/>
      <c r="J506" s="44">
        <f>K499+K500+K502+K503+K504</f>
        <v>2024.46</v>
      </c>
      <c r="K506" s="44"/>
      <c r="L506" s="24">
        <f>IF(Source!I406&lt;&gt;0, ROUND(J506/Source!I406, 2), 0)</f>
        <v>506.12</v>
      </c>
      <c r="P506" s="22">
        <f>J506</f>
        <v>2024.46</v>
      </c>
    </row>
    <row r="507" spans="1:22" ht="42.75" x14ac:dyDescent="0.2">
      <c r="A507" s="18">
        <v>53</v>
      </c>
      <c r="B507" s="18">
        <v>53</v>
      </c>
      <c r="C507" s="18" t="str">
        <f>Source!F407</f>
        <v>1.15-2203-7-1/1</v>
      </c>
      <c r="D507" s="18" t="str">
        <f>Source!G407</f>
        <v>Техническое обслуживание крана шарового латунного никелированного диаметром до 25 мм</v>
      </c>
      <c r="E507" s="19" t="str">
        <f>Source!H407</f>
        <v>10 шт.</v>
      </c>
      <c r="F507" s="9">
        <f>Source!I407</f>
        <v>0.6</v>
      </c>
      <c r="G507" s="21"/>
      <c r="H507" s="20"/>
      <c r="I507" s="9"/>
      <c r="J507" s="9"/>
      <c r="K507" s="21"/>
      <c r="L507" s="21"/>
      <c r="Q507">
        <f>ROUND((Source!BZ407/100)*ROUND((Source!AF407*Source!AV407)*Source!I407, 2), 2)</f>
        <v>116.7</v>
      </c>
      <c r="R507">
        <f>Source!X407</f>
        <v>116.7</v>
      </c>
      <c r="S507">
        <f>ROUND((Source!CA407/100)*ROUND((Source!AF407*Source!AV407)*Source!I407, 2), 2)</f>
        <v>16.670000000000002</v>
      </c>
      <c r="T507">
        <f>Source!Y407</f>
        <v>16.670000000000002</v>
      </c>
      <c r="U507">
        <f>ROUND((175/100)*ROUND((Source!AE407*Source!AV407)*Source!I407, 2), 2)</f>
        <v>0</v>
      </c>
      <c r="V507">
        <f>ROUND((108/100)*ROUND(Source!CS407*Source!I407, 2), 2)</f>
        <v>0</v>
      </c>
    </row>
    <row r="508" spans="1:22" x14ac:dyDescent="0.2">
      <c r="D508" s="28" t="str">
        <f>"Объем: "&amp;Source!I407&amp;"=(4+"&amp;"2)/"&amp;"10"</f>
        <v>Объем: 0,6=(4+2)/10</v>
      </c>
    </row>
    <row r="509" spans="1:22" ht="14.25" x14ac:dyDescent="0.2">
      <c r="A509" s="18"/>
      <c r="B509" s="18"/>
      <c r="C509" s="18"/>
      <c r="D509" s="18" t="s">
        <v>1100</v>
      </c>
      <c r="E509" s="19"/>
      <c r="F509" s="9"/>
      <c r="G509" s="21">
        <f>Source!AO407</f>
        <v>277.87</v>
      </c>
      <c r="H509" s="20" t="str">
        <f>Source!DG407</f>
        <v/>
      </c>
      <c r="I509" s="9">
        <f>Source!AV407</f>
        <v>1</v>
      </c>
      <c r="J509" s="9">
        <f>IF(Source!BA407&lt;&gt; 0, Source!BA407, 1)</f>
        <v>1</v>
      </c>
      <c r="K509" s="21">
        <f>Source!S407</f>
        <v>166.72</v>
      </c>
      <c r="L509" s="21"/>
    </row>
    <row r="510" spans="1:22" ht="14.25" x14ac:dyDescent="0.2">
      <c r="A510" s="18"/>
      <c r="B510" s="18"/>
      <c r="C510" s="18"/>
      <c r="D510" s="18" t="s">
        <v>1102</v>
      </c>
      <c r="E510" s="19" t="s">
        <v>1103</v>
      </c>
      <c r="F510" s="9">
        <f>Source!AT407</f>
        <v>70</v>
      </c>
      <c r="G510" s="21"/>
      <c r="H510" s="20"/>
      <c r="I510" s="9"/>
      <c r="J510" s="9"/>
      <c r="K510" s="21">
        <f>SUM(R507:R509)</f>
        <v>116.7</v>
      </c>
      <c r="L510" s="21"/>
    </row>
    <row r="511" spans="1:22" ht="14.25" x14ac:dyDescent="0.2">
      <c r="A511" s="18"/>
      <c r="B511" s="18"/>
      <c r="C511" s="18"/>
      <c r="D511" s="18" t="s">
        <v>1104</v>
      </c>
      <c r="E511" s="19" t="s">
        <v>1103</v>
      </c>
      <c r="F511" s="9">
        <f>Source!AU407</f>
        <v>10</v>
      </c>
      <c r="G511" s="21"/>
      <c r="H511" s="20"/>
      <c r="I511" s="9"/>
      <c r="J511" s="9"/>
      <c r="K511" s="21">
        <f>SUM(T507:T510)</f>
        <v>16.670000000000002</v>
      </c>
      <c r="L511" s="21"/>
    </row>
    <row r="512" spans="1:22" ht="14.25" x14ac:dyDescent="0.2">
      <c r="A512" s="18"/>
      <c r="B512" s="18"/>
      <c r="C512" s="18"/>
      <c r="D512" s="18" t="s">
        <v>1105</v>
      </c>
      <c r="E512" s="19" t="s">
        <v>1106</v>
      </c>
      <c r="F512" s="9">
        <f>Source!AQ407</f>
        <v>0.45</v>
      </c>
      <c r="G512" s="21"/>
      <c r="H512" s="20" t="str">
        <f>Source!DI407</f>
        <v/>
      </c>
      <c r="I512" s="9">
        <f>Source!AV407</f>
        <v>1</v>
      </c>
      <c r="J512" s="9"/>
      <c r="K512" s="21"/>
      <c r="L512" s="21">
        <f>Source!U407</f>
        <v>0.27</v>
      </c>
    </row>
    <row r="513" spans="1:22" ht="15" x14ac:dyDescent="0.25">
      <c r="A513" s="23"/>
      <c r="B513" s="23"/>
      <c r="C513" s="23"/>
      <c r="D513" s="23"/>
      <c r="E513" s="23"/>
      <c r="F513" s="23"/>
      <c r="G513" s="23"/>
      <c r="H513" s="23"/>
      <c r="I513" s="23"/>
      <c r="J513" s="44">
        <f>K509+K510+K511</f>
        <v>300.09000000000003</v>
      </c>
      <c r="K513" s="44"/>
      <c r="L513" s="24">
        <f>IF(Source!I407&lt;&gt;0, ROUND(J513/Source!I407, 2), 0)</f>
        <v>500.15</v>
      </c>
      <c r="P513" s="22">
        <f>J513</f>
        <v>300.09000000000003</v>
      </c>
    </row>
    <row r="514" spans="1:22" ht="42.75" x14ac:dyDescent="0.2">
      <c r="A514" s="18">
        <v>54</v>
      </c>
      <c r="B514" s="18">
        <v>54</v>
      </c>
      <c r="C514" s="18" t="str">
        <f>Source!F411</f>
        <v>1.23-2103-18-1/1</v>
      </c>
      <c r="D514" s="18" t="str">
        <f>Source!G411</f>
        <v>Техническое обслуживание термометра биметаллического, дилатометрического</v>
      </c>
      <c r="E514" s="19" t="str">
        <f>Source!H411</f>
        <v>шт.</v>
      </c>
      <c r="F514" s="9">
        <f>Source!I411</f>
        <v>4</v>
      </c>
      <c r="G514" s="21"/>
      <c r="H514" s="20"/>
      <c r="I514" s="9"/>
      <c r="J514" s="9"/>
      <c r="K514" s="21"/>
      <c r="L514" s="21"/>
      <c r="Q514">
        <f>ROUND((Source!BZ411/100)*ROUND((Source!AF411*Source!AV411)*Source!I411, 2), 2)</f>
        <v>1231.94</v>
      </c>
      <c r="R514">
        <f>Source!X411</f>
        <v>1231.94</v>
      </c>
      <c r="S514">
        <f>ROUND((Source!CA411/100)*ROUND((Source!AF411*Source!AV411)*Source!I411, 2), 2)</f>
        <v>175.99</v>
      </c>
      <c r="T514">
        <f>Source!Y411</f>
        <v>175.99</v>
      </c>
      <c r="U514">
        <f>ROUND((175/100)*ROUND((Source!AE411*Source!AV411)*Source!I411, 2), 2)</f>
        <v>0</v>
      </c>
      <c r="V514">
        <f>ROUND((108/100)*ROUND(Source!CS411*Source!I411, 2), 2)</f>
        <v>0</v>
      </c>
    </row>
    <row r="515" spans="1:22" ht="14.25" x14ac:dyDescent="0.2">
      <c r="A515" s="18"/>
      <c r="B515" s="18"/>
      <c r="C515" s="18"/>
      <c r="D515" s="18" t="s">
        <v>1100</v>
      </c>
      <c r="E515" s="19"/>
      <c r="F515" s="9"/>
      <c r="G515" s="21">
        <f>Source!AO411</f>
        <v>219.99</v>
      </c>
      <c r="H515" s="20" t="str">
        <f>Source!DG411</f>
        <v>)*2</v>
      </c>
      <c r="I515" s="9">
        <f>Source!AV411</f>
        <v>1</v>
      </c>
      <c r="J515" s="9">
        <f>IF(Source!BA411&lt;&gt; 0, Source!BA411, 1)</f>
        <v>1</v>
      </c>
      <c r="K515" s="21">
        <f>Source!S411</f>
        <v>1759.92</v>
      </c>
      <c r="L515" s="21"/>
    </row>
    <row r="516" spans="1:22" ht="14.25" x14ac:dyDescent="0.2">
      <c r="A516" s="18"/>
      <c r="B516" s="18"/>
      <c r="C516" s="18"/>
      <c r="D516" s="18" t="s">
        <v>1101</v>
      </c>
      <c r="E516" s="19"/>
      <c r="F516" s="9"/>
      <c r="G516" s="21">
        <f>Source!AL411</f>
        <v>19.14</v>
      </c>
      <c r="H516" s="20" t="str">
        <f>Source!DD411</f>
        <v>)*2</v>
      </c>
      <c r="I516" s="9">
        <f>Source!AW411</f>
        <v>1</v>
      </c>
      <c r="J516" s="9">
        <f>IF(Source!BC411&lt;&gt; 0, Source!BC411, 1)</f>
        <v>1</v>
      </c>
      <c r="K516" s="21">
        <f>Source!P411</f>
        <v>153.12</v>
      </c>
      <c r="L516" s="21"/>
    </row>
    <row r="517" spans="1:22" ht="14.25" x14ac:dyDescent="0.2">
      <c r="A517" s="18"/>
      <c r="B517" s="18"/>
      <c r="C517" s="18"/>
      <c r="D517" s="18" t="s">
        <v>1102</v>
      </c>
      <c r="E517" s="19" t="s">
        <v>1103</v>
      </c>
      <c r="F517" s="9">
        <f>Source!AT411</f>
        <v>70</v>
      </c>
      <c r="G517" s="21"/>
      <c r="H517" s="20"/>
      <c r="I517" s="9"/>
      <c r="J517" s="9"/>
      <c r="K517" s="21">
        <f>SUM(R514:R516)</f>
        <v>1231.94</v>
      </c>
      <c r="L517" s="21"/>
    </row>
    <row r="518" spans="1:22" ht="14.25" x14ac:dyDescent="0.2">
      <c r="A518" s="18"/>
      <c r="B518" s="18"/>
      <c r="C518" s="18"/>
      <c r="D518" s="18" t="s">
        <v>1104</v>
      </c>
      <c r="E518" s="19" t="s">
        <v>1103</v>
      </c>
      <c r="F518" s="9">
        <f>Source!AU411</f>
        <v>10</v>
      </c>
      <c r="G518" s="21"/>
      <c r="H518" s="20"/>
      <c r="I518" s="9"/>
      <c r="J518" s="9"/>
      <c r="K518" s="21">
        <f>SUM(T514:T517)</f>
        <v>175.99</v>
      </c>
      <c r="L518" s="21"/>
    </row>
    <row r="519" spans="1:22" ht="14.25" x14ac:dyDescent="0.2">
      <c r="A519" s="18"/>
      <c r="B519" s="18"/>
      <c r="C519" s="18"/>
      <c r="D519" s="18" t="s">
        <v>1105</v>
      </c>
      <c r="E519" s="19" t="s">
        <v>1106</v>
      </c>
      <c r="F519" s="9">
        <f>Source!AQ411</f>
        <v>0.31</v>
      </c>
      <c r="G519" s="21"/>
      <c r="H519" s="20" t="str">
        <f>Source!DI411</f>
        <v>)*2</v>
      </c>
      <c r="I519" s="9">
        <f>Source!AV411</f>
        <v>1</v>
      </c>
      <c r="J519" s="9"/>
      <c r="K519" s="21"/>
      <c r="L519" s="21">
        <f>Source!U411</f>
        <v>2.48</v>
      </c>
    </row>
    <row r="520" spans="1:22" ht="15" x14ac:dyDescent="0.25">
      <c r="A520" s="23"/>
      <c r="B520" s="23"/>
      <c r="C520" s="23"/>
      <c r="D520" s="23"/>
      <c r="E520" s="23"/>
      <c r="F520" s="23"/>
      <c r="G520" s="23"/>
      <c r="H520" s="23"/>
      <c r="I520" s="23"/>
      <c r="J520" s="44">
        <f>K515+K516+K517+K518</f>
        <v>3320.9700000000003</v>
      </c>
      <c r="K520" s="44"/>
      <c r="L520" s="24">
        <f>IF(Source!I411&lt;&gt;0, ROUND(J520/Source!I411, 2), 0)</f>
        <v>830.24</v>
      </c>
      <c r="P520" s="22">
        <f>J520</f>
        <v>3320.9700000000003</v>
      </c>
    </row>
    <row r="522" spans="1:22" ht="15" x14ac:dyDescent="0.25">
      <c r="C522" s="47" t="str">
        <f>Source!G412</f>
        <v>Узел учета тепловой энергии</v>
      </c>
      <c r="D522" s="47"/>
      <c r="E522" s="47"/>
      <c r="F522" s="47"/>
      <c r="G522" s="47"/>
      <c r="H522" s="47"/>
      <c r="I522" s="47"/>
      <c r="J522" s="47"/>
      <c r="K522" s="47"/>
    </row>
    <row r="523" spans="1:22" ht="99.75" x14ac:dyDescent="0.2">
      <c r="A523" s="18">
        <v>55</v>
      </c>
      <c r="B523" s="18">
        <v>55</v>
      </c>
      <c r="C523" s="18" t="str">
        <f>Source!F413</f>
        <v>1.23-2303-5-1/1</v>
      </c>
      <c r="D523" s="18" t="str">
        <f>Source!G413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приборный Термик-ШПК</v>
      </c>
      <c r="E523" s="19" t="str">
        <f>Source!H413</f>
        <v>шт.</v>
      </c>
      <c r="F523" s="9">
        <f>Source!I413</f>
        <v>1</v>
      </c>
      <c r="G523" s="21"/>
      <c r="H523" s="20"/>
      <c r="I523" s="9"/>
      <c r="J523" s="9"/>
      <c r="K523" s="21"/>
      <c r="L523" s="21"/>
      <c r="Q523">
        <f>ROUND((Source!BZ413/100)*ROUND((Source!AF413*Source!AV413)*Source!I413, 2), 2)</f>
        <v>1142.04</v>
      </c>
      <c r="R523">
        <f>Source!X413</f>
        <v>1142.04</v>
      </c>
      <c r="S523">
        <f>ROUND((Source!CA413/100)*ROUND((Source!AF413*Source!AV413)*Source!I413, 2), 2)</f>
        <v>163.15</v>
      </c>
      <c r="T523">
        <f>Source!Y413</f>
        <v>163.15</v>
      </c>
      <c r="U523">
        <f>ROUND((175/100)*ROUND((Source!AE413*Source!AV413)*Source!I413, 2), 2)</f>
        <v>0</v>
      </c>
      <c r="V523">
        <f>ROUND((108/100)*ROUND(Source!CS413*Source!I413, 2), 2)</f>
        <v>0</v>
      </c>
    </row>
    <row r="524" spans="1:22" ht="14.25" x14ac:dyDescent="0.2">
      <c r="A524" s="18"/>
      <c r="B524" s="18"/>
      <c r="C524" s="18"/>
      <c r="D524" s="18" t="s">
        <v>1100</v>
      </c>
      <c r="E524" s="19"/>
      <c r="F524" s="9"/>
      <c r="G524" s="21">
        <f>Source!AO413</f>
        <v>815.74</v>
      </c>
      <c r="H524" s="20" t="str">
        <f>Source!DG413</f>
        <v>)*2</v>
      </c>
      <c r="I524" s="9">
        <f>Source!AV413</f>
        <v>1</v>
      </c>
      <c r="J524" s="9">
        <f>IF(Source!BA413&lt;&gt; 0, Source!BA413, 1)</f>
        <v>1</v>
      </c>
      <c r="K524" s="21">
        <f>Source!S413</f>
        <v>1631.48</v>
      </c>
      <c r="L524" s="21"/>
    </row>
    <row r="525" spans="1:22" ht="14.25" x14ac:dyDescent="0.2">
      <c r="A525" s="18"/>
      <c r="B525" s="18"/>
      <c r="C525" s="18"/>
      <c r="D525" s="18" t="s">
        <v>1102</v>
      </c>
      <c r="E525" s="19" t="s">
        <v>1103</v>
      </c>
      <c r="F525" s="9">
        <f>Source!AT413</f>
        <v>70</v>
      </c>
      <c r="G525" s="21"/>
      <c r="H525" s="20"/>
      <c r="I525" s="9"/>
      <c r="J525" s="9"/>
      <c r="K525" s="21">
        <f>SUM(R523:R524)</f>
        <v>1142.04</v>
      </c>
      <c r="L525" s="21"/>
    </row>
    <row r="526" spans="1:22" ht="14.25" x14ac:dyDescent="0.2">
      <c r="A526" s="18"/>
      <c r="B526" s="18"/>
      <c r="C526" s="18"/>
      <c r="D526" s="18" t="s">
        <v>1104</v>
      </c>
      <c r="E526" s="19" t="s">
        <v>1103</v>
      </c>
      <c r="F526" s="9">
        <f>Source!AU413</f>
        <v>10</v>
      </c>
      <c r="G526" s="21"/>
      <c r="H526" s="20"/>
      <c r="I526" s="9"/>
      <c r="J526" s="9"/>
      <c r="K526" s="21">
        <f>SUM(T523:T525)</f>
        <v>163.15</v>
      </c>
      <c r="L526" s="21"/>
    </row>
    <row r="527" spans="1:22" ht="14.25" x14ac:dyDescent="0.2">
      <c r="A527" s="18"/>
      <c r="B527" s="18"/>
      <c r="C527" s="18"/>
      <c r="D527" s="18" t="s">
        <v>1105</v>
      </c>
      <c r="E527" s="19" t="s">
        <v>1106</v>
      </c>
      <c r="F527" s="9">
        <f>Source!AQ413</f>
        <v>1.06</v>
      </c>
      <c r="G527" s="21"/>
      <c r="H527" s="20" t="str">
        <f>Source!DI413</f>
        <v>)*2</v>
      </c>
      <c r="I527" s="9">
        <f>Source!AV413</f>
        <v>1</v>
      </c>
      <c r="J527" s="9"/>
      <c r="K527" s="21"/>
      <c r="L527" s="21">
        <f>Source!U413</f>
        <v>2.12</v>
      </c>
    </row>
    <row r="528" spans="1:22" ht="15" x14ac:dyDescent="0.25">
      <c r="A528" s="23"/>
      <c r="B528" s="23"/>
      <c r="C528" s="23"/>
      <c r="D528" s="23"/>
      <c r="E528" s="23"/>
      <c r="F528" s="23"/>
      <c r="G528" s="23"/>
      <c r="H528" s="23"/>
      <c r="I528" s="23"/>
      <c r="J528" s="44">
        <f>K524+K525+K526</f>
        <v>2936.67</v>
      </c>
      <c r="K528" s="44"/>
      <c r="L528" s="24">
        <f>IF(Source!I413&lt;&gt;0, ROUND(J528/Source!I413, 2), 0)</f>
        <v>2936.67</v>
      </c>
      <c r="P528" s="22">
        <f>J528</f>
        <v>2936.67</v>
      </c>
    </row>
    <row r="529" spans="1:22" ht="99.75" x14ac:dyDescent="0.2">
      <c r="A529" s="18">
        <v>56</v>
      </c>
      <c r="B529" s="18">
        <v>56</v>
      </c>
      <c r="C529" s="18" t="str">
        <f>Source!F414</f>
        <v>1.23-2103-8-1/1</v>
      </c>
      <c r="D529" s="18" t="str">
        <f>Source!G414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ЭРСВ-440Д В Ду 100 мм</v>
      </c>
      <c r="E529" s="19" t="str">
        <f>Source!H414</f>
        <v>шт.</v>
      </c>
      <c r="F529" s="9">
        <f>Source!I414</f>
        <v>2</v>
      </c>
      <c r="G529" s="21"/>
      <c r="H529" s="20"/>
      <c r="I529" s="9"/>
      <c r="J529" s="9"/>
      <c r="K529" s="21"/>
      <c r="L529" s="21"/>
      <c r="Q529">
        <f>ROUND((Source!BZ414/100)*ROUND((Source!AF414*Source!AV414)*Source!I414, 2), 2)</f>
        <v>2299.5300000000002</v>
      </c>
      <c r="R529">
        <f>Source!X414</f>
        <v>2299.5300000000002</v>
      </c>
      <c r="S529">
        <f>ROUND((Source!CA414/100)*ROUND((Source!AF414*Source!AV414)*Source!I414, 2), 2)</f>
        <v>328.5</v>
      </c>
      <c r="T529">
        <f>Source!Y414</f>
        <v>328.5</v>
      </c>
      <c r="U529">
        <f>ROUND((175/100)*ROUND((Source!AE414*Source!AV414)*Source!I414, 2), 2)</f>
        <v>0</v>
      </c>
      <c r="V529">
        <f>ROUND((108/100)*ROUND(Source!CS414*Source!I414, 2), 2)</f>
        <v>0</v>
      </c>
    </row>
    <row r="530" spans="1:22" ht="14.25" x14ac:dyDescent="0.2">
      <c r="A530" s="18"/>
      <c r="B530" s="18"/>
      <c r="C530" s="18"/>
      <c r="D530" s="18" t="s">
        <v>1100</v>
      </c>
      <c r="E530" s="19"/>
      <c r="F530" s="9"/>
      <c r="G530" s="21">
        <f>Source!AO414</f>
        <v>821.26</v>
      </c>
      <c r="H530" s="20" t="str">
        <f>Source!DG414</f>
        <v>)*2</v>
      </c>
      <c r="I530" s="9">
        <f>Source!AV414</f>
        <v>1</v>
      </c>
      <c r="J530" s="9">
        <f>IF(Source!BA414&lt;&gt; 0, Source!BA414, 1)</f>
        <v>1</v>
      </c>
      <c r="K530" s="21">
        <f>Source!S414</f>
        <v>3285.04</v>
      </c>
      <c r="L530" s="21"/>
    </row>
    <row r="531" spans="1:22" ht="14.25" x14ac:dyDescent="0.2">
      <c r="A531" s="18"/>
      <c r="B531" s="18"/>
      <c r="C531" s="18"/>
      <c r="D531" s="18" t="s">
        <v>1102</v>
      </c>
      <c r="E531" s="19" t="s">
        <v>1103</v>
      </c>
      <c r="F531" s="9">
        <f>Source!AT414</f>
        <v>70</v>
      </c>
      <c r="G531" s="21"/>
      <c r="H531" s="20"/>
      <c r="I531" s="9"/>
      <c r="J531" s="9"/>
      <c r="K531" s="21">
        <f>SUM(R529:R530)</f>
        <v>2299.5300000000002</v>
      </c>
      <c r="L531" s="21"/>
    </row>
    <row r="532" spans="1:22" ht="14.25" x14ac:dyDescent="0.2">
      <c r="A532" s="18"/>
      <c r="B532" s="18"/>
      <c r="C532" s="18"/>
      <c r="D532" s="18" t="s">
        <v>1104</v>
      </c>
      <c r="E532" s="19" t="s">
        <v>1103</v>
      </c>
      <c r="F532" s="9">
        <f>Source!AU414</f>
        <v>10</v>
      </c>
      <c r="G532" s="21"/>
      <c r="H532" s="20"/>
      <c r="I532" s="9"/>
      <c r="J532" s="9"/>
      <c r="K532" s="21">
        <f>SUM(T529:T531)</f>
        <v>328.5</v>
      </c>
      <c r="L532" s="21"/>
    </row>
    <row r="533" spans="1:22" ht="14.25" x14ac:dyDescent="0.2">
      <c r="A533" s="18"/>
      <c r="B533" s="18"/>
      <c r="C533" s="18"/>
      <c r="D533" s="18" t="s">
        <v>1105</v>
      </c>
      <c r="E533" s="19" t="s">
        <v>1106</v>
      </c>
      <c r="F533" s="9">
        <f>Source!AQ414</f>
        <v>1.33</v>
      </c>
      <c r="G533" s="21"/>
      <c r="H533" s="20" t="str">
        <f>Source!DI414</f>
        <v>)*2</v>
      </c>
      <c r="I533" s="9">
        <f>Source!AV414</f>
        <v>1</v>
      </c>
      <c r="J533" s="9"/>
      <c r="K533" s="21"/>
      <c r="L533" s="21">
        <f>Source!U414</f>
        <v>5.32</v>
      </c>
    </row>
    <row r="534" spans="1:22" ht="15" x14ac:dyDescent="0.25">
      <c r="A534" s="23"/>
      <c r="B534" s="23"/>
      <c r="C534" s="23"/>
      <c r="D534" s="23"/>
      <c r="E534" s="23"/>
      <c r="F534" s="23"/>
      <c r="G534" s="23"/>
      <c r="H534" s="23"/>
      <c r="I534" s="23"/>
      <c r="J534" s="44">
        <f>K530+K531+K532</f>
        <v>5913.07</v>
      </c>
      <c r="K534" s="44"/>
      <c r="L534" s="24">
        <f>IF(Source!I414&lt;&gt;0, ROUND(J534/Source!I414, 2), 0)</f>
        <v>2956.54</v>
      </c>
      <c r="P534" s="22">
        <f>J534</f>
        <v>5913.07</v>
      </c>
    </row>
    <row r="535" spans="1:22" ht="42.75" x14ac:dyDescent="0.2">
      <c r="A535" s="18">
        <v>57</v>
      </c>
      <c r="B535" s="18">
        <v>57</v>
      </c>
      <c r="C535" s="18" t="str">
        <f>Source!F415</f>
        <v>1.15-2203-7-3/1</v>
      </c>
      <c r="D535" s="18" t="str">
        <f>Source!G415</f>
        <v>Техническое обслуживание крана шарового латунного никелированного диаметром до 100 мм</v>
      </c>
      <c r="E535" s="19" t="str">
        <f>Source!H415</f>
        <v>10 шт.</v>
      </c>
      <c r="F535" s="9">
        <f>Source!I415</f>
        <v>0.6</v>
      </c>
      <c r="G535" s="21"/>
      <c r="H535" s="20"/>
      <c r="I535" s="9"/>
      <c r="J535" s="9"/>
      <c r="K535" s="21"/>
      <c r="L535" s="21"/>
      <c r="Q535">
        <f>ROUND((Source!BZ415/100)*ROUND((Source!AF415*Source!AV415)*Source!I415, 2), 2)</f>
        <v>238.6</v>
      </c>
      <c r="R535">
        <f>Source!X415</f>
        <v>238.6</v>
      </c>
      <c r="S535">
        <f>ROUND((Source!CA415/100)*ROUND((Source!AF415*Source!AV415)*Source!I415, 2), 2)</f>
        <v>34.090000000000003</v>
      </c>
      <c r="T535">
        <f>Source!Y415</f>
        <v>34.090000000000003</v>
      </c>
      <c r="U535">
        <f>ROUND((175/100)*ROUND((Source!AE415*Source!AV415)*Source!I415, 2), 2)</f>
        <v>0</v>
      </c>
      <c r="V535">
        <f>ROUND((108/100)*ROUND(Source!CS415*Source!I415, 2), 2)</f>
        <v>0</v>
      </c>
    </row>
    <row r="536" spans="1:22" x14ac:dyDescent="0.2">
      <c r="D536" s="28" t="str">
        <f>"Объем: "&amp;Source!I415&amp;"=(4+"&amp;"2)/"&amp;"10"</f>
        <v>Объем: 0,6=(4+2)/10</v>
      </c>
    </row>
    <row r="537" spans="1:22" ht="14.25" x14ac:dyDescent="0.2">
      <c r="A537" s="18"/>
      <c r="B537" s="18"/>
      <c r="C537" s="18"/>
      <c r="D537" s="18" t="s">
        <v>1100</v>
      </c>
      <c r="E537" s="19"/>
      <c r="F537" s="9"/>
      <c r="G537" s="21">
        <f>Source!AO415</f>
        <v>568.09</v>
      </c>
      <c r="H537" s="20" t="str">
        <f>Source!DG415</f>
        <v/>
      </c>
      <c r="I537" s="9">
        <f>Source!AV415</f>
        <v>1</v>
      </c>
      <c r="J537" s="9">
        <f>IF(Source!BA415&lt;&gt; 0, Source!BA415, 1)</f>
        <v>1</v>
      </c>
      <c r="K537" s="21">
        <f>Source!S415</f>
        <v>340.85</v>
      </c>
      <c r="L537" s="21"/>
    </row>
    <row r="538" spans="1:22" ht="14.25" x14ac:dyDescent="0.2">
      <c r="A538" s="18"/>
      <c r="B538" s="18"/>
      <c r="C538" s="18"/>
      <c r="D538" s="18" t="s">
        <v>1102</v>
      </c>
      <c r="E538" s="19" t="s">
        <v>1103</v>
      </c>
      <c r="F538" s="9">
        <f>Source!AT415</f>
        <v>70</v>
      </c>
      <c r="G538" s="21"/>
      <c r="H538" s="20"/>
      <c r="I538" s="9"/>
      <c r="J538" s="9"/>
      <c r="K538" s="21">
        <f>SUM(R535:R537)</f>
        <v>238.6</v>
      </c>
      <c r="L538" s="21"/>
    </row>
    <row r="539" spans="1:22" ht="14.25" x14ac:dyDescent="0.2">
      <c r="A539" s="18"/>
      <c r="B539" s="18"/>
      <c r="C539" s="18"/>
      <c r="D539" s="18" t="s">
        <v>1104</v>
      </c>
      <c r="E539" s="19" t="s">
        <v>1103</v>
      </c>
      <c r="F539" s="9">
        <f>Source!AU415</f>
        <v>10</v>
      </c>
      <c r="G539" s="21"/>
      <c r="H539" s="20"/>
      <c r="I539" s="9"/>
      <c r="J539" s="9"/>
      <c r="K539" s="21">
        <f>SUM(T535:T538)</f>
        <v>34.090000000000003</v>
      </c>
      <c r="L539" s="21"/>
    </row>
    <row r="540" spans="1:22" ht="14.25" x14ac:dyDescent="0.2">
      <c r="A540" s="18"/>
      <c r="B540" s="18"/>
      <c r="C540" s="18"/>
      <c r="D540" s="18" t="s">
        <v>1105</v>
      </c>
      <c r="E540" s="19" t="s">
        <v>1106</v>
      </c>
      <c r="F540" s="9">
        <f>Source!AQ415</f>
        <v>0.92</v>
      </c>
      <c r="G540" s="21"/>
      <c r="H540" s="20" t="str">
        <f>Source!DI415</f>
        <v/>
      </c>
      <c r="I540" s="9">
        <f>Source!AV415</f>
        <v>1</v>
      </c>
      <c r="J540" s="9"/>
      <c r="K540" s="21"/>
      <c r="L540" s="21">
        <f>Source!U415</f>
        <v>0.55200000000000005</v>
      </c>
    </row>
    <row r="541" spans="1:22" ht="15" x14ac:dyDescent="0.25">
      <c r="A541" s="23"/>
      <c r="B541" s="23"/>
      <c r="C541" s="23"/>
      <c r="D541" s="23"/>
      <c r="E541" s="23"/>
      <c r="F541" s="23"/>
      <c r="G541" s="23"/>
      <c r="H541" s="23"/>
      <c r="I541" s="23"/>
      <c r="J541" s="44">
        <f>K537+K538+K539</f>
        <v>613.54000000000008</v>
      </c>
      <c r="K541" s="44"/>
      <c r="L541" s="24">
        <f>IF(Source!I415&lt;&gt;0, ROUND(J541/Source!I415, 2), 0)</f>
        <v>1022.57</v>
      </c>
      <c r="P541" s="22">
        <f>J541</f>
        <v>613.54000000000008</v>
      </c>
    </row>
    <row r="542" spans="1:22" ht="57" x14ac:dyDescent="0.2">
      <c r="A542" s="18">
        <v>58</v>
      </c>
      <c r="B542" s="18">
        <v>58</v>
      </c>
      <c r="C542" s="18" t="str">
        <f>Source!F416</f>
        <v>1.23-2303-6-1/1</v>
      </c>
      <c r="D542" s="18" t="str">
        <f>Source!G416</f>
        <v>Техническое обслуживание термопреобразователя сопротивления с унифицированным выходным сигналом</v>
      </c>
      <c r="E542" s="19" t="str">
        <f>Source!H416</f>
        <v>шт.</v>
      </c>
      <c r="F542" s="9">
        <f>Source!I416</f>
        <v>2</v>
      </c>
      <c r="G542" s="21"/>
      <c r="H542" s="20"/>
      <c r="I542" s="9"/>
      <c r="J542" s="9"/>
      <c r="K542" s="21"/>
      <c r="L542" s="21"/>
      <c r="Q542">
        <f>ROUND((Source!BZ416/100)*ROUND((Source!AF416*Source!AV416)*Source!I416, 2), 2)</f>
        <v>933.91</v>
      </c>
      <c r="R542">
        <f>Source!X416</f>
        <v>933.91</v>
      </c>
      <c r="S542">
        <f>ROUND((Source!CA416/100)*ROUND((Source!AF416*Source!AV416)*Source!I416, 2), 2)</f>
        <v>133.41999999999999</v>
      </c>
      <c r="T542">
        <f>Source!Y416</f>
        <v>133.41999999999999</v>
      </c>
      <c r="U542">
        <f>ROUND((175/100)*ROUND((Source!AE416*Source!AV416)*Source!I416, 2), 2)</f>
        <v>0</v>
      </c>
      <c r="V542">
        <f>ROUND((108/100)*ROUND(Source!CS416*Source!I416, 2), 2)</f>
        <v>0</v>
      </c>
    </row>
    <row r="543" spans="1:22" ht="14.25" x14ac:dyDescent="0.2">
      <c r="A543" s="18"/>
      <c r="B543" s="18"/>
      <c r="C543" s="18"/>
      <c r="D543" s="18" t="s">
        <v>1100</v>
      </c>
      <c r="E543" s="19"/>
      <c r="F543" s="9"/>
      <c r="G543" s="21">
        <f>Source!AO416</f>
        <v>333.54</v>
      </c>
      <c r="H543" s="20" t="str">
        <f>Source!DG416</f>
        <v>)*2</v>
      </c>
      <c r="I543" s="9">
        <f>Source!AV416</f>
        <v>1</v>
      </c>
      <c r="J543" s="9">
        <f>IF(Source!BA416&lt;&gt; 0, Source!BA416, 1)</f>
        <v>1</v>
      </c>
      <c r="K543" s="21">
        <f>Source!S416</f>
        <v>1334.16</v>
      </c>
      <c r="L543" s="21"/>
    </row>
    <row r="544" spans="1:22" ht="14.25" x14ac:dyDescent="0.2">
      <c r="A544" s="18"/>
      <c r="B544" s="18"/>
      <c r="C544" s="18"/>
      <c r="D544" s="18" t="s">
        <v>1101</v>
      </c>
      <c r="E544" s="19"/>
      <c r="F544" s="9"/>
      <c r="G544" s="21">
        <f>Source!AL416</f>
        <v>20.239999999999998</v>
      </c>
      <c r="H544" s="20" t="str">
        <f>Source!DD416</f>
        <v>)*2</v>
      </c>
      <c r="I544" s="9">
        <f>Source!AW416</f>
        <v>1</v>
      </c>
      <c r="J544" s="9">
        <f>IF(Source!BC416&lt;&gt; 0, Source!BC416, 1)</f>
        <v>1</v>
      </c>
      <c r="K544" s="21">
        <f>Source!P416</f>
        <v>80.959999999999994</v>
      </c>
      <c r="L544" s="21"/>
    </row>
    <row r="545" spans="1:22" ht="14.25" x14ac:dyDescent="0.2">
      <c r="A545" s="18"/>
      <c r="B545" s="18"/>
      <c r="C545" s="18"/>
      <c r="D545" s="18" t="s">
        <v>1102</v>
      </c>
      <c r="E545" s="19" t="s">
        <v>1103</v>
      </c>
      <c r="F545" s="9">
        <f>Source!AT416</f>
        <v>70</v>
      </c>
      <c r="G545" s="21"/>
      <c r="H545" s="20"/>
      <c r="I545" s="9"/>
      <c r="J545" s="9"/>
      <c r="K545" s="21">
        <f>SUM(R542:R544)</f>
        <v>933.91</v>
      </c>
      <c r="L545" s="21"/>
    </row>
    <row r="546" spans="1:22" ht="14.25" x14ac:dyDescent="0.2">
      <c r="A546" s="18"/>
      <c r="B546" s="18"/>
      <c r="C546" s="18"/>
      <c r="D546" s="18" t="s">
        <v>1104</v>
      </c>
      <c r="E546" s="19" t="s">
        <v>1103</v>
      </c>
      <c r="F546" s="9">
        <f>Source!AU416</f>
        <v>10</v>
      </c>
      <c r="G546" s="21"/>
      <c r="H546" s="20"/>
      <c r="I546" s="9"/>
      <c r="J546" s="9"/>
      <c r="K546" s="21">
        <f>SUM(T542:T545)</f>
        <v>133.41999999999999</v>
      </c>
      <c r="L546" s="21"/>
    </row>
    <row r="547" spans="1:22" ht="14.25" x14ac:dyDescent="0.2">
      <c r="A547" s="18"/>
      <c r="B547" s="18"/>
      <c r="C547" s="18"/>
      <c r="D547" s="18" t="s">
        <v>1105</v>
      </c>
      <c r="E547" s="19" t="s">
        <v>1106</v>
      </c>
      <c r="F547" s="9">
        <f>Source!AQ416</f>
        <v>0.47</v>
      </c>
      <c r="G547" s="21"/>
      <c r="H547" s="20" t="str">
        <f>Source!DI416</f>
        <v>)*2</v>
      </c>
      <c r="I547" s="9">
        <f>Source!AV416</f>
        <v>1</v>
      </c>
      <c r="J547" s="9"/>
      <c r="K547" s="21"/>
      <c r="L547" s="21">
        <f>Source!U416</f>
        <v>1.88</v>
      </c>
    </row>
    <row r="548" spans="1:22" ht="15" x14ac:dyDescent="0.25">
      <c r="A548" s="23"/>
      <c r="B548" s="23"/>
      <c r="C548" s="23"/>
      <c r="D548" s="23"/>
      <c r="E548" s="23"/>
      <c r="F548" s="23"/>
      <c r="G548" s="23"/>
      <c r="H548" s="23"/>
      <c r="I548" s="23"/>
      <c r="J548" s="44">
        <f>K543+K544+K545+K546</f>
        <v>2482.4500000000003</v>
      </c>
      <c r="K548" s="44"/>
      <c r="L548" s="24">
        <f>IF(Source!I416&lt;&gt;0, ROUND(J548/Source!I416, 2), 0)</f>
        <v>1241.23</v>
      </c>
      <c r="P548" s="22">
        <f>J548</f>
        <v>2482.4500000000003</v>
      </c>
    </row>
    <row r="549" spans="1:22" ht="42.75" x14ac:dyDescent="0.2">
      <c r="A549" s="18">
        <v>59</v>
      </c>
      <c r="B549" s="18">
        <v>59</v>
      </c>
      <c r="C549" s="18" t="str">
        <f>Source!F417</f>
        <v>1.23-2103-27-1/1</v>
      </c>
      <c r="D549" s="18" t="str">
        <f>Source!G417</f>
        <v>Техническое обслуживание преобразователя давления МТ100 и аналогов</v>
      </c>
      <c r="E549" s="19" t="str">
        <f>Source!H417</f>
        <v>10 шт.</v>
      </c>
      <c r="F549" s="9">
        <f>Source!I417</f>
        <v>0.2</v>
      </c>
      <c r="G549" s="21"/>
      <c r="H549" s="20"/>
      <c r="I549" s="9"/>
      <c r="J549" s="9"/>
      <c r="K549" s="21"/>
      <c r="L549" s="21"/>
      <c r="Q549">
        <f>ROUND((Source!BZ417/100)*ROUND((Source!AF417*Source!AV417)*Source!I417, 2), 2)</f>
        <v>2483.81</v>
      </c>
      <c r="R549">
        <f>Source!X417</f>
        <v>2483.81</v>
      </c>
      <c r="S549">
        <f>ROUND((Source!CA417/100)*ROUND((Source!AF417*Source!AV417)*Source!I417, 2), 2)</f>
        <v>354.83</v>
      </c>
      <c r="T549">
        <f>Source!Y417</f>
        <v>354.83</v>
      </c>
      <c r="U549">
        <f>ROUND((175/100)*ROUND((Source!AE417*Source!AV417)*Source!I417, 2), 2)</f>
        <v>0</v>
      </c>
      <c r="V549">
        <f>ROUND((108/100)*ROUND(Source!CS417*Source!I417, 2), 2)</f>
        <v>0</v>
      </c>
    </row>
    <row r="550" spans="1:22" x14ac:dyDescent="0.2">
      <c r="D550" s="28" t="str">
        <f>"Объем: "&amp;Source!I417&amp;"=2/"&amp;"10"</f>
        <v>Объем: 0,2=2/10</v>
      </c>
    </row>
    <row r="551" spans="1:22" ht="14.25" x14ac:dyDescent="0.2">
      <c r="A551" s="18"/>
      <c r="B551" s="18"/>
      <c r="C551" s="18"/>
      <c r="D551" s="18" t="s">
        <v>1100</v>
      </c>
      <c r="E551" s="19"/>
      <c r="F551" s="9"/>
      <c r="G551" s="21">
        <f>Source!AO417</f>
        <v>8870.75</v>
      </c>
      <c r="H551" s="20" t="str">
        <f>Source!DG417</f>
        <v>)*2</v>
      </c>
      <c r="I551" s="9">
        <f>Source!AV417</f>
        <v>1</v>
      </c>
      <c r="J551" s="9">
        <f>IF(Source!BA417&lt;&gt; 0, Source!BA417, 1)</f>
        <v>1</v>
      </c>
      <c r="K551" s="21">
        <f>Source!S417</f>
        <v>3548.3</v>
      </c>
      <c r="L551" s="21"/>
    </row>
    <row r="552" spans="1:22" ht="14.25" x14ac:dyDescent="0.2">
      <c r="A552" s="18"/>
      <c r="B552" s="18"/>
      <c r="C552" s="18"/>
      <c r="D552" s="18" t="s">
        <v>1101</v>
      </c>
      <c r="E552" s="19"/>
      <c r="F552" s="9"/>
      <c r="G552" s="21">
        <f>Source!AL417</f>
        <v>17.39</v>
      </c>
      <c r="H552" s="20" t="str">
        <f>Source!DD417</f>
        <v>)*2</v>
      </c>
      <c r="I552" s="9">
        <f>Source!AW417</f>
        <v>1</v>
      </c>
      <c r="J552" s="9">
        <f>IF(Source!BC417&lt;&gt; 0, Source!BC417, 1)</f>
        <v>1</v>
      </c>
      <c r="K552" s="21">
        <f>Source!P417</f>
        <v>6.96</v>
      </c>
      <c r="L552" s="21"/>
    </row>
    <row r="553" spans="1:22" ht="14.25" x14ac:dyDescent="0.2">
      <c r="A553" s="18"/>
      <c r="B553" s="18"/>
      <c r="C553" s="18"/>
      <c r="D553" s="18" t="s">
        <v>1102</v>
      </c>
      <c r="E553" s="19" t="s">
        <v>1103</v>
      </c>
      <c r="F553" s="9">
        <f>Source!AT417</f>
        <v>70</v>
      </c>
      <c r="G553" s="21"/>
      <c r="H553" s="20"/>
      <c r="I553" s="9"/>
      <c r="J553" s="9"/>
      <c r="K553" s="21">
        <f>SUM(R549:R552)</f>
        <v>2483.81</v>
      </c>
      <c r="L553" s="21"/>
    </row>
    <row r="554" spans="1:22" ht="14.25" x14ac:dyDescent="0.2">
      <c r="A554" s="18"/>
      <c r="B554" s="18"/>
      <c r="C554" s="18"/>
      <c r="D554" s="18" t="s">
        <v>1104</v>
      </c>
      <c r="E554" s="19" t="s">
        <v>1103</v>
      </c>
      <c r="F554" s="9">
        <f>Source!AU417</f>
        <v>10</v>
      </c>
      <c r="G554" s="21"/>
      <c r="H554" s="20"/>
      <c r="I554" s="9"/>
      <c r="J554" s="9"/>
      <c r="K554" s="21">
        <f>SUM(T549:T553)</f>
        <v>354.83</v>
      </c>
      <c r="L554" s="21"/>
    </row>
    <row r="555" spans="1:22" ht="14.25" x14ac:dyDescent="0.2">
      <c r="A555" s="18"/>
      <c r="B555" s="18"/>
      <c r="C555" s="18"/>
      <c r="D555" s="18" t="s">
        <v>1105</v>
      </c>
      <c r="E555" s="19" t="s">
        <v>1106</v>
      </c>
      <c r="F555" s="9">
        <f>Source!AQ417</f>
        <v>12.5</v>
      </c>
      <c r="G555" s="21"/>
      <c r="H555" s="20" t="str">
        <f>Source!DI417</f>
        <v>)*2</v>
      </c>
      <c r="I555" s="9">
        <f>Source!AV417</f>
        <v>1</v>
      </c>
      <c r="J555" s="9"/>
      <c r="K555" s="21"/>
      <c r="L555" s="21">
        <f>Source!U417</f>
        <v>5</v>
      </c>
    </row>
    <row r="556" spans="1:22" ht="15" x14ac:dyDescent="0.25">
      <c r="A556" s="23"/>
      <c r="B556" s="23"/>
      <c r="C556" s="23"/>
      <c r="D556" s="23"/>
      <c r="E556" s="23"/>
      <c r="F556" s="23"/>
      <c r="G556" s="23"/>
      <c r="H556" s="23"/>
      <c r="I556" s="23"/>
      <c r="J556" s="44">
        <f>K551+K552+K553+K554</f>
        <v>6393.9</v>
      </c>
      <c r="K556" s="44"/>
      <c r="L556" s="24">
        <f>IF(Source!I417&lt;&gt;0, ROUND(J556/Source!I417, 2), 0)</f>
        <v>31969.5</v>
      </c>
      <c r="P556" s="22">
        <f>J556</f>
        <v>6393.9</v>
      </c>
    </row>
    <row r="557" spans="1:22" ht="42.75" x14ac:dyDescent="0.2">
      <c r="A557" s="18">
        <v>60</v>
      </c>
      <c r="B557" s="18">
        <v>60</v>
      </c>
      <c r="C557" s="18" t="str">
        <f>Source!F418</f>
        <v>1.15-2203-7-1/1</v>
      </c>
      <c r="D557" s="18" t="str">
        <f>Source!G418</f>
        <v>Техническое обслуживание крана шарового латунного никелированного диаметром до 25 мм</v>
      </c>
      <c r="E557" s="19" t="str">
        <f>Source!H418</f>
        <v>10 шт.</v>
      </c>
      <c r="F557" s="9">
        <f>Source!I418</f>
        <v>1.2</v>
      </c>
      <c r="G557" s="21"/>
      <c r="H557" s="20"/>
      <c r="I557" s="9"/>
      <c r="J557" s="9"/>
      <c r="K557" s="21"/>
      <c r="L557" s="21"/>
      <c r="Q557">
        <f>ROUND((Source!BZ418/100)*ROUND((Source!AF418*Source!AV418)*Source!I418, 2), 2)</f>
        <v>233.41</v>
      </c>
      <c r="R557">
        <f>Source!X418</f>
        <v>233.41</v>
      </c>
      <c r="S557">
        <f>ROUND((Source!CA418/100)*ROUND((Source!AF418*Source!AV418)*Source!I418, 2), 2)</f>
        <v>33.340000000000003</v>
      </c>
      <c r="T557">
        <f>Source!Y418</f>
        <v>33.340000000000003</v>
      </c>
      <c r="U557">
        <f>ROUND((175/100)*ROUND((Source!AE418*Source!AV418)*Source!I418, 2), 2)</f>
        <v>0</v>
      </c>
      <c r="V557">
        <f>ROUND((108/100)*ROUND(Source!CS418*Source!I418, 2), 2)</f>
        <v>0</v>
      </c>
    </row>
    <row r="558" spans="1:22" x14ac:dyDescent="0.2">
      <c r="D558" s="28" t="str">
        <f>"Объем: "&amp;Source!I418&amp;"=(4+"&amp;"6+"&amp;"2)/"&amp;"10"</f>
        <v>Объем: 1,2=(4+6+2)/10</v>
      </c>
    </row>
    <row r="559" spans="1:22" ht="14.25" x14ac:dyDescent="0.2">
      <c r="A559" s="18"/>
      <c r="B559" s="18"/>
      <c r="C559" s="18"/>
      <c r="D559" s="18" t="s">
        <v>1100</v>
      </c>
      <c r="E559" s="19"/>
      <c r="F559" s="9"/>
      <c r="G559" s="21">
        <f>Source!AO418</f>
        <v>277.87</v>
      </c>
      <c r="H559" s="20" t="str">
        <f>Source!DG418</f>
        <v/>
      </c>
      <c r="I559" s="9">
        <f>Source!AV418</f>
        <v>1</v>
      </c>
      <c r="J559" s="9">
        <f>IF(Source!BA418&lt;&gt; 0, Source!BA418, 1)</f>
        <v>1</v>
      </c>
      <c r="K559" s="21">
        <f>Source!S418</f>
        <v>333.44</v>
      </c>
      <c r="L559" s="21"/>
    </row>
    <row r="560" spans="1:22" ht="14.25" x14ac:dyDescent="0.2">
      <c r="A560" s="18"/>
      <c r="B560" s="18"/>
      <c r="C560" s="18"/>
      <c r="D560" s="18" t="s">
        <v>1102</v>
      </c>
      <c r="E560" s="19" t="s">
        <v>1103</v>
      </c>
      <c r="F560" s="9">
        <f>Source!AT418</f>
        <v>70</v>
      </c>
      <c r="G560" s="21"/>
      <c r="H560" s="20"/>
      <c r="I560" s="9"/>
      <c r="J560" s="9"/>
      <c r="K560" s="21">
        <f>SUM(R557:R559)</f>
        <v>233.41</v>
      </c>
      <c r="L560" s="21"/>
    </row>
    <row r="561" spans="1:22" ht="14.25" x14ac:dyDescent="0.2">
      <c r="A561" s="18"/>
      <c r="B561" s="18"/>
      <c r="C561" s="18"/>
      <c r="D561" s="18" t="s">
        <v>1104</v>
      </c>
      <c r="E561" s="19" t="s">
        <v>1103</v>
      </c>
      <c r="F561" s="9">
        <f>Source!AU418</f>
        <v>10</v>
      </c>
      <c r="G561" s="21"/>
      <c r="H561" s="20"/>
      <c r="I561" s="9"/>
      <c r="J561" s="9"/>
      <c r="K561" s="21">
        <f>SUM(T557:T560)</f>
        <v>33.340000000000003</v>
      </c>
      <c r="L561" s="21"/>
    </row>
    <row r="562" spans="1:22" ht="14.25" x14ac:dyDescent="0.2">
      <c r="A562" s="18"/>
      <c r="B562" s="18"/>
      <c r="C562" s="18"/>
      <c r="D562" s="18" t="s">
        <v>1105</v>
      </c>
      <c r="E562" s="19" t="s">
        <v>1106</v>
      </c>
      <c r="F562" s="9">
        <f>Source!AQ418</f>
        <v>0.45</v>
      </c>
      <c r="G562" s="21"/>
      <c r="H562" s="20" t="str">
        <f>Source!DI418</f>
        <v/>
      </c>
      <c r="I562" s="9">
        <f>Source!AV418</f>
        <v>1</v>
      </c>
      <c r="J562" s="9"/>
      <c r="K562" s="21"/>
      <c r="L562" s="21">
        <f>Source!U418</f>
        <v>0.54</v>
      </c>
    </row>
    <row r="563" spans="1:22" ht="15" x14ac:dyDescent="0.25">
      <c r="A563" s="23"/>
      <c r="B563" s="23"/>
      <c r="C563" s="23"/>
      <c r="D563" s="23"/>
      <c r="E563" s="23"/>
      <c r="F563" s="23"/>
      <c r="G563" s="23"/>
      <c r="H563" s="23"/>
      <c r="I563" s="23"/>
      <c r="J563" s="44">
        <f>K559+K560+K561</f>
        <v>600.19000000000005</v>
      </c>
      <c r="K563" s="44"/>
      <c r="L563" s="24">
        <f>IF(Source!I418&lt;&gt;0, ROUND(J563/Source!I418, 2), 0)</f>
        <v>500.16</v>
      </c>
      <c r="P563" s="22">
        <f>J563</f>
        <v>600.19000000000005</v>
      </c>
    </row>
    <row r="564" spans="1:22" ht="42.75" x14ac:dyDescent="0.2">
      <c r="A564" s="18">
        <v>61</v>
      </c>
      <c r="B564" s="18">
        <v>61</v>
      </c>
      <c r="C564" s="18" t="str">
        <f>Source!F419</f>
        <v>1.15-2303-5-4/1</v>
      </c>
      <c r="D564" s="18" t="str">
        <f>Source!G419</f>
        <v>Техническое обслуживание фильтров водяных фланцевых сетчатых диаметром до 200 мм</v>
      </c>
      <c r="E564" s="19" t="str">
        <f>Source!H419</f>
        <v>10 шт.</v>
      </c>
      <c r="F564" s="9">
        <f>Source!I419</f>
        <v>0.2</v>
      </c>
      <c r="G564" s="21"/>
      <c r="H564" s="20"/>
      <c r="I564" s="9"/>
      <c r="J564" s="9"/>
      <c r="K564" s="21"/>
      <c r="L564" s="21"/>
      <c r="Q564">
        <f>ROUND((Source!BZ419/100)*ROUND((Source!AF419*Source!AV419)*Source!I419, 2), 2)</f>
        <v>601.29999999999995</v>
      </c>
      <c r="R564">
        <f>Source!X419</f>
        <v>601.29999999999995</v>
      </c>
      <c r="S564">
        <f>ROUND((Source!CA419/100)*ROUND((Source!AF419*Source!AV419)*Source!I419, 2), 2)</f>
        <v>85.9</v>
      </c>
      <c r="T564">
        <f>Source!Y419</f>
        <v>85.9</v>
      </c>
      <c r="U564">
        <f>ROUND((175/100)*ROUND((Source!AE419*Source!AV419)*Source!I419, 2), 2)</f>
        <v>0</v>
      </c>
      <c r="V564">
        <f>ROUND((108/100)*ROUND(Source!CS419*Source!I419, 2), 2)</f>
        <v>0</v>
      </c>
    </row>
    <row r="565" spans="1:22" x14ac:dyDescent="0.2">
      <c r="D565" s="28" t="str">
        <f>"Объем: "&amp;Source!I419&amp;"=2/"&amp;"10"</f>
        <v>Объем: 0,2=2/10</v>
      </c>
    </row>
    <row r="566" spans="1:22" ht="14.25" x14ac:dyDescent="0.2">
      <c r="A566" s="18"/>
      <c r="B566" s="18"/>
      <c r="C566" s="18"/>
      <c r="D566" s="18" t="s">
        <v>1100</v>
      </c>
      <c r="E566" s="19"/>
      <c r="F566" s="9"/>
      <c r="G566" s="21">
        <f>Source!AO419</f>
        <v>4294.9799999999996</v>
      </c>
      <c r="H566" s="20" t="str">
        <f>Source!DG419</f>
        <v/>
      </c>
      <c r="I566" s="9">
        <f>Source!AV419</f>
        <v>1</v>
      </c>
      <c r="J566" s="9">
        <f>IF(Source!BA419&lt;&gt; 0, Source!BA419, 1)</f>
        <v>1</v>
      </c>
      <c r="K566" s="21">
        <f>Source!S419</f>
        <v>859</v>
      </c>
      <c r="L566" s="21"/>
    </row>
    <row r="567" spans="1:22" ht="14.25" x14ac:dyDescent="0.2">
      <c r="A567" s="18"/>
      <c r="B567" s="18"/>
      <c r="C567" s="18"/>
      <c r="D567" s="18" t="s">
        <v>1101</v>
      </c>
      <c r="E567" s="19"/>
      <c r="F567" s="9"/>
      <c r="G567" s="21">
        <f>Source!AL419</f>
        <v>2.52</v>
      </c>
      <c r="H567" s="20" t="str">
        <f>Source!DD419</f>
        <v/>
      </c>
      <c r="I567" s="9">
        <f>Source!AW419</f>
        <v>1</v>
      </c>
      <c r="J567" s="9">
        <f>IF(Source!BC419&lt;&gt; 0, Source!BC419, 1)</f>
        <v>1</v>
      </c>
      <c r="K567" s="21">
        <f>Source!P419</f>
        <v>0.5</v>
      </c>
      <c r="L567" s="21"/>
    </row>
    <row r="568" spans="1:22" ht="57" x14ac:dyDescent="0.2">
      <c r="A568" s="18" t="s">
        <v>361</v>
      </c>
      <c r="B568" s="18" t="s">
        <v>361</v>
      </c>
      <c r="C568" s="18" t="str">
        <f>Source!F420</f>
        <v>21.26-1-115</v>
      </c>
      <c r="D568" s="18" t="str">
        <f>Source!G420</f>
        <v>Прокладки из терморасширенного графита для обслуживания фильтра сетчатого чугунного фланцевого диаметром 200 мм</v>
      </c>
      <c r="E568" s="19" t="str">
        <f>Source!H420</f>
        <v>шт.</v>
      </c>
      <c r="F568" s="9">
        <f>Source!I420</f>
        <v>2</v>
      </c>
      <c r="G568" s="21">
        <f>Source!AK420</f>
        <v>739.81</v>
      </c>
      <c r="H568" s="30" t="s">
        <v>3</v>
      </c>
      <c r="I568" s="9">
        <f>Source!AW420</f>
        <v>1</v>
      </c>
      <c r="J568" s="9">
        <f>IF(Source!BC420&lt;&gt; 0, Source!BC420, 1)</f>
        <v>1</v>
      </c>
      <c r="K568" s="21">
        <f>Source!O420</f>
        <v>1479.62</v>
      </c>
      <c r="L568" s="21"/>
      <c r="Q568">
        <f>ROUND((Source!BZ420/100)*ROUND((Source!AF420*Source!AV420)*Source!I420, 2), 2)</f>
        <v>0</v>
      </c>
      <c r="R568">
        <f>Source!X420</f>
        <v>0</v>
      </c>
      <c r="S568">
        <f>ROUND((Source!CA420/100)*ROUND((Source!AF420*Source!AV420)*Source!I420, 2), 2)</f>
        <v>0</v>
      </c>
      <c r="T568">
        <f>Source!Y420</f>
        <v>0</v>
      </c>
      <c r="U568">
        <f>ROUND((175/100)*ROUND((Source!AE420*Source!AV420)*Source!I420, 2), 2)</f>
        <v>0</v>
      </c>
      <c r="V568">
        <f>ROUND((108/100)*ROUND(Source!CS420*Source!I420, 2), 2)</f>
        <v>0</v>
      </c>
    </row>
    <row r="569" spans="1:22" ht="14.25" x14ac:dyDescent="0.2">
      <c r="A569" s="18"/>
      <c r="B569" s="18"/>
      <c r="C569" s="18"/>
      <c r="D569" s="18" t="s">
        <v>1102</v>
      </c>
      <c r="E569" s="19" t="s">
        <v>1103</v>
      </c>
      <c r="F569" s="9">
        <f>Source!AT419</f>
        <v>70</v>
      </c>
      <c r="G569" s="21"/>
      <c r="H569" s="20"/>
      <c r="I569" s="9"/>
      <c r="J569" s="9"/>
      <c r="K569" s="21">
        <f>SUM(R564:R568)</f>
        <v>601.29999999999995</v>
      </c>
      <c r="L569" s="21"/>
    </row>
    <row r="570" spans="1:22" ht="14.25" x14ac:dyDescent="0.2">
      <c r="A570" s="18"/>
      <c r="B570" s="18"/>
      <c r="C570" s="18"/>
      <c r="D570" s="18" t="s">
        <v>1104</v>
      </c>
      <c r="E570" s="19" t="s">
        <v>1103</v>
      </c>
      <c r="F570" s="9">
        <f>Source!AU419</f>
        <v>10</v>
      </c>
      <c r="G570" s="21"/>
      <c r="H570" s="20"/>
      <c r="I570" s="9"/>
      <c r="J570" s="9"/>
      <c r="K570" s="21">
        <f>SUM(T564:T569)</f>
        <v>85.9</v>
      </c>
      <c r="L570" s="21"/>
    </row>
    <row r="571" spans="1:22" ht="14.25" x14ac:dyDescent="0.2">
      <c r="A571" s="18"/>
      <c r="B571" s="18"/>
      <c r="C571" s="18"/>
      <c r="D571" s="18" t="s">
        <v>1105</v>
      </c>
      <c r="E571" s="19" t="s">
        <v>1106</v>
      </c>
      <c r="F571" s="9">
        <f>Source!AQ419</f>
        <v>7.64</v>
      </c>
      <c r="G571" s="21"/>
      <c r="H571" s="20" t="str">
        <f>Source!DI419</f>
        <v/>
      </c>
      <c r="I571" s="9">
        <f>Source!AV419</f>
        <v>1</v>
      </c>
      <c r="J571" s="9"/>
      <c r="K571" s="21"/>
      <c r="L571" s="21">
        <f>Source!U419</f>
        <v>1.528</v>
      </c>
    </row>
    <row r="572" spans="1:22" ht="15" x14ac:dyDescent="0.25">
      <c r="A572" s="23"/>
      <c r="B572" s="23"/>
      <c r="C572" s="23"/>
      <c r="D572" s="23"/>
      <c r="E572" s="23"/>
      <c r="F572" s="23"/>
      <c r="G572" s="23"/>
      <c r="H572" s="23"/>
      <c r="I572" s="23"/>
      <c r="J572" s="44">
        <f>K566+K567+K569+K570+SUM(K568:K568)</f>
        <v>3026.3199999999997</v>
      </c>
      <c r="K572" s="44"/>
      <c r="L572" s="24">
        <f>IF(Source!I419&lt;&gt;0, ROUND(J572/Source!I419, 2), 0)</f>
        <v>15131.6</v>
      </c>
      <c r="P572" s="22">
        <f>J572</f>
        <v>3026.3199999999997</v>
      </c>
    </row>
    <row r="573" spans="1:22" ht="42.75" x14ac:dyDescent="0.2">
      <c r="A573" s="18">
        <v>62</v>
      </c>
      <c r="B573" s="18">
        <v>62</v>
      </c>
      <c r="C573" s="18" t="str">
        <f>Source!F424</f>
        <v>1.23-2103-18-1/1</v>
      </c>
      <c r="D573" s="18" t="str">
        <f>Source!G424</f>
        <v>Техническое обслуживание термометра биметаллического, дилатометрического</v>
      </c>
      <c r="E573" s="19" t="str">
        <f>Source!H424</f>
        <v>шт.</v>
      </c>
      <c r="F573" s="9">
        <f>Source!I424</f>
        <v>6</v>
      </c>
      <c r="G573" s="21"/>
      <c r="H573" s="20"/>
      <c r="I573" s="9"/>
      <c r="J573" s="9"/>
      <c r="K573" s="21"/>
      <c r="L573" s="21"/>
      <c r="Q573">
        <f>ROUND((Source!BZ424/100)*ROUND((Source!AF424*Source!AV424)*Source!I424, 2), 2)</f>
        <v>1847.92</v>
      </c>
      <c r="R573">
        <f>Source!X424</f>
        <v>1847.92</v>
      </c>
      <c r="S573">
        <f>ROUND((Source!CA424/100)*ROUND((Source!AF424*Source!AV424)*Source!I424, 2), 2)</f>
        <v>263.99</v>
      </c>
      <c r="T573">
        <f>Source!Y424</f>
        <v>263.99</v>
      </c>
      <c r="U573">
        <f>ROUND((175/100)*ROUND((Source!AE424*Source!AV424)*Source!I424, 2), 2)</f>
        <v>0</v>
      </c>
      <c r="V573">
        <f>ROUND((108/100)*ROUND(Source!CS424*Source!I424, 2), 2)</f>
        <v>0</v>
      </c>
    </row>
    <row r="574" spans="1:22" x14ac:dyDescent="0.2">
      <c r="D574" s="28" t="str">
        <f>"Объем: "&amp;Source!I424&amp;"=2+"&amp;"4"</f>
        <v>Объем: 6=2+4</v>
      </c>
    </row>
    <row r="575" spans="1:22" ht="14.25" x14ac:dyDescent="0.2">
      <c r="A575" s="18"/>
      <c r="B575" s="18"/>
      <c r="C575" s="18"/>
      <c r="D575" s="18" t="s">
        <v>1100</v>
      </c>
      <c r="E575" s="19"/>
      <c r="F575" s="9"/>
      <c r="G575" s="21">
        <f>Source!AO424</f>
        <v>219.99</v>
      </c>
      <c r="H575" s="20" t="str">
        <f>Source!DG424</f>
        <v>)*2</v>
      </c>
      <c r="I575" s="9">
        <f>Source!AV424</f>
        <v>1</v>
      </c>
      <c r="J575" s="9">
        <f>IF(Source!BA424&lt;&gt; 0, Source!BA424, 1)</f>
        <v>1</v>
      </c>
      <c r="K575" s="21">
        <f>Source!S424</f>
        <v>2639.88</v>
      </c>
      <c r="L575" s="21"/>
    </row>
    <row r="576" spans="1:22" ht="14.25" x14ac:dyDescent="0.2">
      <c r="A576" s="18"/>
      <c r="B576" s="18"/>
      <c r="C576" s="18"/>
      <c r="D576" s="18" t="s">
        <v>1101</v>
      </c>
      <c r="E576" s="19"/>
      <c r="F576" s="9"/>
      <c r="G576" s="21">
        <f>Source!AL424</f>
        <v>19.14</v>
      </c>
      <c r="H576" s="20" t="str">
        <f>Source!DD424</f>
        <v>)*2</v>
      </c>
      <c r="I576" s="9">
        <f>Source!AW424</f>
        <v>1</v>
      </c>
      <c r="J576" s="9">
        <f>IF(Source!BC424&lt;&gt; 0, Source!BC424, 1)</f>
        <v>1</v>
      </c>
      <c r="K576" s="21">
        <f>Source!P424</f>
        <v>229.68</v>
      </c>
      <c r="L576" s="21"/>
    </row>
    <row r="577" spans="1:22" ht="14.25" x14ac:dyDescent="0.2">
      <c r="A577" s="18"/>
      <c r="B577" s="18"/>
      <c r="C577" s="18"/>
      <c r="D577" s="18" t="s">
        <v>1102</v>
      </c>
      <c r="E577" s="19" t="s">
        <v>1103</v>
      </c>
      <c r="F577" s="9">
        <f>Source!AT424</f>
        <v>70</v>
      </c>
      <c r="G577" s="21"/>
      <c r="H577" s="20"/>
      <c r="I577" s="9"/>
      <c r="J577" s="9"/>
      <c r="K577" s="21">
        <f>SUM(R573:R576)</f>
        <v>1847.92</v>
      </c>
      <c r="L577" s="21"/>
    </row>
    <row r="578" spans="1:22" ht="14.25" x14ac:dyDescent="0.2">
      <c r="A578" s="18"/>
      <c r="B578" s="18"/>
      <c r="C578" s="18"/>
      <c r="D578" s="18" t="s">
        <v>1104</v>
      </c>
      <c r="E578" s="19" t="s">
        <v>1103</v>
      </c>
      <c r="F578" s="9">
        <f>Source!AU424</f>
        <v>10</v>
      </c>
      <c r="G578" s="21"/>
      <c r="H578" s="20"/>
      <c r="I578" s="9"/>
      <c r="J578" s="9"/>
      <c r="K578" s="21">
        <f>SUM(T573:T577)</f>
        <v>263.99</v>
      </c>
      <c r="L578" s="21"/>
    </row>
    <row r="579" spans="1:22" ht="14.25" x14ac:dyDescent="0.2">
      <c r="A579" s="18"/>
      <c r="B579" s="18"/>
      <c r="C579" s="18"/>
      <c r="D579" s="18" t="s">
        <v>1105</v>
      </c>
      <c r="E579" s="19" t="s">
        <v>1106</v>
      </c>
      <c r="F579" s="9">
        <f>Source!AQ424</f>
        <v>0.31</v>
      </c>
      <c r="G579" s="21"/>
      <c r="H579" s="20" t="str">
        <f>Source!DI424</f>
        <v>)*2</v>
      </c>
      <c r="I579" s="9">
        <f>Source!AV424</f>
        <v>1</v>
      </c>
      <c r="J579" s="9"/>
      <c r="K579" s="21"/>
      <c r="L579" s="21">
        <f>Source!U424</f>
        <v>3.7199999999999998</v>
      </c>
    </row>
    <row r="580" spans="1:22" ht="15" x14ac:dyDescent="0.25">
      <c r="A580" s="23"/>
      <c r="B580" s="23"/>
      <c r="C580" s="23"/>
      <c r="D580" s="23"/>
      <c r="E580" s="23"/>
      <c r="F580" s="23"/>
      <c r="G580" s="23"/>
      <c r="H580" s="23"/>
      <c r="I580" s="23"/>
      <c r="J580" s="44">
        <f>K575+K576+K577+K578</f>
        <v>4981.4699999999993</v>
      </c>
      <c r="K580" s="44"/>
      <c r="L580" s="24">
        <f>IF(Source!I424&lt;&gt;0, ROUND(J580/Source!I424, 2), 0)</f>
        <v>830.25</v>
      </c>
      <c r="P580" s="22">
        <f>J580</f>
        <v>4981.4699999999993</v>
      </c>
    </row>
    <row r="581" spans="1:22" ht="42.75" x14ac:dyDescent="0.2">
      <c r="A581" s="18">
        <v>63</v>
      </c>
      <c r="B581" s="18">
        <v>63</v>
      </c>
      <c r="C581" s="18" t="str">
        <f>Source!F425</f>
        <v>1.15-2203-7-2/1</v>
      </c>
      <c r="D581" s="18" t="str">
        <f>Source!G425</f>
        <v>Техническое обслуживание крана шарового латунного никелированного диаметром до 50 мм</v>
      </c>
      <c r="E581" s="19" t="str">
        <f>Source!H425</f>
        <v>10 шт.</v>
      </c>
      <c r="F581" s="9">
        <f>Source!I425</f>
        <v>0.8</v>
      </c>
      <c r="G581" s="21"/>
      <c r="H581" s="20"/>
      <c r="I581" s="9"/>
      <c r="J581" s="9"/>
      <c r="K581" s="21"/>
      <c r="L581" s="21"/>
      <c r="Q581">
        <f>ROUND((Source!BZ425/100)*ROUND((Source!AF425*Source!AV425)*Source!I425, 2), 2)</f>
        <v>210.94</v>
      </c>
      <c r="R581">
        <f>Source!X425</f>
        <v>210.94</v>
      </c>
      <c r="S581">
        <f>ROUND((Source!CA425/100)*ROUND((Source!AF425*Source!AV425)*Source!I425, 2), 2)</f>
        <v>30.13</v>
      </c>
      <c r="T581">
        <f>Source!Y425</f>
        <v>30.13</v>
      </c>
      <c r="U581">
        <f>ROUND((175/100)*ROUND((Source!AE425*Source!AV425)*Source!I425, 2), 2)</f>
        <v>0</v>
      </c>
      <c r="V581">
        <f>ROUND((108/100)*ROUND(Source!CS425*Source!I425, 2), 2)</f>
        <v>0</v>
      </c>
    </row>
    <row r="582" spans="1:22" x14ac:dyDescent="0.2">
      <c r="D582" s="28" t="str">
        <f>"Объем: "&amp;Source!I425&amp;"=(4+"&amp;"2+"&amp;"2)/"&amp;"10"</f>
        <v>Объем: 0,8=(4+2+2)/10</v>
      </c>
    </row>
    <row r="583" spans="1:22" ht="14.25" x14ac:dyDescent="0.2">
      <c r="A583" s="18"/>
      <c r="B583" s="18"/>
      <c r="C583" s="18"/>
      <c r="D583" s="18" t="s">
        <v>1100</v>
      </c>
      <c r="E583" s="19"/>
      <c r="F583" s="9"/>
      <c r="G583" s="21">
        <f>Source!AO425</f>
        <v>376.67</v>
      </c>
      <c r="H583" s="20" t="str">
        <f>Source!DG425</f>
        <v/>
      </c>
      <c r="I583" s="9">
        <f>Source!AV425</f>
        <v>1</v>
      </c>
      <c r="J583" s="9">
        <f>IF(Source!BA425&lt;&gt; 0, Source!BA425, 1)</f>
        <v>1</v>
      </c>
      <c r="K583" s="21">
        <f>Source!S425</f>
        <v>301.33999999999997</v>
      </c>
      <c r="L583" s="21"/>
    </row>
    <row r="584" spans="1:22" ht="14.25" x14ac:dyDescent="0.2">
      <c r="A584" s="18"/>
      <c r="B584" s="18"/>
      <c r="C584" s="18"/>
      <c r="D584" s="18" t="s">
        <v>1102</v>
      </c>
      <c r="E584" s="19" t="s">
        <v>1103</v>
      </c>
      <c r="F584" s="9">
        <f>Source!AT425</f>
        <v>70</v>
      </c>
      <c r="G584" s="21"/>
      <c r="H584" s="20"/>
      <c r="I584" s="9"/>
      <c r="J584" s="9"/>
      <c r="K584" s="21">
        <f>SUM(R581:R583)</f>
        <v>210.94</v>
      </c>
      <c r="L584" s="21"/>
    </row>
    <row r="585" spans="1:22" ht="14.25" x14ac:dyDescent="0.2">
      <c r="A585" s="18"/>
      <c r="B585" s="18"/>
      <c r="C585" s="18"/>
      <c r="D585" s="18" t="s">
        <v>1104</v>
      </c>
      <c r="E585" s="19" t="s">
        <v>1103</v>
      </c>
      <c r="F585" s="9">
        <f>Source!AU425</f>
        <v>10</v>
      </c>
      <c r="G585" s="21"/>
      <c r="H585" s="20"/>
      <c r="I585" s="9"/>
      <c r="J585" s="9"/>
      <c r="K585" s="21">
        <f>SUM(T581:T584)</f>
        <v>30.13</v>
      </c>
      <c r="L585" s="21"/>
    </row>
    <row r="586" spans="1:22" ht="14.25" x14ac:dyDescent="0.2">
      <c r="A586" s="18"/>
      <c r="B586" s="18"/>
      <c r="C586" s="18"/>
      <c r="D586" s="18" t="s">
        <v>1105</v>
      </c>
      <c r="E586" s="19" t="s">
        <v>1106</v>
      </c>
      <c r="F586" s="9">
        <f>Source!AQ425</f>
        <v>0.61</v>
      </c>
      <c r="G586" s="21"/>
      <c r="H586" s="20" t="str">
        <f>Source!DI425</f>
        <v/>
      </c>
      <c r="I586" s="9">
        <f>Source!AV425</f>
        <v>1</v>
      </c>
      <c r="J586" s="9"/>
      <c r="K586" s="21"/>
      <c r="L586" s="21">
        <f>Source!U425</f>
        <v>0.48799999999999999</v>
      </c>
    </row>
    <row r="587" spans="1:22" ht="15" x14ac:dyDescent="0.25">
      <c r="A587" s="23"/>
      <c r="B587" s="23"/>
      <c r="C587" s="23"/>
      <c r="D587" s="23"/>
      <c r="E587" s="23"/>
      <c r="F587" s="23"/>
      <c r="G587" s="23"/>
      <c r="H587" s="23"/>
      <c r="I587" s="23"/>
      <c r="J587" s="44">
        <f>K583+K584+K585</f>
        <v>542.41</v>
      </c>
      <c r="K587" s="44"/>
      <c r="L587" s="24">
        <f>IF(Source!I425&lt;&gt;0, ROUND(J587/Source!I425, 2), 0)</f>
        <v>678.01</v>
      </c>
      <c r="P587" s="22">
        <f>J587</f>
        <v>542.41</v>
      </c>
    </row>
    <row r="588" spans="1:22" ht="42.75" x14ac:dyDescent="0.2">
      <c r="A588" s="18">
        <v>64</v>
      </c>
      <c r="B588" s="18">
        <v>64</v>
      </c>
      <c r="C588" s="18" t="str">
        <f>Source!F426</f>
        <v>1.15-2203-7-3/1</v>
      </c>
      <c r="D588" s="18" t="str">
        <f>Source!G426</f>
        <v>Техническое обслуживание крана шарового латунного никелированного диаметром до 100 мм</v>
      </c>
      <c r="E588" s="19" t="str">
        <f>Source!H426</f>
        <v>10 шт.</v>
      </c>
      <c r="F588" s="9">
        <f>Source!I426</f>
        <v>0.7</v>
      </c>
      <c r="G588" s="21"/>
      <c r="H588" s="20"/>
      <c r="I588" s="9"/>
      <c r="J588" s="9"/>
      <c r="K588" s="21"/>
      <c r="L588" s="21"/>
      <c r="Q588">
        <f>ROUND((Source!BZ426/100)*ROUND((Source!AF426*Source!AV426)*Source!I426, 2), 2)</f>
        <v>278.36</v>
      </c>
      <c r="R588">
        <f>Source!X426</f>
        <v>278.36</v>
      </c>
      <c r="S588">
        <f>ROUND((Source!CA426/100)*ROUND((Source!AF426*Source!AV426)*Source!I426, 2), 2)</f>
        <v>39.770000000000003</v>
      </c>
      <c r="T588">
        <f>Source!Y426</f>
        <v>39.770000000000003</v>
      </c>
      <c r="U588">
        <f>ROUND((175/100)*ROUND((Source!AE426*Source!AV426)*Source!I426, 2), 2)</f>
        <v>0</v>
      </c>
      <c r="V588">
        <f>ROUND((108/100)*ROUND(Source!CS426*Source!I426, 2), 2)</f>
        <v>0</v>
      </c>
    </row>
    <row r="589" spans="1:22" x14ac:dyDescent="0.2">
      <c r="D589" s="28" t="str">
        <f>"Объем: "&amp;Source!I426&amp;"=(2+"&amp;"2+"&amp;"1+"&amp;"2)/"&amp;"10"</f>
        <v>Объем: 0,7=(2+2+1+2)/10</v>
      </c>
    </row>
    <row r="590" spans="1:22" ht="14.25" x14ac:dyDescent="0.2">
      <c r="A590" s="18"/>
      <c r="B590" s="18"/>
      <c r="C590" s="18"/>
      <c r="D590" s="18" t="s">
        <v>1100</v>
      </c>
      <c r="E590" s="19"/>
      <c r="F590" s="9"/>
      <c r="G590" s="21">
        <f>Source!AO426</f>
        <v>568.09</v>
      </c>
      <c r="H590" s="20" t="str">
        <f>Source!DG426</f>
        <v/>
      </c>
      <c r="I590" s="9">
        <f>Source!AV426</f>
        <v>1</v>
      </c>
      <c r="J590" s="9">
        <f>IF(Source!BA426&lt;&gt; 0, Source!BA426, 1)</f>
        <v>1</v>
      </c>
      <c r="K590" s="21">
        <f>Source!S426</f>
        <v>397.66</v>
      </c>
      <c r="L590" s="21"/>
    </row>
    <row r="591" spans="1:22" ht="14.25" x14ac:dyDescent="0.2">
      <c r="A591" s="18"/>
      <c r="B591" s="18"/>
      <c r="C591" s="18"/>
      <c r="D591" s="18" t="s">
        <v>1102</v>
      </c>
      <c r="E591" s="19" t="s">
        <v>1103</v>
      </c>
      <c r="F591" s="9">
        <f>Source!AT426</f>
        <v>70</v>
      </c>
      <c r="G591" s="21"/>
      <c r="H591" s="20"/>
      <c r="I591" s="9"/>
      <c r="J591" s="9"/>
      <c r="K591" s="21">
        <f>SUM(R588:R590)</f>
        <v>278.36</v>
      </c>
      <c r="L591" s="21"/>
    </row>
    <row r="592" spans="1:22" ht="14.25" x14ac:dyDescent="0.2">
      <c r="A592" s="18"/>
      <c r="B592" s="18"/>
      <c r="C592" s="18"/>
      <c r="D592" s="18" t="s">
        <v>1104</v>
      </c>
      <c r="E592" s="19" t="s">
        <v>1103</v>
      </c>
      <c r="F592" s="9">
        <f>Source!AU426</f>
        <v>10</v>
      </c>
      <c r="G592" s="21"/>
      <c r="H592" s="20"/>
      <c r="I592" s="9"/>
      <c r="J592" s="9"/>
      <c r="K592" s="21">
        <f>SUM(T588:T591)</f>
        <v>39.770000000000003</v>
      </c>
      <c r="L592" s="21"/>
    </row>
    <row r="593" spans="1:22" ht="14.25" x14ac:dyDescent="0.2">
      <c r="A593" s="18"/>
      <c r="B593" s="18"/>
      <c r="C593" s="18"/>
      <c r="D593" s="18" t="s">
        <v>1105</v>
      </c>
      <c r="E593" s="19" t="s">
        <v>1106</v>
      </c>
      <c r="F593" s="9">
        <f>Source!AQ426</f>
        <v>0.92</v>
      </c>
      <c r="G593" s="21"/>
      <c r="H593" s="20" t="str">
        <f>Source!DI426</f>
        <v/>
      </c>
      <c r="I593" s="9">
        <f>Source!AV426</f>
        <v>1</v>
      </c>
      <c r="J593" s="9"/>
      <c r="K593" s="21"/>
      <c r="L593" s="21">
        <f>Source!U426</f>
        <v>0.64400000000000002</v>
      </c>
    </row>
    <row r="594" spans="1:22" ht="15" x14ac:dyDescent="0.25">
      <c r="A594" s="23"/>
      <c r="B594" s="23"/>
      <c r="C594" s="23"/>
      <c r="D594" s="23"/>
      <c r="E594" s="23"/>
      <c r="F594" s="23"/>
      <c r="G594" s="23"/>
      <c r="H594" s="23"/>
      <c r="I594" s="23"/>
      <c r="J594" s="44">
        <f>K590+K591+K592</f>
        <v>715.79</v>
      </c>
      <c r="K594" s="44"/>
      <c r="L594" s="24">
        <f>IF(Source!I426&lt;&gt;0, ROUND(J594/Source!I426, 2), 0)</f>
        <v>1022.56</v>
      </c>
      <c r="P594" s="22">
        <f>J594</f>
        <v>715.79</v>
      </c>
    </row>
    <row r="596" spans="1:22" ht="15" x14ac:dyDescent="0.25">
      <c r="C596" s="47" t="str">
        <f>Source!G427</f>
        <v>Ввод теплосети, распределительный коллектор системы вентиляции</v>
      </c>
      <c r="D596" s="47"/>
      <c r="E596" s="47"/>
      <c r="F596" s="47"/>
      <c r="G596" s="47"/>
      <c r="H596" s="47"/>
      <c r="I596" s="47"/>
      <c r="J596" s="47"/>
      <c r="K596" s="47"/>
    </row>
    <row r="597" spans="1:22" ht="42.75" x14ac:dyDescent="0.2">
      <c r="A597" s="18">
        <v>65</v>
      </c>
      <c r="B597" s="18">
        <v>65</v>
      </c>
      <c r="C597" s="18" t="str">
        <f>Source!F428</f>
        <v>1.15-2203-7-1/1</v>
      </c>
      <c r="D597" s="18" t="str">
        <f>Source!G428</f>
        <v>Техническое обслуживание крана шарового латунного никелированного диаметром до 25 мм</v>
      </c>
      <c r="E597" s="19" t="str">
        <f>Source!H428</f>
        <v>10 шт.</v>
      </c>
      <c r="F597" s="9">
        <f>Source!I428</f>
        <v>0.8</v>
      </c>
      <c r="G597" s="21"/>
      <c r="H597" s="20"/>
      <c r="I597" s="9"/>
      <c r="J597" s="9"/>
      <c r="K597" s="21"/>
      <c r="L597" s="21"/>
      <c r="Q597">
        <f>ROUND((Source!BZ428/100)*ROUND((Source!AF428*Source!AV428)*Source!I428, 2), 2)</f>
        <v>155.61000000000001</v>
      </c>
      <c r="R597">
        <f>Source!X428</f>
        <v>155.61000000000001</v>
      </c>
      <c r="S597">
        <f>ROUND((Source!CA428/100)*ROUND((Source!AF428*Source!AV428)*Source!I428, 2), 2)</f>
        <v>22.23</v>
      </c>
      <c r="T597">
        <f>Source!Y428</f>
        <v>22.23</v>
      </c>
      <c r="U597">
        <f>ROUND((175/100)*ROUND((Source!AE428*Source!AV428)*Source!I428, 2), 2)</f>
        <v>0</v>
      </c>
      <c r="V597">
        <f>ROUND((108/100)*ROUND(Source!CS428*Source!I428, 2), 2)</f>
        <v>0</v>
      </c>
    </row>
    <row r="598" spans="1:22" x14ac:dyDescent="0.2">
      <c r="D598" s="28" t="str">
        <f>"Объем: "&amp;Source!I428&amp;"=(4+"&amp;"2+"&amp;"2)/"&amp;"10"</f>
        <v>Объем: 0,8=(4+2+2)/10</v>
      </c>
    </row>
    <row r="599" spans="1:22" ht="14.25" x14ac:dyDescent="0.2">
      <c r="A599" s="18"/>
      <c r="B599" s="18"/>
      <c r="C599" s="18"/>
      <c r="D599" s="18" t="s">
        <v>1100</v>
      </c>
      <c r="E599" s="19"/>
      <c r="F599" s="9"/>
      <c r="G599" s="21">
        <f>Source!AO428</f>
        <v>277.87</v>
      </c>
      <c r="H599" s="20" t="str">
        <f>Source!DG428</f>
        <v/>
      </c>
      <c r="I599" s="9">
        <f>Source!AV428</f>
        <v>1</v>
      </c>
      <c r="J599" s="9">
        <f>IF(Source!BA428&lt;&gt; 0, Source!BA428, 1)</f>
        <v>1</v>
      </c>
      <c r="K599" s="21">
        <f>Source!S428</f>
        <v>222.3</v>
      </c>
      <c r="L599" s="21"/>
    </row>
    <row r="600" spans="1:22" ht="14.25" x14ac:dyDescent="0.2">
      <c r="A600" s="18"/>
      <c r="B600" s="18"/>
      <c r="C600" s="18"/>
      <c r="D600" s="18" t="s">
        <v>1102</v>
      </c>
      <c r="E600" s="19" t="s">
        <v>1103</v>
      </c>
      <c r="F600" s="9">
        <f>Source!AT428</f>
        <v>70</v>
      </c>
      <c r="G600" s="21"/>
      <c r="H600" s="20"/>
      <c r="I600" s="9"/>
      <c r="J600" s="9"/>
      <c r="K600" s="21">
        <f>SUM(R597:R599)</f>
        <v>155.61000000000001</v>
      </c>
      <c r="L600" s="21"/>
    </row>
    <row r="601" spans="1:22" ht="14.25" x14ac:dyDescent="0.2">
      <c r="A601" s="18"/>
      <c r="B601" s="18"/>
      <c r="C601" s="18"/>
      <c r="D601" s="18" t="s">
        <v>1104</v>
      </c>
      <c r="E601" s="19" t="s">
        <v>1103</v>
      </c>
      <c r="F601" s="9">
        <f>Source!AU428</f>
        <v>10</v>
      </c>
      <c r="G601" s="21"/>
      <c r="H601" s="20"/>
      <c r="I601" s="9"/>
      <c r="J601" s="9"/>
      <c r="K601" s="21">
        <f>SUM(T597:T600)</f>
        <v>22.23</v>
      </c>
      <c r="L601" s="21"/>
    </row>
    <row r="602" spans="1:22" ht="14.25" x14ac:dyDescent="0.2">
      <c r="A602" s="18"/>
      <c r="B602" s="18"/>
      <c r="C602" s="18"/>
      <c r="D602" s="18" t="s">
        <v>1105</v>
      </c>
      <c r="E602" s="19" t="s">
        <v>1106</v>
      </c>
      <c r="F602" s="9">
        <f>Source!AQ428</f>
        <v>0.45</v>
      </c>
      <c r="G602" s="21"/>
      <c r="H602" s="20" t="str">
        <f>Source!DI428</f>
        <v/>
      </c>
      <c r="I602" s="9">
        <f>Source!AV428</f>
        <v>1</v>
      </c>
      <c r="J602" s="9"/>
      <c r="K602" s="21"/>
      <c r="L602" s="21">
        <f>Source!U428</f>
        <v>0.36000000000000004</v>
      </c>
    </row>
    <row r="603" spans="1:22" ht="15" x14ac:dyDescent="0.25">
      <c r="A603" s="23"/>
      <c r="B603" s="23"/>
      <c r="C603" s="23"/>
      <c r="D603" s="23"/>
      <c r="E603" s="23"/>
      <c r="F603" s="23"/>
      <c r="G603" s="23"/>
      <c r="H603" s="23"/>
      <c r="I603" s="23"/>
      <c r="J603" s="44">
        <f>K599+K600+K601</f>
        <v>400.14000000000004</v>
      </c>
      <c r="K603" s="44"/>
      <c r="L603" s="24">
        <f>IF(Source!I428&lt;&gt;0, ROUND(J603/Source!I428, 2), 0)</f>
        <v>500.18</v>
      </c>
      <c r="P603" s="22">
        <f>J603</f>
        <v>400.14000000000004</v>
      </c>
    </row>
    <row r="604" spans="1:22" ht="42.75" x14ac:dyDescent="0.2">
      <c r="A604" s="18">
        <v>66</v>
      </c>
      <c r="B604" s="18">
        <v>66</v>
      </c>
      <c r="C604" s="18" t="str">
        <f>Source!F429</f>
        <v>1.15-2203-7-3/1</v>
      </c>
      <c r="D604" s="18" t="str">
        <f>Source!G429</f>
        <v>Техническое обслуживание крана шарового латунного никелированного диаметром до 100 мм</v>
      </c>
      <c r="E604" s="19" t="str">
        <f>Source!H429</f>
        <v>10 шт.</v>
      </c>
      <c r="F604" s="9">
        <f>Source!I429</f>
        <v>0.7</v>
      </c>
      <c r="G604" s="21"/>
      <c r="H604" s="20"/>
      <c r="I604" s="9"/>
      <c r="J604" s="9"/>
      <c r="K604" s="21"/>
      <c r="L604" s="21"/>
      <c r="Q604">
        <f>ROUND((Source!BZ429/100)*ROUND((Source!AF429*Source!AV429)*Source!I429, 2), 2)</f>
        <v>278.36</v>
      </c>
      <c r="R604">
        <f>Source!X429</f>
        <v>278.36</v>
      </c>
      <c r="S604">
        <f>ROUND((Source!CA429/100)*ROUND((Source!AF429*Source!AV429)*Source!I429, 2), 2)</f>
        <v>39.770000000000003</v>
      </c>
      <c r="T604">
        <f>Source!Y429</f>
        <v>39.770000000000003</v>
      </c>
      <c r="U604">
        <f>ROUND((175/100)*ROUND((Source!AE429*Source!AV429)*Source!I429, 2), 2)</f>
        <v>0</v>
      </c>
      <c r="V604">
        <f>ROUND((108/100)*ROUND(Source!CS429*Source!I429, 2), 2)</f>
        <v>0</v>
      </c>
    </row>
    <row r="605" spans="1:22" x14ac:dyDescent="0.2">
      <c r="D605" s="28" t="str">
        <f>"Объем: "&amp;Source!I429&amp;"=(2+"&amp;"2+"&amp;"1+"&amp;"2)/"&amp;"10"</f>
        <v>Объем: 0,7=(2+2+1+2)/10</v>
      </c>
    </row>
    <row r="606" spans="1:22" ht="14.25" x14ac:dyDescent="0.2">
      <c r="A606" s="18"/>
      <c r="B606" s="18"/>
      <c r="C606" s="18"/>
      <c r="D606" s="18" t="s">
        <v>1100</v>
      </c>
      <c r="E606" s="19"/>
      <c r="F606" s="9"/>
      <c r="G606" s="21">
        <f>Source!AO429</f>
        <v>568.09</v>
      </c>
      <c r="H606" s="20" t="str">
        <f>Source!DG429</f>
        <v/>
      </c>
      <c r="I606" s="9">
        <f>Source!AV429</f>
        <v>1</v>
      </c>
      <c r="J606" s="9">
        <f>IF(Source!BA429&lt;&gt; 0, Source!BA429, 1)</f>
        <v>1</v>
      </c>
      <c r="K606" s="21">
        <f>Source!S429</f>
        <v>397.66</v>
      </c>
      <c r="L606" s="21"/>
    </row>
    <row r="607" spans="1:22" ht="14.25" x14ac:dyDescent="0.2">
      <c r="A607" s="18"/>
      <c r="B607" s="18"/>
      <c r="C607" s="18"/>
      <c r="D607" s="18" t="s">
        <v>1102</v>
      </c>
      <c r="E607" s="19" t="s">
        <v>1103</v>
      </c>
      <c r="F607" s="9">
        <f>Source!AT429</f>
        <v>70</v>
      </c>
      <c r="G607" s="21"/>
      <c r="H607" s="20"/>
      <c r="I607" s="9"/>
      <c r="J607" s="9"/>
      <c r="K607" s="21">
        <f>SUM(R604:R606)</f>
        <v>278.36</v>
      </c>
      <c r="L607" s="21"/>
    </row>
    <row r="608" spans="1:22" ht="14.25" x14ac:dyDescent="0.2">
      <c r="A608" s="18"/>
      <c r="B608" s="18"/>
      <c r="C608" s="18"/>
      <c r="D608" s="18" t="s">
        <v>1104</v>
      </c>
      <c r="E608" s="19" t="s">
        <v>1103</v>
      </c>
      <c r="F608" s="9">
        <f>Source!AU429</f>
        <v>10</v>
      </c>
      <c r="G608" s="21"/>
      <c r="H608" s="20"/>
      <c r="I608" s="9"/>
      <c r="J608" s="9"/>
      <c r="K608" s="21">
        <f>SUM(T604:T607)</f>
        <v>39.770000000000003</v>
      </c>
      <c r="L608" s="21"/>
    </row>
    <row r="609" spans="1:32" ht="14.25" x14ac:dyDescent="0.2">
      <c r="A609" s="18"/>
      <c r="B609" s="18"/>
      <c r="C609" s="18"/>
      <c r="D609" s="18" t="s">
        <v>1105</v>
      </c>
      <c r="E609" s="19" t="s">
        <v>1106</v>
      </c>
      <c r="F609" s="9">
        <f>Source!AQ429</f>
        <v>0.92</v>
      </c>
      <c r="G609" s="21"/>
      <c r="H609" s="20" t="str">
        <f>Source!DI429</f>
        <v/>
      </c>
      <c r="I609" s="9">
        <f>Source!AV429</f>
        <v>1</v>
      </c>
      <c r="J609" s="9"/>
      <c r="K609" s="21"/>
      <c r="L609" s="21">
        <f>Source!U429</f>
        <v>0.64400000000000002</v>
      </c>
    </row>
    <row r="610" spans="1:32" ht="15" x14ac:dyDescent="0.25">
      <c r="A610" s="23"/>
      <c r="B610" s="23"/>
      <c r="C610" s="23"/>
      <c r="D610" s="23"/>
      <c r="E610" s="23"/>
      <c r="F610" s="23"/>
      <c r="G610" s="23"/>
      <c r="H610" s="23"/>
      <c r="I610" s="23"/>
      <c r="J610" s="44">
        <f>K606+K607+K608</f>
        <v>715.79</v>
      </c>
      <c r="K610" s="44"/>
      <c r="L610" s="24">
        <f>IF(Source!I429&lt;&gt;0, ROUND(J610/Source!I429, 2), 0)</f>
        <v>1022.56</v>
      </c>
      <c r="P610" s="22">
        <f>J610</f>
        <v>715.79</v>
      </c>
    </row>
    <row r="611" spans="1:32" ht="42.75" x14ac:dyDescent="0.2">
      <c r="A611" s="18">
        <v>67</v>
      </c>
      <c r="B611" s="18">
        <v>67</v>
      </c>
      <c r="C611" s="18" t="str">
        <f>Source!F433</f>
        <v>1.23-2103-18-1/1</v>
      </c>
      <c r="D611" s="18" t="str">
        <f>Source!G433</f>
        <v>Техническое обслуживание термометра биметаллического, дилатометрического</v>
      </c>
      <c r="E611" s="19" t="str">
        <f>Source!H433</f>
        <v>шт.</v>
      </c>
      <c r="F611" s="9">
        <f>Source!I433</f>
        <v>4</v>
      </c>
      <c r="G611" s="21"/>
      <c r="H611" s="20"/>
      <c r="I611" s="9"/>
      <c r="J611" s="9"/>
      <c r="K611" s="21"/>
      <c r="L611" s="21"/>
      <c r="Q611">
        <f>ROUND((Source!BZ433/100)*ROUND((Source!AF433*Source!AV433)*Source!I433, 2), 2)</f>
        <v>1231.94</v>
      </c>
      <c r="R611">
        <f>Source!X433</f>
        <v>1231.94</v>
      </c>
      <c r="S611">
        <f>ROUND((Source!CA433/100)*ROUND((Source!AF433*Source!AV433)*Source!I433, 2), 2)</f>
        <v>175.99</v>
      </c>
      <c r="T611">
        <f>Source!Y433</f>
        <v>175.99</v>
      </c>
      <c r="U611">
        <f>ROUND((175/100)*ROUND((Source!AE433*Source!AV433)*Source!I433, 2), 2)</f>
        <v>0</v>
      </c>
      <c r="V611">
        <f>ROUND((108/100)*ROUND(Source!CS433*Source!I433, 2), 2)</f>
        <v>0</v>
      </c>
    </row>
    <row r="612" spans="1:32" ht="14.25" x14ac:dyDescent="0.2">
      <c r="A612" s="18"/>
      <c r="B612" s="18"/>
      <c r="C612" s="18"/>
      <c r="D612" s="18" t="s">
        <v>1100</v>
      </c>
      <c r="E612" s="19"/>
      <c r="F612" s="9"/>
      <c r="G612" s="21">
        <f>Source!AO433</f>
        <v>219.99</v>
      </c>
      <c r="H612" s="20" t="str">
        <f>Source!DG433</f>
        <v>)*2</v>
      </c>
      <c r="I612" s="9">
        <f>Source!AV433</f>
        <v>1</v>
      </c>
      <c r="J612" s="9">
        <f>IF(Source!BA433&lt;&gt; 0, Source!BA433, 1)</f>
        <v>1</v>
      </c>
      <c r="K612" s="21">
        <f>Source!S433</f>
        <v>1759.92</v>
      </c>
      <c r="L612" s="21"/>
    </row>
    <row r="613" spans="1:32" ht="14.25" x14ac:dyDescent="0.2">
      <c r="A613" s="18"/>
      <c r="B613" s="18"/>
      <c r="C613" s="18"/>
      <c r="D613" s="18" t="s">
        <v>1101</v>
      </c>
      <c r="E613" s="19"/>
      <c r="F613" s="9"/>
      <c r="G613" s="21">
        <f>Source!AL433</f>
        <v>19.14</v>
      </c>
      <c r="H613" s="20" t="str">
        <f>Source!DD433</f>
        <v>)*2</v>
      </c>
      <c r="I613" s="9">
        <f>Source!AW433</f>
        <v>1</v>
      </c>
      <c r="J613" s="9">
        <f>IF(Source!BC433&lt;&gt; 0, Source!BC433, 1)</f>
        <v>1</v>
      </c>
      <c r="K613" s="21">
        <f>Source!P433</f>
        <v>153.12</v>
      </c>
      <c r="L613" s="21"/>
    </row>
    <row r="614" spans="1:32" ht="14.25" x14ac:dyDescent="0.2">
      <c r="A614" s="18"/>
      <c r="B614" s="18"/>
      <c r="C614" s="18"/>
      <c r="D614" s="18" t="s">
        <v>1102</v>
      </c>
      <c r="E614" s="19" t="s">
        <v>1103</v>
      </c>
      <c r="F614" s="9">
        <f>Source!AT433</f>
        <v>70</v>
      </c>
      <c r="G614" s="21"/>
      <c r="H614" s="20"/>
      <c r="I614" s="9"/>
      <c r="J614" s="9"/>
      <c r="K614" s="21">
        <f>SUM(R611:R613)</f>
        <v>1231.94</v>
      </c>
      <c r="L614" s="21"/>
    </row>
    <row r="615" spans="1:32" ht="14.25" x14ac:dyDescent="0.2">
      <c r="A615" s="18"/>
      <c r="B615" s="18"/>
      <c r="C615" s="18"/>
      <c r="D615" s="18" t="s">
        <v>1104</v>
      </c>
      <c r="E615" s="19" t="s">
        <v>1103</v>
      </c>
      <c r="F615" s="9">
        <f>Source!AU433</f>
        <v>10</v>
      </c>
      <c r="G615" s="21"/>
      <c r="H615" s="20"/>
      <c r="I615" s="9"/>
      <c r="J615" s="9"/>
      <c r="K615" s="21">
        <f>SUM(T611:T614)</f>
        <v>175.99</v>
      </c>
      <c r="L615" s="21"/>
    </row>
    <row r="616" spans="1:32" ht="14.25" x14ac:dyDescent="0.2">
      <c r="A616" s="18"/>
      <c r="B616" s="18"/>
      <c r="C616" s="18"/>
      <c r="D616" s="18" t="s">
        <v>1105</v>
      </c>
      <c r="E616" s="19" t="s">
        <v>1106</v>
      </c>
      <c r="F616" s="9">
        <f>Source!AQ433</f>
        <v>0.31</v>
      </c>
      <c r="G616" s="21"/>
      <c r="H616" s="20" t="str">
        <f>Source!DI433</f>
        <v>)*2</v>
      </c>
      <c r="I616" s="9">
        <f>Source!AV433</f>
        <v>1</v>
      </c>
      <c r="J616" s="9"/>
      <c r="K616" s="21"/>
      <c r="L616" s="21">
        <f>Source!U433</f>
        <v>2.48</v>
      </c>
    </row>
    <row r="617" spans="1:32" ht="15" x14ac:dyDescent="0.25">
      <c r="A617" s="23"/>
      <c r="B617" s="23"/>
      <c r="C617" s="23"/>
      <c r="D617" s="23"/>
      <c r="E617" s="23"/>
      <c r="F617" s="23"/>
      <c r="G617" s="23"/>
      <c r="H617" s="23"/>
      <c r="I617" s="23"/>
      <c r="J617" s="44">
        <f>K612+K613+K614+K615</f>
        <v>3320.9700000000003</v>
      </c>
      <c r="K617" s="44"/>
      <c r="L617" s="24">
        <f>IF(Source!I433&lt;&gt;0, ROUND(J617/Source!I433, 2), 0)</f>
        <v>830.24</v>
      </c>
      <c r="P617" s="22">
        <f>J617</f>
        <v>3320.9700000000003</v>
      </c>
    </row>
    <row r="619" spans="1:32" ht="15" x14ac:dyDescent="0.25">
      <c r="A619" s="46" t="str">
        <f>CONCATENATE("Итого по подразделу: ",IF(Source!G445&lt;&gt;"Новый подраздел", Source!G445, ""))</f>
        <v>Итого по подразделу: 2.2 Автоматизированный узел управления системой отопления и вентиляции воздуха</v>
      </c>
      <c r="B619" s="46"/>
      <c r="C619" s="46"/>
      <c r="D619" s="46"/>
      <c r="E619" s="46"/>
      <c r="F619" s="46"/>
      <c r="G619" s="46"/>
      <c r="H619" s="46"/>
      <c r="I619" s="46"/>
      <c r="J619" s="45">
        <f>SUM(P366:P618)</f>
        <v>77586.929999999978</v>
      </c>
      <c r="K619" s="59"/>
      <c r="L619" s="26"/>
      <c r="AF619" s="27" t="str">
        <f>CONCATENATE("Итого по подразделу: ",IF(Source!G445&lt;&gt;"Новый подраздел", Source!G445, ""))</f>
        <v>Итого по подразделу: 2.2 Автоматизированный узел управления системой отопления и вентиляции воздуха</v>
      </c>
    </row>
    <row r="622" spans="1:32" ht="15" x14ac:dyDescent="0.25">
      <c r="A622" s="46" t="str">
        <f>CONCATENATE("Итого по разделу: ",IF(Source!G475&lt;&gt;"Новый раздел", Source!G475, ""))</f>
        <v>Итого по разделу: 2. Внутренние сети отопления</v>
      </c>
      <c r="B622" s="46"/>
      <c r="C622" s="46"/>
      <c r="D622" s="46"/>
      <c r="E622" s="46"/>
      <c r="F622" s="46"/>
      <c r="G622" s="46"/>
      <c r="H622" s="46"/>
      <c r="I622" s="46"/>
      <c r="J622" s="45">
        <f>SUM(P211:P621)</f>
        <v>373560.85999999987</v>
      </c>
      <c r="K622" s="59"/>
      <c r="L622" s="26"/>
    </row>
    <row r="625" spans="1:22" ht="16.5" x14ac:dyDescent="0.25">
      <c r="A625" s="48" t="str">
        <f>CONCATENATE("Раздел: ",IF(Source!G505&lt;&gt;"Новый раздел", Source!G505, ""))</f>
        <v>Раздел: 3. Вентиляция и кондиционирование</v>
      </c>
      <c r="B625" s="48"/>
      <c r="C625" s="48"/>
      <c r="D625" s="48"/>
      <c r="E625" s="48"/>
      <c r="F625" s="48"/>
      <c r="G625" s="48"/>
      <c r="H625" s="48"/>
      <c r="I625" s="48"/>
      <c r="J625" s="48"/>
      <c r="K625" s="48"/>
      <c r="L625" s="48"/>
    </row>
    <row r="627" spans="1:22" ht="16.5" x14ac:dyDescent="0.25">
      <c r="A627" s="48" t="str">
        <f>CONCATENATE("Подраздел: ",IF(Source!G509&lt;&gt;"Новый подраздел", Source!G509, ""))</f>
        <v>Подраздел: Вентиляция</v>
      </c>
      <c r="B627" s="48"/>
      <c r="C627" s="48"/>
      <c r="D627" s="48"/>
      <c r="E627" s="48"/>
      <c r="F627" s="48"/>
      <c r="G627" s="48"/>
      <c r="H627" s="48"/>
      <c r="I627" s="48"/>
      <c r="J627" s="48"/>
      <c r="K627" s="48"/>
      <c r="L627" s="48"/>
    </row>
    <row r="628" spans="1:22" ht="42.75" x14ac:dyDescent="0.2">
      <c r="A628" s="18">
        <v>68</v>
      </c>
      <c r="B628" s="18">
        <v>68</v>
      </c>
      <c r="C628" s="18" t="str">
        <f>Source!F515</f>
        <v>1.18-2403-21-4/1</v>
      </c>
      <c r="D628" s="18" t="str">
        <f>Source!G515</f>
        <v>Техническое обслуживание приточных установок производительностью до 5000 м3/ч - ежеквартальное</v>
      </c>
      <c r="E628" s="19" t="str">
        <f>Source!H515</f>
        <v>установка</v>
      </c>
      <c r="F628" s="9">
        <f>Source!I515</f>
        <v>4</v>
      </c>
      <c r="G628" s="21"/>
      <c r="H628" s="20"/>
      <c r="I628" s="9"/>
      <c r="J628" s="9"/>
      <c r="K628" s="21"/>
      <c r="L628" s="21"/>
      <c r="Q628">
        <f>ROUND((Source!BZ515/100)*ROUND((Source!AF515*Source!AV515)*Source!I515, 2), 2)</f>
        <v>11668.33</v>
      </c>
      <c r="R628">
        <f>Source!X515</f>
        <v>11668.33</v>
      </c>
      <c r="S628">
        <f>ROUND((Source!CA515/100)*ROUND((Source!AF515*Source!AV515)*Source!I515, 2), 2)</f>
        <v>1666.9</v>
      </c>
      <c r="T628">
        <f>Source!Y515</f>
        <v>1666.9</v>
      </c>
      <c r="U628">
        <f>ROUND((175/100)*ROUND((Source!AE515*Source!AV515)*Source!I515, 2), 2)</f>
        <v>0.28000000000000003</v>
      </c>
      <c r="V628">
        <f>ROUND((108/100)*ROUND(Source!CS515*Source!I515, 2), 2)</f>
        <v>0.17</v>
      </c>
    </row>
    <row r="629" spans="1:22" ht="14.25" x14ac:dyDescent="0.2">
      <c r="A629" s="18"/>
      <c r="B629" s="18"/>
      <c r="C629" s="18"/>
      <c r="D629" s="18" t="s">
        <v>1100</v>
      </c>
      <c r="E629" s="19"/>
      <c r="F629" s="9"/>
      <c r="G629" s="21">
        <f>Source!AO515</f>
        <v>2083.63</v>
      </c>
      <c r="H629" s="20" t="str">
        <f>Source!DG515</f>
        <v>)*2</v>
      </c>
      <c r="I629" s="9">
        <f>Source!AV515</f>
        <v>1</v>
      </c>
      <c r="J629" s="9">
        <f>IF(Source!BA515&lt;&gt; 0, Source!BA515, 1)</f>
        <v>1</v>
      </c>
      <c r="K629" s="21">
        <f>Source!S515</f>
        <v>16669.04</v>
      </c>
      <c r="L629" s="21"/>
    </row>
    <row r="630" spans="1:22" ht="14.25" x14ac:dyDescent="0.2">
      <c r="A630" s="18"/>
      <c r="B630" s="18"/>
      <c r="C630" s="18"/>
      <c r="D630" s="18" t="s">
        <v>1107</v>
      </c>
      <c r="E630" s="19"/>
      <c r="F630" s="9"/>
      <c r="G630" s="21">
        <f>Source!AM515</f>
        <v>1.79</v>
      </c>
      <c r="H630" s="20" t="str">
        <f>Source!DE515</f>
        <v>)*2</v>
      </c>
      <c r="I630" s="9">
        <f>Source!AV515</f>
        <v>1</v>
      </c>
      <c r="J630" s="9">
        <f>IF(Source!BB515&lt;&gt; 0, Source!BB515, 1)</f>
        <v>1</v>
      </c>
      <c r="K630" s="21">
        <f>Source!Q515</f>
        <v>14.32</v>
      </c>
      <c r="L630" s="21"/>
    </row>
    <row r="631" spans="1:22" ht="14.25" x14ac:dyDescent="0.2">
      <c r="A631" s="18"/>
      <c r="B631" s="18"/>
      <c r="C631" s="18"/>
      <c r="D631" s="18" t="s">
        <v>1108</v>
      </c>
      <c r="E631" s="19"/>
      <c r="F631" s="9"/>
      <c r="G631" s="21">
        <f>Source!AN515</f>
        <v>0.02</v>
      </c>
      <c r="H631" s="20" t="str">
        <f>Source!DF515</f>
        <v>)*2</v>
      </c>
      <c r="I631" s="9">
        <f>Source!AV515</f>
        <v>1</v>
      </c>
      <c r="J631" s="9">
        <f>IF(Source!BS515&lt;&gt; 0, Source!BS515, 1)</f>
        <v>1</v>
      </c>
      <c r="K631" s="25">
        <f>Source!R515</f>
        <v>0.16</v>
      </c>
      <c r="L631" s="21"/>
    </row>
    <row r="632" spans="1:22" ht="14.25" x14ac:dyDescent="0.2">
      <c r="A632" s="18"/>
      <c r="B632" s="18"/>
      <c r="C632" s="18"/>
      <c r="D632" s="18" t="s">
        <v>1101</v>
      </c>
      <c r="E632" s="19"/>
      <c r="F632" s="9"/>
      <c r="G632" s="21">
        <f>Source!AL515</f>
        <v>10.08</v>
      </c>
      <c r="H632" s="20" t="str">
        <f>Source!DD515</f>
        <v>)*2</v>
      </c>
      <c r="I632" s="9">
        <f>Source!AW515</f>
        <v>1</v>
      </c>
      <c r="J632" s="9">
        <f>IF(Source!BC515&lt;&gt; 0, Source!BC515, 1)</f>
        <v>1</v>
      </c>
      <c r="K632" s="21">
        <f>Source!P515</f>
        <v>80.64</v>
      </c>
      <c r="L632" s="21"/>
    </row>
    <row r="633" spans="1:22" ht="14.25" x14ac:dyDescent="0.2">
      <c r="A633" s="18"/>
      <c r="B633" s="18"/>
      <c r="C633" s="18"/>
      <c r="D633" s="18" t="s">
        <v>1102</v>
      </c>
      <c r="E633" s="19" t="s">
        <v>1103</v>
      </c>
      <c r="F633" s="9">
        <f>Source!AT515</f>
        <v>70</v>
      </c>
      <c r="G633" s="21"/>
      <c r="H633" s="20"/>
      <c r="I633" s="9"/>
      <c r="J633" s="9"/>
      <c r="K633" s="21">
        <f>SUM(R628:R632)</f>
        <v>11668.33</v>
      </c>
      <c r="L633" s="21"/>
    </row>
    <row r="634" spans="1:22" ht="14.25" x14ac:dyDescent="0.2">
      <c r="A634" s="18"/>
      <c r="B634" s="18"/>
      <c r="C634" s="18"/>
      <c r="D634" s="18" t="s">
        <v>1104</v>
      </c>
      <c r="E634" s="19" t="s">
        <v>1103</v>
      </c>
      <c r="F634" s="9">
        <f>Source!AU515</f>
        <v>10</v>
      </c>
      <c r="G634" s="21"/>
      <c r="H634" s="20"/>
      <c r="I634" s="9"/>
      <c r="J634" s="9"/>
      <c r="K634" s="21">
        <f>SUM(T628:T633)</f>
        <v>1666.9</v>
      </c>
      <c r="L634" s="21"/>
    </row>
    <row r="635" spans="1:22" ht="14.25" x14ac:dyDescent="0.2">
      <c r="A635" s="18"/>
      <c r="B635" s="18"/>
      <c r="C635" s="18"/>
      <c r="D635" s="18" t="s">
        <v>1109</v>
      </c>
      <c r="E635" s="19" t="s">
        <v>1103</v>
      </c>
      <c r="F635" s="9">
        <f>108</f>
        <v>108</v>
      </c>
      <c r="G635" s="21"/>
      <c r="H635" s="20"/>
      <c r="I635" s="9"/>
      <c r="J635" s="9"/>
      <c r="K635" s="21">
        <f>SUM(V628:V634)</f>
        <v>0.17</v>
      </c>
      <c r="L635" s="21"/>
    </row>
    <row r="636" spans="1:22" ht="14.25" x14ac:dyDescent="0.2">
      <c r="A636" s="18"/>
      <c r="B636" s="18"/>
      <c r="C636" s="18"/>
      <c r="D636" s="18" t="s">
        <v>1105</v>
      </c>
      <c r="E636" s="19" t="s">
        <v>1106</v>
      </c>
      <c r="F636" s="9">
        <f>Source!AQ515</f>
        <v>3.14</v>
      </c>
      <c r="G636" s="21"/>
      <c r="H636" s="20" t="str">
        <f>Source!DI515</f>
        <v>)*2</v>
      </c>
      <c r="I636" s="9">
        <f>Source!AV515</f>
        <v>1</v>
      </c>
      <c r="J636" s="9"/>
      <c r="K636" s="21"/>
      <c r="L636" s="21">
        <f>Source!U515</f>
        <v>25.12</v>
      </c>
    </row>
    <row r="637" spans="1:22" ht="15" x14ac:dyDescent="0.25">
      <c r="A637" s="23"/>
      <c r="B637" s="23"/>
      <c r="C637" s="23"/>
      <c r="D637" s="23"/>
      <c r="E637" s="23"/>
      <c r="F637" s="23"/>
      <c r="G637" s="23"/>
      <c r="H637" s="23"/>
      <c r="I637" s="23"/>
      <c r="J637" s="44">
        <f>K629+K630+K632+K633+K634+K635</f>
        <v>30099.4</v>
      </c>
      <c r="K637" s="44"/>
      <c r="L637" s="24">
        <f>IF(Source!I515&lt;&gt;0, ROUND(J637/Source!I515, 2), 0)</f>
        <v>7524.85</v>
      </c>
      <c r="P637" s="22">
        <f>J637</f>
        <v>30099.4</v>
      </c>
    </row>
    <row r="638" spans="1:22" ht="42.75" x14ac:dyDescent="0.2">
      <c r="A638" s="18">
        <v>69</v>
      </c>
      <c r="B638" s="18">
        <v>69</v>
      </c>
      <c r="C638" s="18" t="str">
        <f>Source!F519</f>
        <v>1.18-2403-21-5/1</v>
      </c>
      <c r="D638" s="18" t="str">
        <f>Source!G519</f>
        <v>Техническое обслуживание приточных установок производительностью до 10000 м3/ч - ежеквартальное</v>
      </c>
      <c r="E638" s="19" t="str">
        <f>Source!H519</f>
        <v>установка</v>
      </c>
      <c r="F638" s="9">
        <f>Source!I519</f>
        <v>1</v>
      </c>
      <c r="G638" s="21"/>
      <c r="H638" s="20"/>
      <c r="I638" s="9"/>
      <c r="J638" s="9"/>
      <c r="K638" s="21"/>
      <c r="L638" s="21"/>
      <c r="Q638">
        <f>ROUND((Source!BZ519/100)*ROUND((Source!AF519*Source!AV519)*Source!I519, 2), 2)</f>
        <v>3511.65</v>
      </c>
      <c r="R638">
        <f>Source!X519</f>
        <v>3511.65</v>
      </c>
      <c r="S638">
        <f>ROUND((Source!CA519/100)*ROUND((Source!AF519*Source!AV519)*Source!I519, 2), 2)</f>
        <v>501.66</v>
      </c>
      <c r="T638">
        <f>Source!Y519</f>
        <v>501.66</v>
      </c>
      <c r="U638">
        <f>ROUND((175/100)*ROUND((Source!AE519*Source!AV519)*Source!I519, 2), 2)</f>
        <v>0.14000000000000001</v>
      </c>
      <c r="V638">
        <f>ROUND((108/100)*ROUND(Source!CS519*Source!I519, 2), 2)</f>
        <v>0.09</v>
      </c>
    </row>
    <row r="639" spans="1:22" ht="14.25" x14ac:dyDescent="0.2">
      <c r="A639" s="18"/>
      <c r="B639" s="18"/>
      <c r="C639" s="18"/>
      <c r="D639" s="18" t="s">
        <v>1100</v>
      </c>
      <c r="E639" s="19"/>
      <c r="F639" s="9"/>
      <c r="G639" s="21">
        <f>Source!AO519</f>
        <v>2508.3200000000002</v>
      </c>
      <c r="H639" s="20" t="str">
        <f>Source!DG519</f>
        <v>)*2</v>
      </c>
      <c r="I639" s="9">
        <f>Source!AV519</f>
        <v>1</v>
      </c>
      <c r="J639" s="9">
        <f>IF(Source!BA519&lt;&gt; 0, Source!BA519, 1)</f>
        <v>1</v>
      </c>
      <c r="K639" s="21">
        <f>Source!S519</f>
        <v>5016.6400000000003</v>
      </c>
      <c r="L639" s="21"/>
    </row>
    <row r="640" spans="1:22" ht="14.25" x14ac:dyDescent="0.2">
      <c r="A640" s="18"/>
      <c r="B640" s="18"/>
      <c r="C640" s="18"/>
      <c r="D640" s="18" t="s">
        <v>1107</v>
      </c>
      <c r="E640" s="19"/>
      <c r="F640" s="9"/>
      <c r="G640" s="21">
        <f>Source!AM519</f>
        <v>2.98</v>
      </c>
      <c r="H640" s="20" t="str">
        <f>Source!DE519</f>
        <v>)*2</v>
      </c>
      <c r="I640" s="9">
        <f>Source!AV519</f>
        <v>1</v>
      </c>
      <c r="J640" s="9">
        <f>IF(Source!BB519&lt;&gt; 0, Source!BB519, 1)</f>
        <v>1</v>
      </c>
      <c r="K640" s="21">
        <f>Source!Q519</f>
        <v>5.96</v>
      </c>
      <c r="L640" s="21"/>
    </row>
    <row r="641" spans="1:22" ht="14.25" x14ac:dyDescent="0.2">
      <c r="A641" s="18"/>
      <c r="B641" s="18"/>
      <c r="C641" s="18"/>
      <c r="D641" s="18" t="s">
        <v>1108</v>
      </c>
      <c r="E641" s="19"/>
      <c r="F641" s="9"/>
      <c r="G641" s="21">
        <f>Source!AN519</f>
        <v>0.04</v>
      </c>
      <c r="H641" s="20" t="str">
        <f>Source!DF519</f>
        <v>)*2</v>
      </c>
      <c r="I641" s="9">
        <f>Source!AV519</f>
        <v>1</v>
      </c>
      <c r="J641" s="9">
        <f>IF(Source!BS519&lt;&gt; 0, Source!BS519, 1)</f>
        <v>1</v>
      </c>
      <c r="K641" s="25">
        <f>Source!R519</f>
        <v>0.08</v>
      </c>
      <c r="L641" s="21"/>
    </row>
    <row r="642" spans="1:22" ht="14.25" x14ac:dyDescent="0.2">
      <c r="A642" s="18"/>
      <c r="B642" s="18"/>
      <c r="C642" s="18"/>
      <c r="D642" s="18" t="s">
        <v>1101</v>
      </c>
      <c r="E642" s="19"/>
      <c r="F642" s="9"/>
      <c r="G642" s="21">
        <f>Source!AL519</f>
        <v>17.95</v>
      </c>
      <c r="H642" s="20" t="str">
        <f>Source!DD519</f>
        <v>)*2</v>
      </c>
      <c r="I642" s="9">
        <f>Source!AW519</f>
        <v>1</v>
      </c>
      <c r="J642" s="9">
        <f>IF(Source!BC519&lt;&gt; 0, Source!BC519, 1)</f>
        <v>1</v>
      </c>
      <c r="K642" s="21">
        <f>Source!P519</f>
        <v>35.9</v>
      </c>
      <c r="L642" s="21"/>
    </row>
    <row r="643" spans="1:22" ht="14.25" x14ac:dyDescent="0.2">
      <c r="A643" s="18"/>
      <c r="B643" s="18"/>
      <c r="C643" s="18"/>
      <c r="D643" s="18" t="s">
        <v>1102</v>
      </c>
      <c r="E643" s="19" t="s">
        <v>1103</v>
      </c>
      <c r="F643" s="9">
        <f>Source!AT519</f>
        <v>70</v>
      </c>
      <c r="G643" s="21"/>
      <c r="H643" s="20"/>
      <c r="I643" s="9"/>
      <c r="J643" s="9"/>
      <c r="K643" s="21">
        <f>SUM(R638:R642)</f>
        <v>3511.65</v>
      </c>
      <c r="L643" s="21"/>
    </row>
    <row r="644" spans="1:22" ht="14.25" x14ac:dyDescent="0.2">
      <c r="A644" s="18"/>
      <c r="B644" s="18"/>
      <c r="C644" s="18"/>
      <c r="D644" s="18" t="s">
        <v>1104</v>
      </c>
      <c r="E644" s="19" t="s">
        <v>1103</v>
      </c>
      <c r="F644" s="9">
        <f>Source!AU519</f>
        <v>10</v>
      </c>
      <c r="G644" s="21"/>
      <c r="H644" s="20"/>
      <c r="I644" s="9"/>
      <c r="J644" s="9"/>
      <c r="K644" s="21">
        <f>SUM(T638:T643)</f>
        <v>501.66</v>
      </c>
      <c r="L644" s="21"/>
    </row>
    <row r="645" spans="1:22" ht="14.25" x14ac:dyDescent="0.2">
      <c r="A645" s="18"/>
      <c r="B645" s="18"/>
      <c r="C645" s="18"/>
      <c r="D645" s="18" t="s">
        <v>1109</v>
      </c>
      <c r="E645" s="19" t="s">
        <v>1103</v>
      </c>
      <c r="F645" s="9">
        <f>108</f>
        <v>108</v>
      </c>
      <c r="G645" s="21"/>
      <c r="H645" s="20"/>
      <c r="I645" s="9"/>
      <c r="J645" s="9"/>
      <c r="K645" s="21">
        <f>SUM(V638:V644)</f>
        <v>0.09</v>
      </c>
      <c r="L645" s="21"/>
    </row>
    <row r="646" spans="1:22" ht="14.25" x14ac:dyDescent="0.2">
      <c r="A646" s="18"/>
      <c r="B646" s="18"/>
      <c r="C646" s="18"/>
      <c r="D646" s="18" t="s">
        <v>1105</v>
      </c>
      <c r="E646" s="19" t="s">
        <v>1106</v>
      </c>
      <c r="F646" s="9">
        <f>Source!AQ519</f>
        <v>3.78</v>
      </c>
      <c r="G646" s="21"/>
      <c r="H646" s="20" t="str">
        <f>Source!DI519</f>
        <v>)*2</v>
      </c>
      <c r="I646" s="9">
        <f>Source!AV519</f>
        <v>1</v>
      </c>
      <c r="J646" s="9"/>
      <c r="K646" s="21"/>
      <c r="L646" s="21">
        <f>Source!U519</f>
        <v>7.56</v>
      </c>
    </row>
    <row r="647" spans="1:22" ht="15" x14ac:dyDescent="0.25">
      <c r="A647" s="23"/>
      <c r="B647" s="23"/>
      <c r="C647" s="23"/>
      <c r="D647" s="23"/>
      <c r="E647" s="23"/>
      <c r="F647" s="23"/>
      <c r="G647" s="23"/>
      <c r="H647" s="23"/>
      <c r="I647" s="23"/>
      <c r="J647" s="44">
        <f>K639+K640+K642+K643+K644+K645</f>
        <v>9071.9</v>
      </c>
      <c r="K647" s="44"/>
      <c r="L647" s="24">
        <f>IF(Source!I519&lt;&gt;0, ROUND(J647/Source!I519, 2), 0)</f>
        <v>9071.9</v>
      </c>
      <c r="P647" s="22">
        <f>J647</f>
        <v>9071.9</v>
      </c>
    </row>
    <row r="648" spans="1:22" ht="42.75" x14ac:dyDescent="0.2">
      <c r="A648" s="18">
        <v>70</v>
      </c>
      <c r="B648" s="18">
        <v>70</v>
      </c>
      <c r="C648" s="18" t="str">
        <f>Source!F523</f>
        <v>1.18-2403-21-15/1</v>
      </c>
      <c r="D648" s="18" t="str">
        <f>Source!G523</f>
        <v>Техническое обслуживание приточных установок производительностью до 40000 м3/ч - ежеквартальное</v>
      </c>
      <c r="E648" s="19" t="str">
        <f>Source!H523</f>
        <v>установка</v>
      </c>
      <c r="F648" s="9">
        <f>Source!I523</f>
        <v>3</v>
      </c>
      <c r="G648" s="21"/>
      <c r="H648" s="20"/>
      <c r="I648" s="9"/>
      <c r="J648" s="9"/>
      <c r="K648" s="21"/>
      <c r="L648" s="21"/>
      <c r="Q648">
        <f>ROUND((Source!BZ523/100)*ROUND((Source!AF523*Source!AV523)*Source!I523, 2), 2)</f>
        <v>18951.7</v>
      </c>
      <c r="R648">
        <f>Source!X523</f>
        <v>18951.7</v>
      </c>
      <c r="S648">
        <f>ROUND((Source!CA523/100)*ROUND((Source!AF523*Source!AV523)*Source!I523, 2), 2)</f>
        <v>2707.39</v>
      </c>
      <c r="T648">
        <f>Source!Y523</f>
        <v>2707.39</v>
      </c>
      <c r="U648">
        <f>ROUND((175/100)*ROUND((Source!AE523*Source!AV523)*Source!I523, 2), 2)</f>
        <v>1.37</v>
      </c>
      <c r="V648">
        <f>ROUND((108/100)*ROUND(Source!CS523*Source!I523, 2), 2)</f>
        <v>0.84</v>
      </c>
    </row>
    <row r="649" spans="1:22" ht="14.25" x14ac:dyDescent="0.2">
      <c r="A649" s="18"/>
      <c r="B649" s="18"/>
      <c r="C649" s="18"/>
      <c r="D649" s="18" t="s">
        <v>1100</v>
      </c>
      <c r="E649" s="19"/>
      <c r="F649" s="9"/>
      <c r="G649" s="21">
        <f>Source!AO523</f>
        <v>4512.3100000000004</v>
      </c>
      <c r="H649" s="20" t="str">
        <f>Source!DG523</f>
        <v>)*2</v>
      </c>
      <c r="I649" s="9">
        <f>Source!AV523</f>
        <v>1</v>
      </c>
      <c r="J649" s="9">
        <f>IF(Source!BA523&lt;&gt; 0, Source!BA523, 1)</f>
        <v>1</v>
      </c>
      <c r="K649" s="21">
        <f>Source!S523</f>
        <v>27073.86</v>
      </c>
      <c r="L649" s="21"/>
    </row>
    <row r="650" spans="1:22" ht="14.25" x14ac:dyDescent="0.2">
      <c r="A650" s="18"/>
      <c r="B650" s="18"/>
      <c r="C650" s="18"/>
      <c r="D650" s="18" t="s">
        <v>1107</v>
      </c>
      <c r="E650" s="19"/>
      <c r="F650" s="9"/>
      <c r="G650" s="21">
        <f>Source!AM523</f>
        <v>9.52</v>
      </c>
      <c r="H650" s="20" t="str">
        <f>Source!DE523</f>
        <v>)*2</v>
      </c>
      <c r="I650" s="9">
        <f>Source!AV523</f>
        <v>1</v>
      </c>
      <c r="J650" s="9">
        <f>IF(Source!BB523&lt;&gt; 0, Source!BB523, 1)</f>
        <v>1</v>
      </c>
      <c r="K650" s="21">
        <f>Source!Q523</f>
        <v>57.12</v>
      </c>
      <c r="L650" s="21"/>
    </row>
    <row r="651" spans="1:22" ht="14.25" x14ac:dyDescent="0.2">
      <c r="A651" s="18"/>
      <c r="B651" s="18"/>
      <c r="C651" s="18"/>
      <c r="D651" s="18" t="s">
        <v>1108</v>
      </c>
      <c r="E651" s="19"/>
      <c r="F651" s="9"/>
      <c r="G651" s="21">
        <f>Source!AN523</f>
        <v>0.13</v>
      </c>
      <c r="H651" s="20" t="str">
        <f>Source!DF523</f>
        <v>)*2</v>
      </c>
      <c r="I651" s="9">
        <f>Source!AV523</f>
        <v>1</v>
      </c>
      <c r="J651" s="9">
        <f>IF(Source!BS523&lt;&gt; 0, Source!BS523, 1)</f>
        <v>1</v>
      </c>
      <c r="K651" s="25">
        <f>Source!R523</f>
        <v>0.78</v>
      </c>
      <c r="L651" s="21"/>
    </row>
    <row r="652" spans="1:22" ht="14.25" x14ac:dyDescent="0.2">
      <c r="A652" s="18"/>
      <c r="B652" s="18"/>
      <c r="C652" s="18"/>
      <c r="D652" s="18" t="s">
        <v>1101</v>
      </c>
      <c r="E652" s="19"/>
      <c r="F652" s="9"/>
      <c r="G652" s="21">
        <f>Source!AL523</f>
        <v>42.2</v>
      </c>
      <c r="H652" s="20" t="str">
        <f>Source!DD523</f>
        <v>)*2</v>
      </c>
      <c r="I652" s="9">
        <f>Source!AW523</f>
        <v>1</v>
      </c>
      <c r="J652" s="9">
        <f>IF(Source!BC523&lt;&gt; 0, Source!BC523, 1)</f>
        <v>1</v>
      </c>
      <c r="K652" s="21">
        <f>Source!P523</f>
        <v>253.2</v>
      </c>
      <c r="L652" s="21"/>
    </row>
    <row r="653" spans="1:22" ht="14.25" x14ac:dyDescent="0.2">
      <c r="A653" s="18"/>
      <c r="B653" s="18"/>
      <c r="C653" s="18"/>
      <c r="D653" s="18" t="s">
        <v>1102</v>
      </c>
      <c r="E653" s="19" t="s">
        <v>1103</v>
      </c>
      <c r="F653" s="9">
        <f>Source!AT523</f>
        <v>70</v>
      </c>
      <c r="G653" s="21"/>
      <c r="H653" s="20"/>
      <c r="I653" s="9"/>
      <c r="J653" s="9"/>
      <c r="K653" s="21">
        <f>SUM(R648:R652)</f>
        <v>18951.7</v>
      </c>
      <c r="L653" s="21"/>
    </row>
    <row r="654" spans="1:22" ht="14.25" x14ac:dyDescent="0.2">
      <c r="A654" s="18"/>
      <c r="B654" s="18"/>
      <c r="C654" s="18"/>
      <c r="D654" s="18" t="s">
        <v>1104</v>
      </c>
      <c r="E654" s="19" t="s">
        <v>1103</v>
      </c>
      <c r="F654" s="9">
        <f>Source!AU523</f>
        <v>10</v>
      </c>
      <c r="G654" s="21"/>
      <c r="H654" s="20"/>
      <c r="I654" s="9"/>
      <c r="J654" s="9"/>
      <c r="K654" s="21">
        <f>SUM(T648:T653)</f>
        <v>2707.39</v>
      </c>
      <c r="L654" s="21"/>
    </row>
    <row r="655" spans="1:22" ht="14.25" x14ac:dyDescent="0.2">
      <c r="A655" s="18"/>
      <c r="B655" s="18"/>
      <c r="C655" s="18"/>
      <c r="D655" s="18" t="s">
        <v>1109</v>
      </c>
      <c r="E655" s="19" t="s">
        <v>1103</v>
      </c>
      <c r="F655" s="9">
        <f>108</f>
        <v>108</v>
      </c>
      <c r="G655" s="21"/>
      <c r="H655" s="20"/>
      <c r="I655" s="9"/>
      <c r="J655" s="9"/>
      <c r="K655" s="21">
        <f>SUM(V648:V654)</f>
        <v>0.84</v>
      </c>
      <c r="L655" s="21"/>
    </row>
    <row r="656" spans="1:22" ht="14.25" x14ac:dyDescent="0.2">
      <c r="A656" s="18"/>
      <c r="B656" s="18"/>
      <c r="C656" s="18"/>
      <c r="D656" s="18" t="s">
        <v>1105</v>
      </c>
      <c r="E656" s="19" t="s">
        <v>1106</v>
      </c>
      <c r="F656" s="9">
        <f>Source!AQ523</f>
        <v>6.8</v>
      </c>
      <c r="G656" s="21"/>
      <c r="H656" s="20" t="str">
        <f>Source!DI523</f>
        <v>)*2</v>
      </c>
      <c r="I656" s="9">
        <f>Source!AV523</f>
        <v>1</v>
      </c>
      <c r="J656" s="9"/>
      <c r="K656" s="21"/>
      <c r="L656" s="21">
        <f>Source!U523</f>
        <v>40.799999999999997</v>
      </c>
    </row>
    <row r="657" spans="1:22" ht="15" x14ac:dyDescent="0.25">
      <c r="A657" s="23"/>
      <c r="B657" s="23"/>
      <c r="C657" s="23"/>
      <c r="D657" s="23"/>
      <c r="E657" s="23"/>
      <c r="F657" s="23"/>
      <c r="G657" s="23"/>
      <c r="H657" s="23"/>
      <c r="I657" s="23"/>
      <c r="J657" s="44">
        <f>K649+K650+K652+K653+K654+K655</f>
        <v>49044.11</v>
      </c>
      <c r="K657" s="44"/>
      <c r="L657" s="24">
        <f>IF(Source!I523&lt;&gt;0, ROUND(J657/Source!I523, 2), 0)</f>
        <v>16348.04</v>
      </c>
      <c r="P657" s="22">
        <f>J657</f>
        <v>49044.11</v>
      </c>
    </row>
    <row r="658" spans="1:22" ht="57" x14ac:dyDescent="0.2">
      <c r="A658" s="18">
        <v>71</v>
      </c>
      <c r="B658" s="18">
        <v>71</v>
      </c>
      <c r="C658" s="18" t="str">
        <f>Source!F529</f>
        <v>1.24-2103-45-4/1</v>
      </c>
      <c r="D658" s="18" t="str">
        <f>Source!G529</f>
        <v>Техническое обслуживание ежеквартальное холодильных установок мощностью 420 кВт / применительно до 23 кВт</v>
      </c>
      <c r="E658" s="19" t="str">
        <f>Source!H529</f>
        <v>установка</v>
      </c>
      <c r="F658" s="9">
        <f>Source!I529</f>
        <v>4</v>
      </c>
      <c r="G658" s="21"/>
      <c r="H658" s="20"/>
      <c r="I658" s="9"/>
      <c r="J658" s="9"/>
      <c r="K658" s="21"/>
      <c r="L658" s="21"/>
      <c r="Q658">
        <f>ROUND((Source!BZ529/100)*ROUND((Source!AF529*Source!AV529)*Source!I529, 2), 2)</f>
        <v>25299.9</v>
      </c>
      <c r="R658">
        <f>Source!X529</f>
        <v>25299.9</v>
      </c>
      <c r="S658">
        <f>ROUND((Source!CA529/100)*ROUND((Source!AF529*Source!AV529)*Source!I529, 2), 2)</f>
        <v>3614.27</v>
      </c>
      <c r="T658">
        <f>Source!Y529</f>
        <v>3614.27</v>
      </c>
      <c r="U658">
        <f>ROUND((175/100)*ROUND((Source!AE529*Source!AV529)*Source!I529, 2), 2)</f>
        <v>4858</v>
      </c>
      <c r="V658">
        <f>ROUND((108/100)*ROUND(Source!CS529*Source!I529, 2), 2)</f>
        <v>2998.08</v>
      </c>
    </row>
    <row r="659" spans="1:22" ht="14.25" x14ac:dyDescent="0.2">
      <c r="A659" s="18"/>
      <c r="B659" s="18"/>
      <c r="C659" s="18"/>
      <c r="D659" s="18" t="s">
        <v>1100</v>
      </c>
      <c r="E659" s="19"/>
      <c r="F659" s="9"/>
      <c r="G659" s="21">
        <f>Source!AO529</f>
        <v>4517.84</v>
      </c>
      <c r="H659" s="20" t="str">
        <f>Source!DG529</f>
        <v>)*2</v>
      </c>
      <c r="I659" s="9">
        <f>Source!AV529</f>
        <v>1</v>
      </c>
      <c r="J659" s="9">
        <f>IF(Source!BA529&lt;&gt; 0, Source!BA529, 1)</f>
        <v>1</v>
      </c>
      <c r="K659" s="21">
        <f>Source!S529</f>
        <v>36142.720000000001</v>
      </c>
      <c r="L659" s="21"/>
    </row>
    <row r="660" spans="1:22" ht="14.25" x14ac:dyDescent="0.2">
      <c r="A660" s="18"/>
      <c r="B660" s="18"/>
      <c r="C660" s="18"/>
      <c r="D660" s="18" t="s">
        <v>1107</v>
      </c>
      <c r="E660" s="19"/>
      <c r="F660" s="9"/>
      <c r="G660" s="21">
        <f>Source!AM529</f>
        <v>547.26</v>
      </c>
      <c r="H660" s="20" t="str">
        <f>Source!DE529</f>
        <v>)*2</v>
      </c>
      <c r="I660" s="9">
        <f>Source!AV529</f>
        <v>1</v>
      </c>
      <c r="J660" s="9">
        <f>IF(Source!BB529&lt;&gt; 0, Source!BB529, 1)</f>
        <v>1</v>
      </c>
      <c r="K660" s="21">
        <f>Source!Q529</f>
        <v>4378.08</v>
      </c>
      <c r="L660" s="21"/>
    </row>
    <row r="661" spans="1:22" ht="14.25" x14ac:dyDescent="0.2">
      <c r="A661" s="18"/>
      <c r="B661" s="18"/>
      <c r="C661" s="18"/>
      <c r="D661" s="18" t="s">
        <v>1108</v>
      </c>
      <c r="E661" s="19"/>
      <c r="F661" s="9"/>
      <c r="G661" s="21">
        <f>Source!AN529</f>
        <v>347</v>
      </c>
      <c r="H661" s="20" t="str">
        <f>Source!DF529</f>
        <v>)*2</v>
      </c>
      <c r="I661" s="9">
        <f>Source!AV529</f>
        <v>1</v>
      </c>
      <c r="J661" s="9">
        <f>IF(Source!BS529&lt;&gt; 0, Source!BS529, 1)</f>
        <v>1</v>
      </c>
      <c r="K661" s="25">
        <f>Source!R529</f>
        <v>2776</v>
      </c>
      <c r="L661" s="21"/>
    </row>
    <row r="662" spans="1:22" ht="14.25" x14ac:dyDescent="0.2">
      <c r="A662" s="18"/>
      <c r="B662" s="18"/>
      <c r="C662" s="18"/>
      <c r="D662" s="18" t="s">
        <v>1101</v>
      </c>
      <c r="E662" s="19"/>
      <c r="F662" s="9"/>
      <c r="G662" s="21">
        <f>Source!AL529</f>
        <v>355.16</v>
      </c>
      <c r="H662" s="20" t="str">
        <f>Source!DD529</f>
        <v>)*2</v>
      </c>
      <c r="I662" s="9">
        <f>Source!AW529</f>
        <v>1</v>
      </c>
      <c r="J662" s="9">
        <f>IF(Source!BC529&lt;&gt; 0, Source!BC529, 1)</f>
        <v>1</v>
      </c>
      <c r="K662" s="21">
        <f>Source!P529</f>
        <v>2841.28</v>
      </c>
      <c r="L662" s="21"/>
    </row>
    <row r="663" spans="1:22" ht="14.25" x14ac:dyDescent="0.2">
      <c r="A663" s="18"/>
      <c r="B663" s="18"/>
      <c r="C663" s="18"/>
      <c r="D663" s="18" t="s">
        <v>1102</v>
      </c>
      <c r="E663" s="19" t="s">
        <v>1103</v>
      </c>
      <c r="F663" s="9">
        <f>Source!AT529</f>
        <v>70</v>
      </c>
      <c r="G663" s="21"/>
      <c r="H663" s="20"/>
      <c r="I663" s="9"/>
      <c r="J663" s="9"/>
      <c r="K663" s="21">
        <f>SUM(R658:R662)</f>
        <v>25299.9</v>
      </c>
      <c r="L663" s="21"/>
    </row>
    <row r="664" spans="1:22" ht="14.25" x14ac:dyDescent="0.2">
      <c r="A664" s="18"/>
      <c r="B664" s="18"/>
      <c r="C664" s="18"/>
      <c r="D664" s="18" t="s">
        <v>1104</v>
      </c>
      <c r="E664" s="19" t="s">
        <v>1103</v>
      </c>
      <c r="F664" s="9">
        <f>Source!AU529</f>
        <v>10</v>
      </c>
      <c r="G664" s="21"/>
      <c r="H664" s="20"/>
      <c r="I664" s="9"/>
      <c r="J664" s="9"/>
      <c r="K664" s="21">
        <f>SUM(T658:T663)</f>
        <v>3614.27</v>
      </c>
      <c r="L664" s="21"/>
    </row>
    <row r="665" spans="1:22" ht="14.25" x14ac:dyDescent="0.2">
      <c r="A665" s="18"/>
      <c r="B665" s="18"/>
      <c r="C665" s="18"/>
      <c r="D665" s="18" t="s">
        <v>1109</v>
      </c>
      <c r="E665" s="19" t="s">
        <v>1103</v>
      </c>
      <c r="F665" s="9">
        <f>108</f>
        <v>108</v>
      </c>
      <c r="G665" s="21"/>
      <c r="H665" s="20"/>
      <c r="I665" s="9"/>
      <c r="J665" s="9"/>
      <c r="K665" s="21">
        <f>SUM(V658:V664)</f>
        <v>2998.08</v>
      </c>
      <c r="L665" s="21"/>
    </row>
    <row r="666" spans="1:22" ht="14.25" x14ac:dyDescent="0.2">
      <c r="A666" s="18"/>
      <c r="B666" s="18"/>
      <c r="C666" s="18"/>
      <c r="D666" s="18" t="s">
        <v>1105</v>
      </c>
      <c r="E666" s="19" t="s">
        <v>1106</v>
      </c>
      <c r="F666" s="9">
        <f>Source!AQ529</f>
        <v>6.8</v>
      </c>
      <c r="G666" s="21"/>
      <c r="H666" s="20" t="str">
        <f>Source!DI529</f>
        <v>)*2</v>
      </c>
      <c r="I666" s="9">
        <f>Source!AV529</f>
        <v>1</v>
      </c>
      <c r="J666" s="9"/>
      <c r="K666" s="21"/>
      <c r="L666" s="21">
        <f>Source!U529</f>
        <v>54.4</v>
      </c>
    </row>
    <row r="667" spans="1:22" ht="15" x14ac:dyDescent="0.25">
      <c r="A667" s="23"/>
      <c r="B667" s="23"/>
      <c r="C667" s="23"/>
      <c r="D667" s="23"/>
      <c r="E667" s="23"/>
      <c r="F667" s="23"/>
      <c r="G667" s="23"/>
      <c r="H667" s="23"/>
      <c r="I667" s="23"/>
      <c r="J667" s="44">
        <f>K659+K660+K662+K663+K664+K665</f>
        <v>75274.330000000016</v>
      </c>
      <c r="K667" s="44"/>
      <c r="L667" s="24">
        <f>IF(Source!I529&lt;&gt;0, ROUND(J667/Source!I529, 2), 0)</f>
        <v>18818.580000000002</v>
      </c>
      <c r="P667" s="22">
        <f>J667</f>
        <v>75274.330000000016</v>
      </c>
    </row>
    <row r="668" spans="1:22" ht="57" x14ac:dyDescent="0.2">
      <c r="A668" s="18">
        <v>72</v>
      </c>
      <c r="B668" s="18">
        <v>72</v>
      </c>
      <c r="C668" s="18" t="str">
        <f>Source!F532</f>
        <v>1.24-2103-45-4/1</v>
      </c>
      <c r="D668" s="18" t="str">
        <f>Source!G532</f>
        <v>Техническое обслуживание ежеквартальное холодильных установок мощностью 420 кВт / применительно до 175 кВт</v>
      </c>
      <c r="E668" s="19" t="str">
        <f>Source!H532</f>
        <v>установка</v>
      </c>
      <c r="F668" s="9">
        <f>Source!I532</f>
        <v>3</v>
      </c>
      <c r="G668" s="21"/>
      <c r="H668" s="20"/>
      <c r="I668" s="9"/>
      <c r="J668" s="9"/>
      <c r="K668" s="21"/>
      <c r="L668" s="21"/>
      <c r="Q668">
        <f>ROUND((Source!BZ532/100)*ROUND((Source!AF532*Source!AV532)*Source!I532, 2), 2)</f>
        <v>18974.93</v>
      </c>
      <c r="R668">
        <f>Source!X532</f>
        <v>18974.93</v>
      </c>
      <c r="S668">
        <f>ROUND((Source!CA532/100)*ROUND((Source!AF532*Source!AV532)*Source!I532, 2), 2)</f>
        <v>2710.7</v>
      </c>
      <c r="T668">
        <f>Source!Y532</f>
        <v>2710.7</v>
      </c>
      <c r="U668">
        <f>ROUND((175/100)*ROUND((Source!AE532*Source!AV532)*Source!I532, 2), 2)</f>
        <v>3643.5</v>
      </c>
      <c r="V668">
        <f>ROUND((108/100)*ROUND(Source!CS532*Source!I532, 2), 2)</f>
        <v>2248.56</v>
      </c>
    </row>
    <row r="669" spans="1:22" ht="14.25" x14ac:dyDescent="0.2">
      <c r="A669" s="18"/>
      <c r="B669" s="18"/>
      <c r="C669" s="18"/>
      <c r="D669" s="18" t="s">
        <v>1100</v>
      </c>
      <c r="E669" s="19"/>
      <c r="F669" s="9"/>
      <c r="G669" s="21">
        <f>Source!AO532</f>
        <v>4517.84</v>
      </c>
      <c r="H669" s="20" t="str">
        <f>Source!DG532</f>
        <v>)*2</v>
      </c>
      <c r="I669" s="9">
        <f>Source!AV532</f>
        <v>1</v>
      </c>
      <c r="J669" s="9">
        <f>IF(Source!BA532&lt;&gt; 0, Source!BA532, 1)</f>
        <v>1</v>
      </c>
      <c r="K669" s="21">
        <f>Source!S532</f>
        <v>27107.040000000001</v>
      </c>
      <c r="L669" s="21"/>
    </row>
    <row r="670" spans="1:22" ht="14.25" x14ac:dyDescent="0.2">
      <c r="A670" s="18"/>
      <c r="B670" s="18"/>
      <c r="C670" s="18"/>
      <c r="D670" s="18" t="s">
        <v>1107</v>
      </c>
      <c r="E670" s="19"/>
      <c r="F670" s="9"/>
      <c r="G670" s="21">
        <f>Source!AM532</f>
        <v>547.26</v>
      </c>
      <c r="H670" s="20" t="str">
        <f>Source!DE532</f>
        <v>)*2</v>
      </c>
      <c r="I670" s="9">
        <f>Source!AV532</f>
        <v>1</v>
      </c>
      <c r="J670" s="9">
        <f>IF(Source!BB532&lt;&gt; 0, Source!BB532, 1)</f>
        <v>1</v>
      </c>
      <c r="K670" s="21">
        <f>Source!Q532</f>
        <v>3283.56</v>
      </c>
      <c r="L670" s="21"/>
    </row>
    <row r="671" spans="1:22" ht="14.25" x14ac:dyDescent="0.2">
      <c r="A671" s="18"/>
      <c r="B671" s="18"/>
      <c r="C671" s="18"/>
      <c r="D671" s="18" t="s">
        <v>1108</v>
      </c>
      <c r="E671" s="19"/>
      <c r="F671" s="9"/>
      <c r="G671" s="21">
        <f>Source!AN532</f>
        <v>347</v>
      </c>
      <c r="H671" s="20" t="str">
        <f>Source!DF532</f>
        <v>)*2</v>
      </c>
      <c r="I671" s="9">
        <f>Source!AV532</f>
        <v>1</v>
      </c>
      <c r="J671" s="9">
        <f>IF(Source!BS532&lt;&gt; 0, Source!BS532, 1)</f>
        <v>1</v>
      </c>
      <c r="K671" s="25">
        <f>Source!R532</f>
        <v>2082</v>
      </c>
      <c r="L671" s="21"/>
    </row>
    <row r="672" spans="1:22" ht="14.25" x14ac:dyDescent="0.2">
      <c r="A672" s="18"/>
      <c r="B672" s="18"/>
      <c r="C672" s="18"/>
      <c r="D672" s="18" t="s">
        <v>1101</v>
      </c>
      <c r="E672" s="19"/>
      <c r="F672" s="9"/>
      <c r="G672" s="21">
        <f>Source!AL532</f>
        <v>355.16</v>
      </c>
      <c r="H672" s="20" t="str">
        <f>Source!DD532</f>
        <v>)*2</v>
      </c>
      <c r="I672" s="9">
        <f>Source!AW532</f>
        <v>1</v>
      </c>
      <c r="J672" s="9">
        <f>IF(Source!BC532&lt;&gt; 0, Source!BC532, 1)</f>
        <v>1</v>
      </c>
      <c r="K672" s="21">
        <f>Source!P532</f>
        <v>2130.96</v>
      </c>
      <c r="L672" s="21"/>
    </row>
    <row r="673" spans="1:22" ht="14.25" x14ac:dyDescent="0.2">
      <c r="A673" s="18"/>
      <c r="B673" s="18"/>
      <c r="C673" s="18"/>
      <c r="D673" s="18" t="s">
        <v>1102</v>
      </c>
      <c r="E673" s="19" t="s">
        <v>1103</v>
      </c>
      <c r="F673" s="9">
        <f>Source!AT532</f>
        <v>70</v>
      </c>
      <c r="G673" s="21"/>
      <c r="H673" s="20"/>
      <c r="I673" s="9"/>
      <c r="J673" s="9"/>
      <c r="K673" s="21">
        <f>SUM(R668:R672)</f>
        <v>18974.93</v>
      </c>
      <c r="L673" s="21"/>
    </row>
    <row r="674" spans="1:22" ht="14.25" x14ac:dyDescent="0.2">
      <c r="A674" s="18"/>
      <c r="B674" s="18"/>
      <c r="C674" s="18"/>
      <c r="D674" s="18" t="s">
        <v>1104</v>
      </c>
      <c r="E674" s="19" t="s">
        <v>1103</v>
      </c>
      <c r="F674" s="9">
        <f>Source!AU532</f>
        <v>10</v>
      </c>
      <c r="G674" s="21"/>
      <c r="H674" s="20"/>
      <c r="I674" s="9"/>
      <c r="J674" s="9"/>
      <c r="K674" s="21">
        <f>SUM(T668:T673)</f>
        <v>2710.7</v>
      </c>
      <c r="L674" s="21"/>
    </row>
    <row r="675" spans="1:22" ht="14.25" x14ac:dyDescent="0.2">
      <c r="A675" s="18"/>
      <c r="B675" s="18"/>
      <c r="C675" s="18"/>
      <c r="D675" s="18" t="s">
        <v>1109</v>
      </c>
      <c r="E675" s="19" t="s">
        <v>1103</v>
      </c>
      <c r="F675" s="9">
        <f>108</f>
        <v>108</v>
      </c>
      <c r="G675" s="21"/>
      <c r="H675" s="20"/>
      <c r="I675" s="9"/>
      <c r="J675" s="9"/>
      <c r="K675" s="21">
        <f>SUM(V668:V674)</f>
        <v>2248.56</v>
      </c>
      <c r="L675" s="21"/>
    </row>
    <row r="676" spans="1:22" ht="14.25" x14ac:dyDescent="0.2">
      <c r="A676" s="18"/>
      <c r="B676" s="18"/>
      <c r="C676" s="18"/>
      <c r="D676" s="18" t="s">
        <v>1105</v>
      </c>
      <c r="E676" s="19" t="s">
        <v>1106</v>
      </c>
      <c r="F676" s="9">
        <f>Source!AQ532</f>
        <v>6.8</v>
      </c>
      <c r="G676" s="21"/>
      <c r="H676" s="20" t="str">
        <f>Source!DI532</f>
        <v>)*2</v>
      </c>
      <c r="I676" s="9">
        <f>Source!AV532</f>
        <v>1</v>
      </c>
      <c r="J676" s="9"/>
      <c r="K676" s="21"/>
      <c r="L676" s="21">
        <f>Source!U532</f>
        <v>40.799999999999997</v>
      </c>
    </row>
    <row r="677" spans="1:22" ht="15" x14ac:dyDescent="0.25">
      <c r="A677" s="23"/>
      <c r="B677" s="23"/>
      <c r="C677" s="23"/>
      <c r="D677" s="23"/>
      <c r="E677" s="23"/>
      <c r="F677" s="23"/>
      <c r="G677" s="23"/>
      <c r="H677" s="23"/>
      <c r="I677" s="23"/>
      <c r="J677" s="44">
        <f>K669+K670+K672+K673+K674+K675</f>
        <v>56455.75</v>
      </c>
      <c r="K677" s="44"/>
      <c r="L677" s="24">
        <f>IF(Source!I532&lt;&gt;0, ROUND(J677/Source!I532, 2), 0)</f>
        <v>18818.580000000002</v>
      </c>
      <c r="P677" s="22">
        <f>J677</f>
        <v>56455.75</v>
      </c>
    </row>
    <row r="678" spans="1:22" ht="42.75" x14ac:dyDescent="0.2">
      <c r="A678" s="18">
        <v>73</v>
      </c>
      <c r="B678" s="18">
        <v>73</v>
      </c>
      <c r="C678" s="18" t="str">
        <f>Source!F536</f>
        <v>1.18-2403-20-4/1</v>
      </c>
      <c r="D678" s="18" t="str">
        <f>Source!G536</f>
        <v>Техническое обслуживание вытяжных установок производительностью до 20000 м3/ч - ежеквартальное</v>
      </c>
      <c r="E678" s="19" t="str">
        <f>Source!H536</f>
        <v>установка</v>
      </c>
      <c r="F678" s="9">
        <f>Source!I536</f>
        <v>4</v>
      </c>
      <c r="G678" s="21"/>
      <c r="H678" s="20"/>
      <c r="I678" s="9"/>
      <c r="J678" s="9"/>
      <c r="K678" s="21"/>
      <c r="L678" s="21"/>
      <c r="Q678">
        <f>ROUND((Source!BZ536/100)*ROUND((Source!AF536*Source!AV536)*Source!I536, 2), 2)</f>
        <v>10330.540000000001</v>
      </c>
      <c r="R678">
        <f>Source!X536</f>
        <v>10330.540000000001</v>
      </c>
      <c r="S678">
        <f>ROUND((Source!CA536/100)*ROUND((Source!AF536*Source!AV536)*Source!I536, 2), 2)</f>
        <v>1475.79</v>
      </c>
      <c r="T678">
        <f>Source!Y536</f>
        <v>1475.79</v>
      </c>
      <c r="U678">
        <f>ROUND((175/100)*ROUND((Source!AE536*Source!AV536)*Source!I536, 2), 2)</f>
        <v>0</v>
      </c>
      <c r="V678">
        <f>ROUND((108/100)*ROUND(Source!CS536*Source!I536, 2), 2)</f>
        <v>0</v>
      </c>
    </row>
    <row r="679" spans="1:22" ht="14.25" x14ac:dyDescent="0.2">
      <c r="A679" s="18"/>
      <c r="B679" s="18"/>
      <c r="C679" s="18"/>
      <c r="D679" s="18" t="s">
        <v>1100</v>
      </c>
      <c r="E679" s="19"/>
      <c r="F679" s="9"/>
      <c r="G679" s="21">
        <f>Source!AO536</f>
        <v>1844.74</v>
      </c>
      <c r="H679" s="20" t="str">
        <f>Source!DG536</f>
        <v>)*2</v>
      </c>
      <c r="I679" s="9">
        <f>Source!AV536</f>
        <v>1</v>
      </c>
      <c r="J679" s="9">
        <f>IF(Source!BA536&lt;&gt; 0, Source!BA536, 1)</f>
        <v>1</v>
      </c>
      <c r="K679" s="21">
        <f>Source!S536</f>
        <v>14757.92</v>
      </c>
      <c r="L679" s="21"/>
    </row>
    <row r="680" spans="1:22" ht="14.25" x14ac:dyDescent="0.2">
      <c r="A680" s="18"/>
      <c r="B680" s="18"/>
      <c r="C680" s="18"/>
      <c r="D680" s="18" t="s">
        <v>1101</v>
      </c>
      <c r="E680" s="19"/>
      <c r="F680" s="9"/>
      <c r="G680" s="21">
        <f>Source!AL536</f>
        <v>0.13</v>
      </c>
      <c r="H680" s="20" t="str">
        <f>Source!DD536</f>
        <v>)*2</v>
      </c>
      <c r="I680" s="9">
        <f>Source!AW536</f>
        <v>1</v>
      </c>
      <c r="J680" s="9">
        <f>IF(Source!BC536&lt;&gt; 0, Source!BC536, 1)</f>
        <v>1</v>
      </c>
      <c r="K680" s="21">
        <f>Source!P536</f>
        <v>1.04</v>
      </c>
      <c r="L680" s="21"/>
    </row>
    <row r="681" spans="1:22" ht="14.25" x14ac:dyDescent="0.2">
      <c r="A681" s="18"/>
      <c r="B681" s="18"/>
      <c r="C681" s="18"/>
      <c r="D681" s="18" t="s">
        <v>1102</v>
      </c>
      <c r="E681" s="19" t="s">
        <v>1103</v>
      </c>
      <c r="F681" s="9">
        <f>Source!AT536</f>
        <v>70</v>
      </c>
      <c r="G681" s="21"/>
      <c r="H681" s="20"/>
      <c r="I681" s="9"/>
      <c r="J681" s="9"/>
      <c r="K681" s="21">
        <f>SUM(R678:R680)</f>
        <v>10330.540000000001</v>
      </c>
      <c r="L681" s="21"/>
    </row>
    <row r="682" spans="1:22" ht="14.25" x14ac:dyDescent="0.2">
      <c r="A682" s="18"/>
      <c r="B682" s="18"/>
      <c r="C682" s="18"/>
      <c r="D682" s="18" t="s">
        <v>1104</v>
      </c>
      <c r="E682" s="19" t="s">
        <v>1103</v>
      </c>
      <c r="F682" s="9">
        <f>Source!AU536</f>
        <v>10</v>
      </c>
      <c r="G682" s="21"/>
      <c r="H682" s="20"/>
      <c r="I682" s="9"/>
      <c r="J682" s="9"/>
      <c r="K682" s="21">
        <f>SUM(T678:T681)</f>
        <v>1475.79</v>
      </c>
      <c r="L682" s="21"/>
    </row>
    <row r="683" spans="1:22" ht="14.25" x14ac:dyDescent="0.2">
      <c r="A683" s="18"/>
      <c r="B683" s="18"/>
      <c r="C683" s="18"/>
      <c r="D683" s="18" t="s">
        <v>1105</v>
      </c>
      <c r="E683" s="19" t="s">
        <v>1106</v>
      </c>
      <c r="F683" s="9">
        <f>Source!AQ536</f>
        <v>2.78</v>
      </c>
      <c r="G683" s="21"/>
      <c r="H683" s="20" t="str">
        <f>Source!DI536</f>
        <v>)*2</v>
      </c>
      <c r="I683" s="9">
        <f>Source!AV536</f>
        <v>1</v>
      </c>
      <c r="J683" s="9"/>
      <c r="K683" s="21"/>
      <c r="L683" s="21">
        <f>Source!U536</f>
        <v>22.24</v>
      </c>
    </row>
    <row r="684" spans="1:22" ht="15" x14ac:dyDescent="0.25">
      <c r="A684" s="23"/>
      <c r="B684" s="23"/>
      <c r="C684" s="23"/>
      <c r="D684" s="23"/>
      <c r="E684" s="23"/>
      <c r="F684" s="23"/>
      <c r="G684" s="23"/>
      <c r="H684" s="23"/>
      <c r="I684" s="23"/>
      <c r="J684" s="44">
        <f>K679+K680+K681+K682</f>
        <v>26565.29</v>
      </c>
      <c r="K684" s="44"/>
      <c r="L684" s="24">
        <f>IF(Source!I536&lt;&gt;0, ROUND(J684/Source!I536, 2), 0)</f>
        <v>6641.32</v>
      </c>
      <c r="P684" s="22">
        <f>J684</f>
        <v>26565.29</v>
      </c>
    </row>
    <row r="685" spans="1:22" ht="42.75" x14ac:dyDescent="0.2">
      <c r="A685" s="18">
        <v>74</v>
      </c>
      <c r="B685" s="18">
        <v>74</v>
      </c>
      <c r="C685" s="18" t="str">
        <f>Source!F540</f>
        <v>1.18-2403-20-3/1</v>
      </c>
      <c r="D685" s="18" t="str">
        <f>Source!G540</f>
        <v>Техническое обслуживание вытяжных установок производительностью до 5000 м3/ч - ежеквартальное</v>
      </c>
      <c r="E685" s="19" t="str">
        <f>Source!H540</f>
        <v>установка</v>
      </c>
      <c r="F685" s="9">
        <f>Source!I540</f>
        <v>3</v>
      </c>
      <c r="G685" s="21"/>
      <c r="H685" s="20"/>
      <c r="I685" s="9"/>
      <c r="J685" s="9"/>
      <c r="K685" s="21"/>
      <c r="L685" s="21"/>
      <c r="Q685">
        <f>ROUND((Source!BZ540/100)*ROUND((Source!AF540*Source!AV540)*Source!I540, 2), 2)</f>
        <v>6633.1</v>
      </c>
      <c r="R685">
        <f>Source!X540</f>
        <v>6633.1</v>
      </c>
      <c r="S685">
        <f>ROUND((Source!CA540/100)*ROUND((Source!AF540*Source!AV540)*Source!I540, 2), 2)</f>
        <v>947.59</v>
      </c>
      <c r="T685">
        <f>Source!Y540</f>
        <v>947.59</v>
      </c>
      <c r="U685">
        <f>ROUND((175/100)*ROUND((Source!AE540*Source!AV540)*Source!I540, 2), 2)</f>
        <v>0</v>
      </c>
      <c r="V685">
        <f>ROUND((108/100)*ROUND(Source!CS540*Source!I540, 2), 2)</f>
        <v>0</v>
      </c>
    </row>
    <row r="686" spans="1:22" ht="14.25" x14ac:dyDescent="0.2">
      <c r="A686" s="18"/>
      <c r="B686" s="18"/>
      <c r="C686" s="18"/>
      <c r="D686" s="18" t="s">
        <v>1100</v>
      </c>
      <c r="E686" s="19"/>
      <c r="F686" s="9"/>
      <c r="G686" s="21">
        <f>Source!AO540</f>
        <v>1579.31</v>
      </c>
      <c r="H686" s="20" t="str">
        <f>Source!DG540</f>
        <v>)*2</v>
      </c>
      <c r="I686" s="9">
        <f>Source!AV540</f>
        <v>1</v>
      </c>
      <c r="J686" s="9">
        <f>IF(Source!BA540&lt;&gt; 0, Source!BA540, 1)</f>
        <v>1</v>
      </c>
      <c r="K686" s="21">
        <f>Source!S540</f>
        <v>9475.86</v>
      </c>
      <c r="L686" s="21"/>
    </row>
    <row r="687" spans="1:22" ht="14.25" x14ac:dyDescent="0.2">
      <c r="A687" s="18"/>
      <c r="B687" s="18"/>
      <c r="C687" s="18"/>
      <c r="D687" s="18" t="s">
        <v>1101</v>
      </c>
      <c r="E687" s="19"/>
      <c r="F687" s="9"/>
      <c r="G687" s="21">
        <f>Source!AL540</f>
        <v>0.03</v>
      </c>
      <c r="H687" s="20" t="str">
        <f>Source!DD540</f>
        <v>)*2</v>
      </c>
      <c r="I687" s="9">
        <f>Source!AW540</f>
        <v>1</v>
      </c>
      <c r="J687" s="9">
        <f>IF(Source!BC540&lt;&gt; 0, Source!BC540, 1)</f>
        <v>1</v>
      </c>
      <c r="K687" s="21">
        <f>Source!P540</f>
        <v>0.18</v>
      </c>
      <c r="L687" s="21"/>
    </row>
    <row r="688" spans="1:22" ht="14.25" x14ac:dyDescent="0.2">
      <c r="A688" s="18"/>
      <c r="B688" s="18"/>
      <c r="C688" s="18"/>
      <c r="D688" s="18" t="s">
        <v>1102</v>
      </c>
      <c r="E688" s="19" t="s">
        <v>1103</v>
      </c>
      <c r="F688" s="9">
        <f>Source!AT540</f>
        <v>70</v>
      </c>
      <c r="G688" s="21"/>
      <c r="H688" s="20"/>
      <c r="I688" s="9"/>
      <c r="J688" s="9"/>
      <c r="K688" s="21">
        <f>SUM(R685:R687)</f>
        <v>6633.1</v>
      </c>
      <c r="L688" s="21"/>
    </row>
    <row r="689" spans="1:22" ht="14.25" x14ac:dyDescent="0.2">
      <c r="A689" s="18"/>
      <c r="B689" s="18"/>
      <c r="C689" s="18"/>
      <c r="D689" s="18" t="s">
        <v>1104</v>
      </c>
      <c r="E689" s="19" t="s">
        <v>1103</v>
      </c>
      <c r="F689" s="9">
        <f>Source!AU540</f>
        <v>10</v>
      </c>
      <c r="G689" s="21"/>
      <c r="H689" s="20"/>
      <c r="I689" s="9"/>
      <c r="J689" s="9"/>
      <c r="K689" s="21">
        <f>SUM(T685:T688)</f>
        <v>947.59</v>
      </c>
      <c r="L689" s="21"/>
    </row>
    <row r="690" spans="1:22" ht="14.25" x14ac:dyDescent="0.2">
      <c r="A690" s="18"/>
      <c r="B690" s="18"/>
      <c r="C690" s="18"/>
      <c r="D690" s="18" t="s">
        <v>1105</v>
      </c>
      <c r="E690" s="19" t="s">
        <v>1106</v>
      </c>
      <c r="F690" s="9">
        <f>Source!AQ540</f>
        <v>2.38</v>
      </c>
      <c r="G690" s="21"/>
      <c r="H690" s="20" t="str">
        <f>Source!DI540</f>
        <v>)*2</v>
      </c>
      <c r="I690" s="9">
        <f>Source!AV540</f>
        <v>1</v>
      </c>
      <c r="J690" s="9"/>
      <c r="K690" s="21"/>
      <c r="L690" s="21">
        <f>Source!U540</f>
        <v>14.28</v>
      </c>
    </row>
    <row r="691" spans="1:22" ht="15" x14ac:dyDescent="0.25">
      <c r="A691" s="23"/>
      <c r="B691" s="23"/>
      <c r="C691" s="23"/>
      <c r="D691" s="23"/>
      <c r="E691" s="23"/>
      <c r="F691" s="23"/>
      <c r="G691" s="23"/>
      <c r="H691" s="23"/>
      <c r="I691" s="23"/>
      <c r="J691" s="44">
        <f>K686+K687+K688+K689</f>
        <v>17056.73</v>
      </c>
      <c r="K691" s="44"/>
      <c r="L691" s="24">
        <f>IF(Source!I540&lt;&gt;0, ROUND(J691/Source!I540, 2), 0)</f>
        <v>5685.58</v>
      </c>
      <c r="P691" s="22">
        <f>J691</f>
        <v>17056.73</v>
      </c>
    </row>
    <row r="693" spans="1:22" ht="15" x14ac:dyDescent="0.25">
      <c r="C693" s="47" t="str">
        <f>Source!G547</f>
        <v>Теплоснабжение, тепловые завесы</v>
      </c>
      <c r="D693" s="47"/>
      <c r="E693" s="47"/>
      <c r="F693" s="47"/>
      <c r="G693" s="47"/>
      <c r="H693" s="47"/>
      <c r="I693" s="47"/>
      <c r="J693" s="47"/>
      <c r="K693" s="47"/>
    </row>
    <row r="694" spans="1:22" ht="71.25" x14ac:dyDescent="0.2">
      <c r="A694" s="18">
        <v>75</v>
      </c>
      <c r="B694" s="18">
        <v>75</v>
      </c>
      <c r="C694" s="18" t="str">
        <f>Source!F548</f>
        <v>1.18-2303-5-4/1</v>
      </c>
      <c r="D694" s="18" t="str">
        <f>Source!G548</f>
        <v>Техническое обслуживание горизонтальных тепловых завес с водяным теплообменником производительностью по воздуху до 5000 м3/ч</v>
      </c>
      <c r="E694" s="19" t="str">
        <f>Source!H548</f>
        <v>шт.</v>
      </c>
      <c r="F694" s="9">
        <f>Source!I548</f>
        <v>16</v>
      </c>
      <c r="G694" s="21"/>
      <c r="H694" s="20"/>
      <c r="I694" s="9"/>
      <c r="J694" s="9"/>
      <c r="K694" s="21"/>
      <c r="L694" s="21"/>
      <c r="Q694">
        <f>ROUND((Source!BZ548/100)*ROUND((Source!AF548*Source!AV548)*Source!I548, 2), 2)</f>
        <v>16201.81</v>
      </c>
      <c r="R694">
        <f>Source!X548</f>
        <v>16201.81</v>
      </c>
      <c r="S694">
        <f>ROUND((Source!CA548/100)*ROUND((Source!AF548*Source!AV548)*Source!I548, 2), 2)</f>
        <v>2314.54</v>
      </c>
      <c r="T694">
        <f>Source!Y548</f>
        <v>2314.54</v>
      </c>
      <c r="U694">
        <f>ROUND((175/100)*ROUND((Source!AE548*Source!AV548)*Source!I548, 2), 2)</f>
        <v>4.2</v>
      </c>
      <c r="V694">
        <f>ROUND((108/100)*ROUND(Source!CS548*Source!I548, 2), 2)</f>
        <v>2.59</v>
      </c>
    </row>
    <row r="695" spans="1:22" ht="14.25" x14ac:dyDescent="0.2">
      <c r="A695" s="18"/>
      <c r="B695" s="18"/>
      <c r="C695" s="18"/>
      <c r="D695" s="18" t="s">
        <v>1100</v>
      </c>
      <c r="E695" s="19"/>
      <c r="F695" s="9"/>
      <c r="G695" s="21">
        <f>Source!AO548</f>
        <v>1446.59</v>
      </c>
      <c r="H695" s="20" t="str">
        <f>Source!DG548</f>
        <v/>
      </c>
      <c r="I695" s="9">
        <f>Source!AV548</f>
        <v>1</v>
      </c>
      <c r="J695" s="9">
        <f>IF(Source!BA548&lt;&gt; 0, Source!BA548, 1)</f>
        <v>1</v>
      </c>
      <c r="K695" s="21">
        <f>Source!S548</f>
        <v>23145.439999999999</v>
      </c>
      <c r="L695" s="21"/>
    </row>
    <row r="696" spans="1:22" ht="14.25" x14ac:dyDescent="0.2">
      <c r="A696" s="18"/>
      <c r="B696" s="18"/>
      <c r="C696" s="18"/>
      <c r="D696" s="18" t="s">
        <v>1107</v>
      </c>
      <c r="E696" s="19"/>
      <c r="F696" s="9"/>
      <c r="G696" s="21">
        <f>Source!AM548</f>
        <v>10.71</v>
      </c>
      <c r="H696" s="20" t="str">
        <f>Source!DE548</f>
        <v/>
      </c>
      <c r="I696" s="9">
        <f>Source!AV548</f>
        <v>1</v>
      </c>
      <c r="J696" s="9">
        <f>IF(Source!BB548&lt;&gt; 0, Source!BB548, 1)</f>
        <v>1</v>
      </c>
      <c r="K696" s="21">
        <f>Source!Q548</f>
        <v>171.36</v>
      </c>
      <c r="L696" s="21"/>
    </row>
    <row r="697" spans="1:22" ht="14.25" x14ac:dyDescent="0.2">
      <c r="A697" s="18"/>
      <c r="B697" s="18"/>
      <c r="C697" s="18"/>
      <c r="D697" s="18" t="s">
        <v>1108</v>
      </c>
      <c r="E697" s="19"/>
      <c r="F697" s="9"/>
      <c r="G697" s="21">
        <f>Source!AN548</f>
        <v>0.15</v>
      </c>
      <c r="H697" s="20" t="str">
        <f>Source!DF548</f>
        <v/>
      </c>
      <c r="I697" s="9">
        <f>Source!AV548</f>
        <v>1</v>
      </c>
      <c r="J697" s="9">
        <f>IF(Source!BS548&lt;&gt; 0, Source!BS548, 1)</f>
        <v>1</v>
      </c>
      <c r="K697" s="25">
        <f>Source!R548</f>
        <v>2.4</v>
      </c>
      <c r="L697" s="21"/>
    </row>
    <row r="698" spans="1:22" ht="14.25" x14ac:dyDescent="0.2">
      <c r="A698" s="18"/>
      <c r="B698" s="18"/>
      <c r="C698" s="18"/>
      <c r="D698" s="18" t="s">
        <v>1101</v>
      </c>
      <c r="E698" s="19"/>
      <c r="F698" s="9"/>
      <c r="G698" s="21">
        <f>Source!AL548</f>
        <v>1.89</v>
      </c>
      <c r="H698" s="20" t="str">
        <f>Source!DD548</f>
        <v/>
      </c>
      <c r="I698" s="9">
        <f>Source!AW548</f>
        <v>1</v>
      </c>
      <c r="J698" s="9">
        <f>IF(Source!BC548&lt;&gt; 0, Source!BC548, 1)</f>
        <v>1</v>
      </c>
      <c r="K698" s="21">
        <f>Source!P548</f>
        <v>30.24</v>
      </c>
      <c r="L698" s="21"/>
    </row>
    <row r="699" spans="1:22" ht="14.25" x14ac:dyDescent="0.2">
      <c r="A699" s="18"/>
      <c r="B699" s="18"/>
      <c r="C699" s="18"/>
      <c r="D699" s="18" t="s">
        <v>1102</v>
      </c>
      <c r="E699" s="19" t="s">
        <v>1103</v>
      </c>
      <c r="F699" s="9">
        <f>Source!AT548</f>
        <v>70</v>
      </c>
      <c r="G699" s="21"/>
      <c r="H699" s="20"/>
      <c r="I699" s="9"/>
      <c r="J699" s="9"/>
      <c r="K699" s="21">
        <f>SUM(R694:R698)</f>
        <v>16201.81</v>
      </c>
      <c r="L699" s="21"/>
    </row>
    <row r="700" spans="1:22" ht="14.25" x14ac:dyDescent="0.2">
      <c r="A700" s="18"/>
      <c r="B700" s="18"/>
      <c r="C700" s="18"/>
      <c r="D700" s="18" t="s">
        <v>1104</v>
      </c>
      <c r="E700" s="19" t="s">
        <v>1103</v>
      </c>
      <c r="F700" s="9">
        <f>Source!AU548</f>
        <v>10</v>
      </c>
      <c r="G700" s="21"/>
      <c r="H700" s="20"/>
      <c r="I700" s="9"/>
      <c r="J700" s="9"/>
      <c r="K700" s="21">
        <f>SUM(T694:T699)</f>
        <v>2314.54</v>
      </c>
      <c r="L700" s="21"/>
    </row>
    <row r="701" spans="1:22" ht="14.25" x14ac:dyDescent="0.2">
      <c r="A701" s="18"/>
      <c r="B701" s="18"/>
      <c r="C701" s="18"/>
      <c r="D701" s="18" t="s">
        <v>1109</v>
      </c>
      <c r="E701" s="19" t="s">
        <v>1103</v>
      </c>
      <c r="F701" s="9">
        <f>108</f>
        <v>108</v>
      </c>
      <c r="G701" s="21"/>
      <c r="H701" s="20"/>
      <c r="I701" s="9"/>
      <c r="J701" s="9"/>
      <c r="K701" s="21">
        <f>SUM(V694:V700)</f>
        <v>2.59</v>
      </c>
      <c r="L701" s="21"/>
    </row>
    <row r="702" spans="1:22" ht="14.25" x14ac:dyDescent="0.2">
      <c r="A702" s="18"/>
      <c r="B702" s="18"/>
      <c r="C702" s="18"/>
      <c r="D702" s="18" t="s">
        <v>1105</v>
      </c>
      <c r="E702" s="19" t="s">
        <v>1106</v>
      </c>
      <c r="F702" s="9">
        <f>Source!AQ548</f>
        <v>2.1800000000000002</v>
      </c>
      <c r="G702" s="21"/>
      <c r="H702" s="20" t="str">
        <f>Source!DI548</f>
        <v/>
      </c>
      <c r="I702" s="9">
        <f>Source!AV548</f>
        <v>1</v>
      </c>
      <c r="J702" s="9"/>
      <c r="K702" s="21"/>
      <c r="L702" s="21">
        <f>Source!U548</f>
        <v>34.880000000000003</v>
      </c>
    </row>
    <row r="703" spans="1:22" ht="15" x14ac:dyDescent="0.25">
      <c r="A703" s="23"/>
      <c r="B703" s="23"/>
      <c r="C703" s="23"/>
      <c r="D703" s="23"/>
      <c r="E703" s="23"/>
      <c r="F703" s="23"/>
      <c r="G703" s="23"/>
      <c r="H703" s="23"/>
      <c r="I703" s="23"/>
      <c r="J703" s="44">
        <f>K695+K696+K698+K699+K700+K701</f>
        <v>41865.979999999996</v>
      </c>
      <c r="K703" s="44"/>
      <c r="L703" s="24">
        <f>IF(Source!I548&lt;&gt;0, ROUND(J703/Source!I548, 2), 0)</f>
        <v>2616.62</v>
      </c>
      <c r="P703" s="22">
        <f>J703</f>
        <v>41865.979999999996</v>
      </c>
    </row>
    <row r="705" spans="1:22" ht="15" x14ac:dyDescent="0.25">
      <c r="C705" s="47" t="str">
        <f>Source!G550</f>
        <v>Трубопроводы</v>
      </c>
      <c r="D705" s="47"/>
      <c r="E705" s="47"/>
      <c r="F705" s="47"/>
      <c r="G705" s="47"/>
      <c r="H705" s="47"/>
      <c r="I705" s="47"/>
      <c r="J705" s="47"/>
      <c r="K705" s="47"/>
    </row>
    <row r="706" spans="1:22" ht="42.75" x14ac:dyDescent="0.2">
      <c r="A706" s="18">
        <v>76</v>
      </c>
      <c r="B706" s="18">
        <v>76</v>
      </c>
      <c r="C706" s="18" t="str">
        <f>Source!F553</f>
        <v>1.23-2103-41-1/1</v>
      </c>
      <c r="D706" s="18" t="str">
        <f>Source!G553</f>
        <v>Техническое обслуживание регулирующего клапана  /Ручной балансировочный клапан Leno MVT</v>
      </c>
      <c r="E706" s="19" t="str">
        <f>Source!H553</f>
        <v>шт.</v>
      </c>
      <c r="F706" s="9">
        <f>Source!I553</f>
        <v>19</v>
      </c>
      <c r="G706" s="21"/>
      <c r="H706" s="20"/>
      <c r="I706" s="9"/>
      <c r="J706" s="9"/>
      <c r="K706" s="21"/>
      <c r="L706" s="21"/>
      <c r="Q706">
        <f>ROUND((Source!BZ553/100)*ROUND((Source!AF553*Source!AV553)*Source!I553, 2), 2)</f>
        <v>2766.4</v>
      </c>
      <c r="R706">
        <f>Source!X553</f>
        <v>2766.4</v>
      </c>
      <c r="S706">
        <f>ROUND((Source!CA553/100)*ROUND((Source!AF553*Source!AV553)*Source!I553, 2), 2)</f>
        <v>395.2</v>
      </c>
      <c r="T706">
        <f>Source!Y553</f>
        <v>395.2</v>
      </c>
      <c r="U706">
        <f>ROUND((175/100)*ROUND((Source!AE553*Source!AV553)*Source!I553, 2), 2)</f>
        <v>1648.2</v>
      </c>
      <c r="V706">
        <f>ROUND((108/100)*ROUND(Source!CS553*Source!I553, 2), 2)</f>
        <v>1017.18</v>
      </c>
    </row>
    <row r="707" spans="1:22" x14ac:dyDescent="0.2">
      <c r="D707" s="28" t="str">
        <f>"Объем: "&amp;Source!I553&amp;"=2+"&amp;"1+"&amp;"1+"&amp;"15"</f>
        <v>Объем: 19=2+1+1+15</v>
      </c>
    </row>
    <row r="708" spans="1:22" ht="14.25" x14ac:dyDescent="0.2">
      <c r="A708" s="18"/>
      <c r="B708" s="18"/>
      <c r="C708" s="18"/>
      <c r="D708" s="18" t="s">
        <v>1100</v>
      </c>
      <c r="E708" s="19"/>
      <c r="F708" s="9"/>
      <c r="G708" s="21">
        <f>Source!AO553</f>
        <v>208</v>
      </c>
      <c r="H708" s="20" t="str">
        <f>Source!DG553</f>
        <v/>
      </c>
      <c r="I708" s="9">
        <f>Source!AV553</f>
        <v>1</v>
      </c>
      <c r="J708" s="9">
        <f>IF(Source!BA553&lt;&gt; 0, Source!BA553, 1)</f>
        <v>1</v>
      </c>
      <c r="K708" s="21">
        <f>Source!S553</f>
        <v>3952</v>
      </c>
      <c r="L708" s="21"/>
    </row>
    <row r="709" spans="1:22" ht="14.25" x14ac:dyDescent="0.2">
      <c r="A709" s="18"/>
      <c r="B709" s="18"/>
      <c r="C709" s="18"/>
      <c r="D709" s="18" t="s">
        <v>1107</v>
      </c>
      <c r="E709" s="19"/>
      <c r="F709" s="9"/>
      <c r="G709" s="21">
        <f>Source!AM553</f>
        <v>78.180000000000007</v>
      </c>
      <c r="H709" s="20" t="str">
        <f>Source!DE553</f>
        <v/>
      </c>
      <c r="I709" s="9">
        <f>Source!AV553</f>
        <v>1</v>
      </c>
      <c r="J709" s="9">
        <f>IF(Source!BB553&lt;&gt; 0, Source!BB553, 1)</f>
        <v>1</v>
      </c>
      <c r="K709" s="21">
        <f>Source!Q553</f>
        <v>1485.42</v>
      </c>
      <c r="L709" s="21"/>
    </row>
    <row r="710" spans="1:22" ht="14.25" x14ac:dyDescent="0.2">
      <c r="A710" s="18"/>
      <c r="B710" s="18"/>
      <c r="C710" s="18"/>
      <c r="D710" s="18" t="s">
        <v>1108</v>
      </c>
      <c r="E710" s="19"/>
      <c r="F710" s="9"/>
      <c r="G710" s="21">
        <f>Source!AN553</f>
        <v>49.57</v>
      </c>
      <c r="H710" s="20" t="str">
        <f>Source!DF553</f>
        <v/>
      </c>
      <c r="I710" s="9">
        <f>Source!AV553</f>
        <v>1</v>
      </c>
      <c r="J710" s="9">
        <f>IF(Source!BS553&lt;&gt; 0, Source!BS553, 1)</f>
        <v>1</v>
      </c>
      <c r="K710" s="25">
        <f>Source!R553</f>
        <v>941.83</v>
      </c>
      <c r="L710" s="21"/>
    </row>
    <row r="711" spans="1:22" ht="14.25" x14ac:dyDescent="0.2">
      <c r="A711" s="18"/>
      <c r="B711" s="18"/>
      <c r="C711" s="18"/>
      <c r="D711" s="18" t="s">
        <v>1102</v>
      </c>
      <c r="E711" s="19" t="s">
        <v>1103</v>
      </c>
      <c r="F711" s="9">
        <f>Source!AT553</f>
        <v>70</v>
      </c>
      <c r="G711" s="21"/>
      <c r="H711" s="20"/>
      <c r="I711" s="9"/>
      <c r="J711" s="9"/>
      <c r="K711" s="21">
        <f>SUM(R706:R710)</f>
        <v>2766.4</v>
      </c>
      <c r="L711" s="21"/>
    </row>
    <row r="712" spans="1:22" ht="14.25" x14ac:dyDescent="0.2">
      <c r="A712" s="18"/>
      <c r="B712" s="18"/>
      <c r="C712" s="18"/>
      <c r="D712" s="18" t="s">
        <v>1104</v>
      </c>
      <c r="E712" s="19" t="s">
        <v>1103</v>
      </c>
      <c r="F712" s="9">
        <f>Source!AU553</f>
        <v>10</v>
      </c>
      <c r="G712" s="21"/>
      <c r="H712" s="20"/>
      <c r="I712" s="9"/>
      <c r="J712" s="9"/>
      <c r="K712" s="21">
        <f>SUM(T706:T711)</f>
        <v>395.2</v>
      </c>
      <c r="L712" s="21"/>
    </row>
    <row r="713" spans="1:22" ht="14.25" x14ac:dyDescent="0.2">
      <c r="A713" s="18"/>
      <c r="B713" s="18"/>
      <c r="C713" s="18"/>
      <c r="D713" s="18" t="s">
        <v>1109</v>
      </c>
      <c r="E713" s="19" t="s">
        <v>1103</v>
      </c>
      <c r="F713" s="9">
        <f>108</f>
        <v>108</v>
      </c>
      <c r="G713" s="21"/>
      <c r="H713" s="20"/>
      <c r="I713" s="9"/>
      <c r="J713" s="9"/>
      <c r="K713" s="21">
        <f>SUM(V706:V712)</f>
        <v>1017.18</v>
      </c>
      <c r="L713" s="21"/>
    </row>
    <row r="714" spans="1:22" ht="14.25" x14ac:dyDescent="0.2">
      <c r="A714" s="18"/>
      <c r="B714" s="18"/>
      <c r="C714" s="18"/>
      <c r="D714" s="18" t="s">
        <v>1105</v>
      </c>
      <c r="E714" s="19" t="s">
        <v>1106</v>
      </c>
      <c r="F714" s="9">
        <f>Source!AQ553</f>
        <v>0.37</v>
      </c>
      <c r="G714" s="21"/>
      <c r="H714" s="20" t="str">
        <f>Source!DI553</f>
        <v/>
      </c>
      <c r="I714" s="9">
        <f>Source!AV553</f>
        <v>1</v>
      </c>
      <c r="J714" s="9"/>
      <c r="K714" s="21"/>
      <c r="L714" s="21">
        <f>Source!U553</f>
        <v>7.03</v>
      </c>
    </row>
    <row r="715" spans="1:22" ht="15" x14ac:dyDescent="0.25">
      <c r="A715" s="23"/>
      <c r="B715" s="23"/>
      <c r="C715" s="23"/>
      <c r="D715" s="23"/>
      <c r="E715" s="23"/>
      <c r="F715" s="23"/>
      <c r="G715" s="23"/>
      <c r="H715" s="23"/>
      <c r="I715" s="23"/>
      <c r="J715" s="44">
        <f>K708+K709+K711+K712+K713</f>
        <v>9616.2000000000007</v>
      </c>
      <c r="K715" s="44"/>
      <c r="L715" s="24">
        <f>IF(Source!I553&lt;&gt;0, ROUND(J715/Source!I553, 2), 0)</f>
        <v>506.12</v>
      </c>
      <c r="P715" s="22">
        <f>J715</f>
        <v>9616.2000000000007</v>
      </c>
    </row>
    <row r="716" spans="1:22" ht="42.75" x14ac:dyDescent="0.2">
      <c r="A716" s="18">
        <v>77</v>
      </c>
      <c r="B716" s="18">
        <v>77</v>
      </c>
      <c r="C716" s="18" t="str">
        <f>Source!F554</f>
        <v>1.15-2203-7-1/1</v>
      </c>
      <c r="D716" s="18" t="str">
        <f>Source!G554</f>
        <v>Техническое обслуживание крана шарового латунного никелированного диаметром до 25 мм</v>
      </c>
      <c r="E716" s="19" t="str">
        <f>Source!H554</f>
        <v>10 шт.</v>
      </c>
      <c r="F716" s="9">
        <f>Source!I554</f>
        <v>0.4</v>
      </c>
      <c r="G716" s="21"/>
      <c r="H716" s="20"/>
      <c r="I716" s="9"/>
      <c r="J716" s="9"/>
      <c r="K716" s="21"/>
      <c r="L716" s="21"/>
      <c r="Q716">
        <f>ROUND((Source!BZ554/100)*ROUND((Source!AF554*Source!AV554)*Source!I554, 2), 2)</f>
        <v>77.81</v>
      </c>
      <c r="R716">
        <f>Source!X554</f>
        <v>77.81</v>
      </c>
      <c r="S716">
        <f>ROUND((Source!CA554/100)*ROUND((Source!AF554*Source!AV554)*Source!I554, 2), 2)</f>
        <v>11.12</v>
      </c>
      <c r="T716">
        <f>Source!Y554</f>
        <v>11.12</v>
      </c>
      <c r="U716">
        <f>ROUND((175/100)*ROUND((Source!AE554*Source!AV554)*Source!I554, 2), 2)</f>
        <v>0</v>
      </c>
      <c r="V716">
        <f>ROUND((108/100)*ROUND(Source!CS554*Source!I554, 2), 2)</f>
        <v>0</v>
      </c>
    </row>
    <row r="717" spans="1:22" x14ac:dyDescent="0.2">
      <c r="D717" s="28" t="str">
        <f>"Объем: "&amp;Source!I554&amp;"=(2+"&amp;"1+"&amp;"1)/"&amp;"10"</f>
        <v>Объем: 0,4=(2+1+1)/10</v>
      </c>
    </row>
    <row r="718" spans="1:22" ht="14.25" x14ac:dyDescent="0.2">
      <c r="A718" s="18"/>
      <c r="B718" s="18"/>
      <c r="C718" s="18"/>
      <c r="D718" s="18" t="s">
        <v>1100</v>
      </c>
      <c r="E718" s="19"/>
      <c r="F718" s="9"/>
      <c r="G718" s="21">
        <f>Source!AO554</f>
        <v>277.87</v>
      </c>
      <c r="H718" s="20" t="str">
        <f>Source!DG554</f>
        <v/>
      </c>
      <c r="I718" s="9">
        <f>Source!AV554</f>
        <v>1</v>
      </c>
      <c r="J718" s="9">
        <f>IF(Source!BA554&lt;&gt; 0, Source!BA554, 1)</f>
        <v>1</v>
      </c>
      <c r="K718" s="21">
        <f>Source!S554</f>
        <v>111.15</v>
      </c>
      <c r="L718" s="21"/>
    </row>
    <row r="719" spans="1:22" ht="14.25" x14ac:dyDescent="0.2">
      <c r="A719" s="18"/>
      <c r="B719" s="18"/>
      <c r="C719" s="18"/>
      <c r="D719" s="18" t="s">
        <v>1102</v>
      </c>
      <c r="E719" s="19" t="s">
        <v>1103</v>
      </c>
      <c r="F719" s="9">
        <f>Source!AT554</f>
        <v>70</v>
      </c>
      <c r="G719" s="21"/>
      <c r="H719" s="20"/>
      <c r="I719" s="9"/>
      <c r="J719" s="9"/>
      <c r="K719" s="21">
        <f>SUM(R716:R718)</f>
        <v>77.81</v>
      </c>
      <c r="L719" s="21"/>
    </row>
    <row r="720" spans="1:22" ht="14.25" x14ac:dyDescent="0.2">
      <c r="A720" s="18"/>
      <c r="B720" s="18"/>
      <c r="C720" s="18"/>
      <c r="D720" s="18" t="s">
        <v>1104</v>
      </c>
      <c r="E720" s="19" t="s">
        <v>1103</v>
      </c>
      <c r="F720" s="9">
        <f>Source!AU554</f>
        <v>10</v>
      </c>
      <c r="G720" s="21"/>
      <c r="H720" s="20"/>
      <c r="I720" s="9"/>
      <c r="J720" s="9"/>
      <c r="K720" s="21">
        <f>SUM(T716:T719)</f>
        <v>11.12</v>
      </c>
      <c r="L720" s="21"/>
    </row>
    <row r="721" spans="1:22" ht="14.25" x14ac:dyDescent="0.2">
      <c r="A721" s="18"/>
      <c r="B721" s="18"/>
      <c r="C721" s="18"/>
      <c r="D721" s="18" t="s">
        <v>1105</v>
      </c>
      <c r="E721" s="19" t="s">
        <v>1106</v>
      </c>
      <c r="F721" s="9">
        <f>Source!AQ554</f>
        <v>0.45</v>
      </c>
      <c r="G721" s="21"/>
      <c r="H721" s="20" t="str">
        <f>Source!DI554</f>
        <v/>
      </c>
      <c r="I721" s="9">
        <f>Source!AV554</f>
        <v>1</v>
      </c>
      <c r="J721" s="9"/>
      <c r="K721" s="21"/>
      <c r="L721" s="21">
        <f>Source!U554</f>
        <v>0.18000000000000002</v>
      </c>
    </row>
    <row r="722" spans="1:22" ht="15" x14ac:dyDescent="0.25">
      <c r="A722" s="23"/>
      <c r="B722" s="23"/>
      <c r="C722" s="23"/>
      <c r="D722" s="23"/>
      <c r="E722" s="23"/>
      <c r="F722" s="23"/>
      <c r="G722" s="23"/>
      <c r="H722" s="23"/>
      <c r="I722" s="23"/>
      <c r="J722" s="44">
        <f>K718+K719+K720</f>
        <v>200.08</v>
      </c>
      <c r="K722" s="44"/>
      <c r="L722" s="24">
        <f>IF(Source!I554&lt;&gt;0, ROUND(J722/Source!I554, 2), 0)</f>
        <v>500.2</v>
      </c>
      <c r="P722" s="22">
        <f>J722</f>
        <v>200.08</v>
      </c>
    </row>
    <row r="723" spans="1:22" ht="42.75" x14ac:dyDescent="0.2">
      <c r="A723" s="18">
        <v>78</v>
      </c>
      <c r="B723" s="18">
        <v>78</v>
      </c>
      <c r="C723" s="18" t="str">
        <f>Source!F555</f>
        <v>1.15-2203-7-2/1</v>
      </c>
      <c r="D723" s="18" t="str">
        <f>Source!G555</f>
        <v>Техническое обслуживание крана шарового латунного никелированного диаметром до 50 мм</v>
      </c>
      <c r="E723" s="19" t="str">
        <f>Source!H555</f>
        <v>10 шт.</v>
      </c>
      <c r="F723" s="9">
        <f>Source!I555</f>
        <v>1.5</v>
      </c>
      <c r="G723" s="21"/>
      <c r="H723" s="20"/>
      <c r="I723" s="9"/>
      <c r="J723" s="9"/>
      <c r="K723" s="21"/>
      <c r="L723" s="21"/>
      <c r="Q723">
        <f>ROUND((Source!BZ555/100)*ROUND((Source!AF555*Source!AV555)*Source!I555, 2), 2)</f>
        <v>395.51</v>
      </c>
      <c r="R723">
        <f>Source!X555</f>
        <v>395.51</v>
      </c>
      <c r="S723">
        <f>ROUND((Source!CA555/100)*ROUND((Source!AF555*Source!AV555)*Source!I555, 2), 2)</f>
        <v>56.5</v>
      </c>
      <c r="T723">
        <f>Source!Y555</f>
        <v>56.5</v>
      </c>
      <c r="U723">
        <f>ROUND((175/100)*ROUND((Source!AE555*Source!AV555)*Source!I555, 2), 2)</f>
        <v>0</v>
      </c>
      <c r="V723">
        <f>ROUND((108/100)*ROUND(Source!CS555*Source!I555, 2), 2)</f>
        <v>0</v>
      </c>
    </row>
    <row r="724" spans="1:22" x14ac:dyDescent="0.2">
      <c r="D724" s="28" t="str">
        <f>"Объем: "&amp;Source!I555&amp;"=(15)/"&amp;"10"</f>
        <v>Объем: 1,5=(15)/10</v>
      </c>
    </row>
    <row r="725" spans="1:22" ht="14.25" x14ac:dyDescent="0.2">
      <c r="A725" s="18"/>
      <c r="B725" s="18"/>
      <c r="C725" s="18"/>
      <c r="D725" s="18" t="s">
        <v>1100</v>
      </c>
      <c r="E725" s="19"/>
      <c r="F725" s="9"/>
      <c r="G725" s="21">
        <f>Source!AO555</f>
        <v>376.67</v>
      </c>
      <c r="H725" s="20" t="str">
        <f>Source!DG555</f>
        <v/>
      </c>
      <c r="I725" s="9">
        <f>Source!AV555</f>
        <v>1</v>
      </c>
      <c r="J725" s="9">
        <f>IF(Source!BA555&lt;&gt; 0, Source!BA555, 1)</f>
        <v>1</v>
      </c>
      <c r="K725" s="21">
        <f>Source!S555</f>
        <v>565.01</v>
      </c>
      <c r="L725" s="21"/>
    </row>
    <row r="726" spans="1:22" ht="14.25" x14ac:dyDescent="0.2">
      <c r="A726" s="18"/>
      <c r="B726" s="18"/>
      <c r="C726" s="18"/>
      <c r="D726" s="18" t="s">
        <v>1102</v>
      </c>
      <c r="E726" s="19" t="s">
        <v>1103</v>
      </c>
      <c r="F726" s="9">
        <f>Source!AT555</f>
        <v>70</v>
      </c>
      <c r="G726" s="21"/>
      <c r="H726" s="20"/>
      <c r="I726" s="9"/>
      <c r="J726" s="9"/>
      <c r="K726" s="21">
        <f>SUM(R723:R725)</f>
        <v>395.51</v>
      </c>
      <c r="L726" s="21"/>
    </row>
    <row r="727" spans="1:22" ht="14.25" x14ac:dyDescent="0.2">
      <c r="A727" s="18"/>
      <c r="B727" s="18"/>
      <c r="C727" s="18"/>
      <c r="D727" s="18" t="s">
        <v>1104</v>
      </c>
      <c r="E727" s="19" t="s">
        <v>1103</v>
      </c>
      <c r="F727" s="9">
        <f>Source!AU555</f>
        <v>10</v>
      </c>
      <c r="G727" s="21"/>
      <c r="H727" s="20"/>
      <c r="I727" s="9"/>
      <c r="J727" s="9"/>
      <c r="K727" s="21">
        <f>SUM(T723:T726)</f>
        <v>56.5</v>
      </c>
      <c r="L727" s="21"/>
    </row>
    <row r="728" spans="1:22" ht="14.25" x14ac:dyDescent="0.2">
      <c r="A728" s="18"/>
      <c r="B728" s="18"/>
      <c r="C728" s="18"/>
      <c r="D728" s="18" t="s">
        <v>1105</v>
      </c>
      <c r="E728" s="19" t="s">
        <v>1106</v>
      </c>
      <c r="F728" s="9">
        <f>Source!AQ555</f>
        <v>0.61</v>
      </c>
      <c r="G728" s="21"/>
      <c r="H728" s="20" t="str">
        <f>Source!DI555</f>
        <v/>
      </c>
      <c r="I728" s="9">
        <f>Source!AV555</f>
        <v>1</v>
      </c>
      <c r="J728" s="9"/>
      <c r="K728" s="21"/>
      <c r="L728" s="21">
        <f>Source!U555</f>
        <v>0.91500000000000004</v>
      </c>
    </row>
    <row r="729" spans="1:22" ht="15" x14ac:dyDescent="0.25">
      <c r="A729" s="23"/>
      <c r="B729" s="23"/>
      <c r="C729" s="23"/>
      <c r="D729" s="23"/>
      <c r="E729" s="23"/>
      <c r="F729" s="23"/>
      <c r="G729" s="23"/>
      <c r="H729" s="23"/>
      <c r="I729" s="23"/>
      <c r="J729" s="44">
        <f>K725+K726+K727</f>
        <v>1017.02</v>
      </c>
      <c r="K729" s="44"/>
      <c r="L729" s="24">
        <f>IF(Source!I555&lt;&gt;0, ROUND(J729/Source!I555, 2), 0)</f>
        <v>678.01</v>
      </c>
      <c r="P729" s="22">
        <f>J729</f>
        <v>1017.02</v>
      </c>
    </row>
    <row r="731" spans="1:22" ht="15" x14ac:dyDescent="0.25">
      <c r="A731" s="46" t="str">
        <f>CONCATENATE("Итого по подразделу: ",IF(Source!G563&lt;&gt;"Новый подраздел", Source!G563, ""))</f>
        <v>Итого по подразделу: Вентиляция</v>
      </c>
      <c r="B731" s="46"/>
      <c r="C731" s="46"/>
      <c r="D731" s="46"/>
      <c r="E731" s="46"/>
      <c r="F731" s="46"/>
      <c r="G731" s="46"/>
      <c r="H731" s="46"/>
      <c r="I731" s="46"/>
      <c r="J731" s="45">
        <f>SUM(P627:P730)</f>
        <v>316266.79000000004</v>
      </c>
      <c r="K731" s="59"/>
      <c r="L731" s="26"/>
    </row>
    <row r="734" spans="1:22" ht="16.5" x14ac:dyDescent="0.25">
      <c r="A734" s="48" t="str">
        <f>CONCATENATE("Подраздел: ",IF(Source!G593&lt;&gt;"Новый подраздел", Source!G593, ""))</f>
        <v>Подраздел: Кондиционирование</v>
      </c>
      <c r="B734" s="48"/>
      <c r="C734" s="48"/>
      <c r="D734" s="48"/>
      <c r="E734" s="48"/>
      <c r="F734" s="48"/>
      <c r="G734" s="48"/>
      <c r="H734" s="48"/>
      <c r="I734" s="48"/>
      <c r="J734" s="48"/>
      <c r="K734" s="48"/>
      <c r="L734" s="48"/>
    </row>
    <row r="735" spans="1:22" ht="85.5" x14ac:dyDescent="0.2">
      <c r="A735" s="18">
        <v>79</v>
      </c>
      <c r="B735" s="18">
        <v>79</v>
      </c>
      <c r="C735" s="18" t="str">
        <f>Source!F598</f>
        <v>1.24-2103-45-4/1</v>
      </c>
      <c r="D735" s="18" t="str">
        <f>Source!G598</f>
        <v>Техническое обслуживание ежеквартальное холодильных установок мощностью 420 кВт / применительно Чиллер HBA 064-00 для фанкойлов  Корф Холодопроизводительность 70 кВт</v>
      </c>
      <c r="E735" s="19" t="str">
        <f>Source!H598</f>
        <v>установка</v>
      </c>
      <c r="F735" s="9">
        <f>Source!I598</f>
        <v>1</v>
      </c>
      <c r="G735" s="21"/>
      <c r="H735" s="20"/>
      <c r="I735" s="9"/>
      <c r="J735" s="9"/>
      <c r="K735" s="21"/>
      <c r="L735" s="21"/>
      <c r="Q735">
        <f>ROUND((Source!BZ598/100)*ROUND((Source!AF598*Source!AV598)*Source!I598, 2), 2)</f>
        <v>6324.98</v>
      </c>
      <c r="R735">
        <f>Source!X598</f>
        <v>6324.98</v>
      </c>
      <c r="S735">
        <f>ROUND((Source!CA598/100)*ROUND((Source!AF598*Source!AV598)*Source!I598, 2), 2)</f>
        <v>903.57</v>
      </c>
      <c r="T735">
        <f>Source!Y598</f>
        <v>903.57</v>
      </c>
      <c r="U735">
        <f>ROUND((175/100)*ROUND((Source!AE598*Source!AV598)*Source!I598, 2), 2)</f>
        <v>1214.5</v>
      </c>
      <c r="V735">
        <f>ROUND((108/100)*ROUND(Source!CS598*Source!I598, 2), 2)</f>
        <v>749.52</v>
      </c>
    </row>
    <row r="736" spans="1:22" ht="14.25" x14ac:dyDescent="0.2">
      <c r="A736" s="18"/>
      <c r="B736" s="18"/>
      <c r="C736" s="18"/>
      <c r="D736" s="18" t="s">
        <v>1100</v>
      </c>
      <c r="E736" s="19"/>
      <c r="F736" s="9"/>
      <c r="G736" s="21">
        <f>Source!AO598</f>
        <v>4517.84</v>
      </c>
      <c r="H736" s="20" t="str">
        <f>Source!DG598</f>
        <v>)*2</v>
      </c>
      <c r="I736" s="9">
        <f>Source!AV598</f>
        <v>1</v>
      </c>
      <c r="J736" s="9">
        <f>IF(Source!BA598&lt;&gt; 0, Source!BA598, 1)</f>
        <v>1</v>
      </c>
      <c r="K736" s="21">
        <f>Source!S598</f>
        <v>9035.68</v>
      </c>
      <c r="L736" s="21"/>
    </row>
    <row r="737" spans="1:22" ht="14.25" x14ac:dyDescent="0.2">
      <c r="A737" s="18"/>
      <c r="B737" s="18"/>
      <c r="C737" s="18"/>
      <c r="D737" s="18" t="s">
        <v>1107</v>
      </c>
      <c r="E737" s="19"/>
      <c r="F737" s="9"/>
      <c r="G737" s="21">
        <f>Source!AM598</f>
        <v>547.26</v>
      </c>
      <c r="H737" s="20" t="str">
        <f>Source!DE598</f>
        <v>)*2</v>
      </c>
      <c r="I737" s="9">
        <f>Source!AV598</f>
        <v>1</v>
      </c>
      <c r="J737" s="9">
        <f>IF(Source!BB598&lt;&gt; 0, Source!BB598, 1)</f>
        <v>1</v>
      </c>
      <c r="K737" s="21">
        <f>Source!Q598</f>
        <v>1094.52</v>
      </c>
      <c r="L737" s="21"/>
    </row>
    <row r="738" spans="1:22" ht="14.25" x14ac:dyDescent="0.2">
      <c r="A738" s="18"/>
      <c r="B738" s="18"/>
      <c r="C738" s="18"/>
      <c r="D738" s="18" t="s">
        <v>1108</v>
      </c>
      <c r="E738" s="19"/>
      <c r="F738" s="9"/>
      <c r="G738" s="21">
        <f>Source!AN598</f>
        <v>347</v>
      </c>
      <c r="H738" s="20" t="str">
        <f>Source!DF598</f>
        <v>)*2</v>
      </c>
      <c r="I738" s="9">
        <f>Source!AV598</f>
        <v>1</v>
      </c>
      <c r="J738" s="9">
        <f>IF(Source!BS598&lt;&gt; 0, Source!BS598, 1)</f>
        <v>1</v>
      </c>
      <c r="K738" s="25">
        <f>Source!R598</f>
        <v>694</v>
      </c>
      <c r="L738" s="21"/>
    </row>
    <row r="739" spans="1:22" ht="14.25" x14ac:dyDescent="0.2">
      <c r="A739" s="18"/>
      <c r="B739" s="18"/>
      <c r="C739" s="18"/>
      <c r="D739" s="18" t="s">
        <v>1101</v>
      </c>
      <c r="E739" s="19"/>
      <c r="F739" s="9"/>
      <c r="G739" s="21">
        <f>Source!AL598</f>
        <v>355.16</v>
      </c>
      <c r="H739" s="20" t="str">
        <f>Source!DD598</f>
        <v>)*2</v>
      </c>
      <c r="I739" s="9">
        <f>Source!AW598</f>
        <v>1</v>
      </c>
      <c r="J739" s="9">
        <f>IF(Source!BC598&lt;&gt; 0, Source!BC598, 1)</f>
        <v>1</v>
      </c>
      <c r="K739" s="21">
        <f>Source!P598</f>
        <v>710.32</v>
      </c>
      <c r="L739" s="21"/>
    </row>
    <row r="740" spans="1:22" ht="14.25" x14ac:dyDescent="0.2">
      <c r="A740" s="18"/>
      <c r="B740" s="18"/>
      <c r="C740" s="18"/>
      <c r="D740" s="18" t="s">
        <v>1102</v>
      </c>
      <c r="E740" s="19" t="s">
        <v>1103</v>
      </c>
      <c r="F740" s="9">
        <f>Source!AT598</f>
        <v>70</v>
      </c>
      <c r="G740" s="21"/>
      <c r="H740" s="20"/>
      <c r="I740" s="9"/>
      <c r="J740" s="9"/>
      <c r="K740" s="21">
        <f>SUM(R735:R739)</f>
        <v>6324.98</v>
      </c>
      <c r="L740" s="21"/>
    </row>
    <row r="741" spans="1:22" ht="14.25" x14ac:dyDescent="0.2">
      <c r="A741" s="18"/>
      <c r="B741" s="18"/>
      <c r="C741" s="18"/>
      <c r="D741" s="18" t="s">
        <v>1104</v>
      </c>
      <c r="E741" s="19" t="s">
        <v>1103</v>
      </c>
      <c r="F741" s="9">
        <f>Source!AU598</f>
        <v>10</v>
      </c>
      <c r="G741" s="21"/>
      <c r="H741" s="20"/>
      <c r="I741" s="9"/>
      <c r="J741" s="9"/>
      <c r="K741" s="21">
        <f>SUM(T735:T740)</f>
        <v>903.57</v>
      </c>
      <c r="L741" s="21"/>
    </row>
    <row r="742" spans="1:22" ht="14.25" x14ac:dyDescent="0.2">
      <c r="A742" s="18"/>
      <c r="B742" s="18"/>
      <c r="C742" s="18"/>
      <c r="D742" s="18" t="s">
        <v>1109</v>
      </c>
      <c r="E742" s="19" t="s">
        <v>1103</v>
      </c>
      <c r="F742" s="9">
        <f>108</f>
        <v>108</v>
      </c>
      <c r="G742" s="21"/>
      <c r="H742" s="20"/>
      <c r="I742" s="9"/>
      <c r="J742" s="9"/>
      <c r="K742" s="21">
        <f>SUM(V735:V741)</f>
        <v>749.52</v>
      </c>
      <c r="L742" s="21"/>
    </row>
    <row r="743" spans="1:22" ht="14.25" x14ac:dyDescent="0.2">
      <c r="A743" s="18"/>
      <c r="B743" s="18"/>
      <c r="C743" s="18"/>
      <c r="D743" s="18" t="s">
        <v>1105</v>
      </c>
      <c r="E743" s="19" t="s">
        <v>1106</v>
      </c>
      <c r="F743" s="9">
        <f>Source!AQ598</f>
        <v>6.8</v>
      </c>
      <c r="G743" s="21"/>
      <c r="H743" s="20" t="str">
        <f>Source!DI598</f>
        <v>)*2</v>
      </c>
      <c r="I743" s="9">
        <f>Source!AV598</f>
        <v>1</v>
      </c>
      <c r="J743" s="9"/>
      <c r="K743" s="21"/>
      <c r="L743" s="21">
        <f>Source!U598</f>
        <v>13.6</v>
      </c>
    </row>
    <row r="744" spans="1:22" ht="15" x14ac:dyDescent="0.25">
      <c r="A744" s="23"/>
      <c r="B744" s="23"/>
      <c r="C744" s="23"/>
      <c r="D744" s="23"/>
      <c r="E744" s="23"/>
      <c r="F744" s="23"/>
      <c r="G744" s="23"/>
      <c r="H744" s="23"/>
      <c r="I744" s="23"/>
      <c r="J744" s="44">
        <f>K736+K737+K739+K740+K741+K742</f>
        <v>18818.59</v>
      </c>
      <c r="K744" s="44"/>
      <c r="L744" s="24">
        <f>IF(Source!I598&lt;&gt;0, ROUND(J744/Source!I598, 2), 0)</f>
        <v>18818.59</v>
      </c>
      <c r="P744" s="22">
        <f>J744</f>
        <v>18818.59</v>
      </c>
    </row>
    <row r="745" spans="1:22" ht="42.75" x14ac:dyDescent="0.2">
      <c r="A745" s="18">
        <v>80</v>
      </c>
      <c r="B745" s="18">
        <v>80</v>
      </c>
      <c r="C745" s="18" t="str">
        <f>Source!F600</f>
        <v>1.18-2403-17-3/1</v>
      </c>
      <c r="D745" s="18" t="str">
        <f>Source!G600</f>
        <v>Техническое обслуживание внутренних кассетных блоков сплит систем мощностью до 5 кВт - полугодовое</v>
      </c>
      <c r="E745" s="19" t="str">
        <f>Source!H600</f>
        <v>1 блок</v>
      </c>
      <c r="F745" s="9">
        <f>Source!I600</f>
        <v>20</v>
      </c>
      <c r="G745" s="21"/>
      <c r="H745" s="20"/>
      <c r="I745" s="9"/>
      <c r="J745" s="9"/>
      <c r="K745" s="21"/>
      <c r="L745" s="21"/>
      <c r="Q745">
        <f>ROUND((Source!BZ600/100)*ROUND((Source!AF600*Source!AV600)*Source!I600, 2), 2)</f>
        <v>12448.66</v>
      </c>
      <c r="R745">
        <f>Source!X600</f>
        <v>12448.66</v>
      </c>
      <c r="S745">
        <f>ROUND((Source!CA600/100)*ROUND((Source!AF600*Source!AV600)*Source!I600, 2), 2)</f>
        <v>1778.38</v>
      </c>
      <c r="T745">
        <f>Source!Y600</f>
        <v>1778.38</v>
      </c>
      <c r="U745">
        <f>ROUND((175/100)*ROUND((Source!AE600*Source!AV600)*Source!I600, 2), 2)</f>
        <v>1.05</v>
      </c>
      <c r="V745">
        <f>ROUND((108/100)*ROUND(Source!CS600*Source!I600, 2), 2)</f>
        <v>0.65</v>
      </c>
    </row>
    <row r="746" spans="1:22" x14ac:dyDescent="0.2">
      <c r="D746" s="28" t="str">
        <f>"Объем: "&amp;Source!I600&amp;"=15+"&amp;"5"</f>
        <v>Объем: 20=15+5</v>
      </c>
    </row>
    <row r="747" spans="1:22" ht="14.25" x14ac:dyDescent="0.2">
      <c r="A747" s="18"/>
      <c r="B747" s="18"/>
      <c r="C747" s="18"/>
      <c r="D747" s="18" t="s">
        <v>1100</v>
      </c>
      <c r="E747" s="19"/>
      <c r="F747" s="9"/>
      <c r="G747" s="21">
        <f>Source!AO600</f>
        <v>889.19</v>
      </c>
      <c r="H747" s="20" t="str">
        <f>Source!DG600</f>
        <v/>
      </c>
      <c r="I747" s="9">
        <f>Source!AV600</f>
        <v>1</v>
      </c>
      <c r="J747" s="9">
        <f>IF(Source!BA600&lt;&gt; 0, Source!BA600, 1)</f>
        <v>1</v>
      </c>
      <c r="K747" s="21">
        <f>Source!S600</f>
        <v>17783.8</v>
      </c>
      <c r="L747" s="21"/>
    </row>
    <row r="748" spans="1:22" ht="14.25" x14ac:dyDescent="0.2">
      <c r="A748" s="18"/>
      <c r="B748" s="18"/>
      <c r="C748" s="18"/>
      <c r="D748" s="18" t="s">
        <v>1107</v>
      </c>
      <c r="E748" s="19"/>
      <c r="F748" s="9"/>
      <c r="G748" s="21">
        <f>Source!AM600</f>
        <v>1.85</v>
      </c>
      <c r="H748" s="20" t="str">
        <f>Source!DE600</f>
        <v/>
      </c>
      <c r="I748" s="9">
        <f>Source!AV600</f>
        <v>1</v>
      </c>
      <c r="J748" s="9">
        <f>IF(Source!BB600&lt;&gt; 0, Source!BB600, 1)</f>
        <v>1</v>
      </c>
      <c r="K748" s="21">
        <f>Source!Q600</f>
        <v>37</v>
      </c>
      <c r="L748" s="21"/>
    </row>
    <row r="749" spans="1:22" ht="14.25" x14ac:dyDescent="0.2">
      <c r="A749" s="18"/>
      <c r="B749" s="18"/>
      <c r="C749" s="18"/>
      <c r="D749" s="18" t="s">
        <v>1108</v>
      </c>
      <c r="E749" s="19"/>
      <c r="F749" s="9"/>
      <c r="G749" s="21">
        <f>Source!AN600</f>
        <v>0.03</v>
      </c>
      <c r="H749" s="20" t="str">
        <f>Source!DF600</f>
        <v/>
      </c>
      <c r="I749" s="9">
        <f>Source!AV600</f>
        <v>1</v>
      </c>
      <c r="J749" s="9">
        <f>IF(Source!BS600&lt;&gt; 0, Source!BS600, 1)</f>
        <v>1</v>
      </c>
      <c r="K749" s="25">
        <f>Source!R600</f>
        <v>0.6</v>
      </c>
      <c r="L749" s="21"/>
    </row>
    <row r="750" spans="1:22" ht="14.25" x14ac:dyDescent="0.2">
      <c r="A750" s="18"/>
      <c r="B750" s="18"/>
      <c r="C750" s="18"/>
      <c r="D750" s="18" t="s">
        <v>1101</v>
      </c>
      <c r="E750" s="19"/>
      <c r="F750" s="9"/>
      <c r="G750" s="21">
        <f>Source!AL600</f>
        <v>2.2200000000000002</v>
      </c>
      <c r="H750" s="20" t="str">
        <f>Source!DD600</f>
        <v/>
      </c>
      <c r="I750" s="9">
        <f>Source!AW600</f>
        <v>1</v>
      </c>
      <c r="J750" s="9">
        <f>IF(Source!BC600&lt;&gt; 0, Source!BC600, 1)</f>
        <v>1</v>
      </c>
      <c r="K750" s="21">
        <f>Source!P600</f>
        <v>44.4</v>
      </c>
      <c r="L750" s="21"/>
    </row>
    <row r="751" spans="1:22" ht="14.25" x14ac:dyDescent="0.2">
      <c r="A751" s="18"/>
      <c r="B751" s="18"/>
      <c r="C751" s="18"/>
      <c r="D751" s="18" t="s">
        <v>1102</v>
      </c>
      <c r="E751" s="19" t="s">
        <v>1103</v>
      </c>
      <c r="F751" s="9">
        <f>Source!AT600</f>
        <v>70</v>
      </c>
      <c r="G751" s="21"/>
      <c r="H751" s="20"/>
      <c r="I751" s="9"/>
      <c r="J751" s="9"/>
      <c r="K751" s="21">
        <f>SUM(R745:R750)</f>
        <v>12448.66</v>
      </c>
      <c r="L751" s="21"/>
    </row>
    <row r="752" spans="1:22" ht="14.25" x14ac:dyDescent="0.2">
      <c r="A752" s="18"/>
      <c r="B752" s="18"/>
      <c r="C752" s="18"/>
      <c r="D752" s="18" t="s">
        <v>1104</v>
      </c>
      <c r="E752" s="19" t="s">
        <v>1103</v>
      </c>
      <c r="F752" s="9">
        <f>Source!AU600</f>
        <v>10</v>
      </c>
      <c r="G752" s="21"/>
      <c r="H752" s="20"/>
      <c r="I752" s="9"/>
      <c r="J752" s="9"/>
      <c r="K752" s="21">
        <f>SUM(T745:T751)</f>
        <v>1778.38</v>
      </c>
      <c r="L752" s="21"/>
    </row>
    <row r="753" spans="1:22" ht="14.25" x14ac:dyDescent="0.2">
      <c r="A753" s="18"/>
      <c r="B753" s="18"/>
      <c r="C753" s="18"/>
      <c r="D753" s="18" t="s">
        <v>1109</v>
      </c>
      <c r="E753" s="19" t="s">
        <v>1103</v>
      </c>
      <c r="F753" s="9">
        <f>108</f>
        <v>108</v>
      </c>
      <c r="G753" s="21"/>
      <c r="H753" s="20"/>
      <c r="I753" s="9"/>
      <c r="J753" s="9"/>
      <c r="K753" s="21">
        <f>SUM(V745:V752)</f>
        <v>0.65</v>
      </c>
      <c r="L753" s="21"/>
    </row>
    <row r="754" spans="1:22" ht="14.25" x14ac:dyDescent="0.2">
      <c r="A754" s="18"/>
      <c r="B754" s="18"/>
      <c r="C754" s="18"/>
      <c r="D754" s="18" t="s">
        <v>1105</v>
      </c>
      <c r="E754" s="19" t="s">
        <v>1106</v>
      </c>
      <c r="F754" s="9">
        <f>Source!AQ600</f>
        <v>1.34</v>
      </c>
      <c r="G754" s="21"/>
      <c r="H754" s="20" t="str">
        <f>Source!DI600</f>
        <v/>
      </c>
      <c r="I754" s="9">
        <f>Source!AV600</f>
        <v>1</v>
      </c>
      <c r="J754" s="9"/>
      <c r="K754" s="21"/>
      <c r="L754" s="21">
        <f>Source!U600</f>
        <v>26.8</v>
      </c>
    </row>
    <row r="755" spans="1:22" ht="15" x14ac:dyDescent="0.25">
      <c r="A755" s="23"/>
      <c r="B755" s="23"/>
      <c r="C755" s="23"/>
      <c r="D755" s="23"/>
      <c r="E755" s="23"/>
      <c r="F755" s="23"/>
      <c r="G755" s="23"/>
      <c r="H755" s="23"/>
      <c r="I755" s="23"/>
      <c r="J755" s="44">
        <f>K747+K748+K750+K751+K752+K753</f>
        <v>32092.890000000003</v>
      </c>
      <c r="K755" s="44"/>
      <c r="L755" s="24">
        <f>IF(Source!I600&lt;&gt;0, ROUND(J755/Source!I600, 2), 0)</f>
        <v>1604.64</v>
      </c>
      <c r="P755" s="22">
        <f>J755</f>
        <v>32092.890000000003</v>
      </c>
    </row>
    <row r="756" spans="1:22" ht="28.5" x14ac:dyDescent="0.2">
      <c r="A756" s="18">
        <v>81</v>
      </c>
      <c r="B756" s="18">
        <v>81</v>
      </c>
      <c r="C756" s="18" t="str">
        <f>Source!F602</f>
        <v>1.23-2103-41-1/1</v>
      </c>
      <c r="D756" s="18" t="str">
        <f>Source!G602</f>
        <v>Техническое обслуживание регулирующего клапана</v>
      </c>
      <c r="E756" s="19" t="str">
        <f>Source!H602</f>
        <v>шт.</v>
      </c>
      <c r="F756" s="9">
        <f>Source!I602</f>
        <v>20</v>
      </c>
      <c r="G756" s="21"/>
      <c r="H756" s="20"/>
      <c r="I756" s="9"/>
      <c r="J756" s="9"/>
      <c r="K756" s="21"/>
      <c r="L756" s="21"/>
      <c r="Q756">
        <f>ROUND((Source!BZ602/100)*ROUND((Source!AF602*Source!AV602)*Source!I602, 2), 2)</f>
        <v>5824</v>
      </c>
      <c r="R756">
        <f>Source!X602</f>
        <v>5824</v>
      </c>
      <c r="S756">
        <f>ROUND((Source!CA602/100)*ROUND((Source!AF602*Source!AV602)*Source!I602, 2), 2)</f>
        <v>832</v>
      </c>
      <c r="T756">
        <f>Source!Y602</f>
        <v>832</v>
      </c>
      <c r="U756">
        <f>ROUND((175/100)*ROUND((Source!AE602*Source!AV602)*Source!I602, 2), 2)</f>
        <v>3469.9</v>
      </c>
      <c r="V756">
        <f>ROUND((108/100)*ROUND(Source!CS602*Source!I602, 2), 2)</f>
        <v>2141.42</v>
      </c>
    </row>
    <row r="757" spans="1:22" ht="14.25" x14ac:dyDescent="0.2">
      <c r="A757" s="18"/>
      <c r="B757" s="18"/>
      <c r="C757" s="18"/>
      <c r="D757" s="18" t="s">
        <v>1100</v>
      </c>
      <c r="E757" s="19"/>
      <c r="F757" s="9"/>
      <c r="G757" s="21">
        <f>Source!AO602</f>
        <v>208</v>
      </c>
      <c r="H757" s="20" t="str">
        <f>Source!DG602</f>
        <v>)*2</v>
      </c>
      <c r="I757" s="9">
        <f>Source!AV602</f>
        <v>1</v>
      </c>
      <c r="J757" s="9">
        <f>IF(Source!BA602&lt;&gt; 0, Source!BA602, 1)</f>
        <v>1</v>
      </c>
      <c r="K757" s="21">
        <f>Source!S602</f>
        <v>8320</v>
      </c>
      <c r="L757" s="21"/>
    </row>
    <row r="758" spans="1:22" ht="14.25" x14ac:dyDescent="0.2">
      <c r="A758" s="18"/>
      <c r="B758" s="18"/>
      <c r="C758" s="18"/>
      <c r="D758" s="18" t="s">
        <v>1107</v>
      </c>
      <c r="E758" s="19"/>
      <c r="F758" s="9"/>
      <c r="G758" s="21">
        <f>Source!AM602</f>
        <v>78.180000000000007</v>
      </c>
      <c r="H758" s="20" t="str">
        <f>Source!DE602</f>
        <v>)*2</v>
      </c>
      <c r="I758" s="9">
        <f>Source!AV602</f>
        <v>1</v>
      </c>
      <c r="J758" s="9">
        <f>IF(Source!BB602&lt;&gt; 0, Source!BB602, 1)</f>
        <v>1</v>
      </c>
      <c r="K758" s="21">
        <f>Source!Q602</f>
        <v>3127.2</v>
      </c>
      <c r="L758" s="21"/>
    </row>
    <row r="759" spans="1:22" ht="14.25" x14ac:dyDescent="0.2">
      <c r="A759" s="18"/>
      <c r="B759" s="18"/>
      <c r="C759" s="18"/>
      <c r="D759" s="18" t="s">
        <v>1108</v>
      </c>
      <c r="E759" s="19"/>
      <c r="F759" s="9"/>
      <c r="G759" s="21">
        <f>Source!AN602</f>
        <v>49.57</v>
      </c>
      <c r="H759" s="20" t="str">
        <f>Source!DF602</f>
        <v>)*2</v>
      </c>
      <c r="I759" s="9">
        <f>Source!AV602</f>
        <v>1</v>
      </c>
      <c r="J759" s="9">
        <f>IF(Source!BS602&lt;&gt; 0, Source!BS602, 1)</f>
        <v>1</v>
      </c>
      <c r="K759" s="25">
        <f>Source!R602</f>
        <v>1982.8</v>
      </c>
      <c r="L759" s="21"/>
    </row>
    <row r="760" spans="1:22" ht="14.25" x14ac:dyDescent="0.2">
      <c r="A760" s="18"/>
      <c r="B760" s="18"/>
      <c r="C760" s="18"/>
      <c r="D760" s="18" t="s">
        <v>1102</v>
      </c>
      <c r="E760" s="19" t="s">
        <v>1103</v>
      </c>
      <c r="F760" s="9">
        <f>Source!AT602</f>
        <v>70</v>
      </c>
      <c r="G760" s="21"/>
      <c r="H760" s="20"/>
      <c r="I760" s="9"/>
      <c r="J760" s="9"/>
      <c r="K760" s="21">
        <f>SUM(R756:R759)</f>
        <v>5824</v>
      </c>
      <c r="L760" s="21"/>
    </row>
    <row r="761" spans="1:22" ht="14.25" x14ac:dyDescent="0.2">
      <c r="A761" s="18"/>
      <c r="B761" s="18"/>
      <c r="C761" s="18"/>
      <c r="D761" s="18" t="s">
        <v>1104</v>
      </c>
      <c r="E761" s="19" t="s">
        <v>1103</v>
      </c>
      <c r="F761" s="9">
        <f>Source!AU602</f>
        <v>10</v>
      </c>
      <c r="G761" s="21"/>
      <c r="H761" s="20"/>
      <c r="I761" s="9"/>
      <c r="J761" s="9"/>
      <c r="K761" s="21">
        <f>SUM(T756:T760)</f>
        <v>832</v>
      </c>
      <c r="L761" s="21"/>
    </row>
    <row r="762" spans="1:22" ht="14.25" x14ac:dyDescent="0.2">
      <c r="A762" s="18"/>
      <c r="B762" s="18"/>
      <c r="C762" s="18"/>
      <c r="D762" s="18" t="s">
        <v>1109</v>
      </c>
      <c r="E762" s="19" t="s">
        <v>1103</v>
      </c>
      <c r="F762" s="9">
        <f>108</f>
        <v>108</v>
      </c>
      <c r="G762" s="21"/>
      <c r="H762" s="20"/>
      <c r="I762" s="9"/>
      <c r="J762" s="9"/>
      <c r="K762" s="21">
        <f>SUM(V756:V761)</f>
        <v>2141.42</v>
      </c>
      <c r="L762" s="21"/>
    </row>
    <row r="763" spans="1:22" ht="14.25" x14ac:dyDescent="0.2">
      <c r="A763" s="18"/>
      <c r="B763" s="18"/>
      <c r="C763" s="18"/>
      <c r="D763" s="18" t="s">
        <v>1105</v>
      </c>
      <c r="E763" s="19" t="s">
        <v>1106</v>
      </c>
      <c r="F763" s="9">
        <f>Source!AQ602</f>
        <v>0.37</v>
      </c>
      <c r="G763" s="21"/>
      <c r="H763" s="20" t="str">
        <f>Source!DI602</f>
        <v>)*2</v>
      </c>
      <c r="I763" s="9">
        <f>Source!AV602</f>
        <v>1</v>
      </c>
      <c r="J763" s="9"/>
      <c r="K763" s="21"/>
      <c r="L763" s="21">
        <f>Source!U602</f>
        <v>14.8</v>
      </c>
    </row>
    <row r="764" spans="1:22" ht="15" x14ac:dyDescent="0.25">
      <c r="A764" s="23"/>
      <c r="B764" s="23"/>
      <c r="C764" s="23"/>
      <c r="D764" s="23"/>
      <c r="E764" s="23"/>
      <c r="F764" s="23"/>
      <c r="G764" s="23"/>
      <c r="H764" s="23"/>
      <c r="I764" s="23"/>
      <c r="J764" s="44">
        <f>K757+K758+K760+K761+K762</f>
        <v>20244.620000000003</v>
      </c>
      <c r="K764" s="44"/>
      <c r="L764" s="24">
        <f>IF(Source!I602&lt;&gt;0, ROUND(J764/Source!I602, 2), 0)</f>
        <v>1012.23</v>
      </c>
      <c r="P764" s="22">
        <f>J764</f>
        <v>20244.620000000003</v>
      </c>
    </row>
    <row r="765" spans="1:22" ht="71.25" x14ac:dyDescent="0.2">
      <c r="A765" s="18">
        <v>82</v>
      </c>
      <c r="B765" s="18">
        <v>82</v>
      </c>
      <c r="C765" s="18" t="str">
        <f>Source!F604</f>
        <v>1.24-2103-45-6/1</v>
      </c>
      <c r="D765" s="18" t="str">
        <f>Source!G604</f>
        <v>Техническое обслуживание ежеквартальное холодильных установок мощностью до 700 кВт / Чиллер LBA 980-2B-PR-RA  Корф Холодопроизводительность 858 кВт</v>
      </c>
      <c r="E765" s="19" t="str">
        <f>Source!H604</f>
        <v>установка</v>
      </c>
      <c r="F765" s="9">
        <f>Source!I604</f>
        <v>1</v>
      </c>
      <c r="G765" s="21"/>
      <c r="H765" s="20"/>
      <c r="I765" s="9"/>
      <c r="J765" s="9"/>
      <c r="K765" s="21"/>
      <c r="L765" s="21"/>
      <c r="Q765">
        <f>ROUND((Source!BZ604/100)*ROUND((Source!AF604*Source!AV604)*Source!I604, 2), 2)</f>
        <v>7060.44</v>
      </c>
      <c r="R765">
        <f>Source!X604</f>
        <v>7060.44</v>
      </c>
      <c r="S765">
        <f>ROUND((Source!CA604/100)*ROUND((Source!AF604*Source!AV604)*Source!I604, 2), 2)</f>
        <v>1008.63</v>
      </c>
      <c r="T765">
        <f>Source!Y604</f>
        <v>1008.63</v>
      </c>
      <c r="U765">
        <f>ROUND((175/100)*ROUND((Source!AE604*Source!AV604)*Source!I604, 2), 2)</f>
        <v>1214.5</v>
      </c>
      <c r="V765">
        <f>ROUND((108/100)*ROUND(Source!CS604*Source!I604, 2), 2)</f>
        <v>749.52</v>
      </c>
    </row>
    <row r="766" spans="1:22" ht="14.25" x14ac:dyDescent="0.2">
      <c r="A766" s="18"/>
      <c r="B766" s="18"/>
      <c r="C766" s="18"/>
      <c r="D766" s="18" t="s">
        <v>1100</v>
      </c>
      <c r="E766" s="19"/>
      <c r="F766" s="9"/>
      <c r="G766" s="21">
        <f>Source!AO604</f>
        <v>5043.17</v>
      </c>
      <c r="H766" s="20" t="str">
        <f>Source!DG604</f>
        <v>)*2</v>
      </c>
      <c r="I766" s="9">
        <f>Source!AV604</f>
        <v>1</v>
      </c>
      <c r="J766" s="9">
        <f>IF(Source!BA604&lt;&gt; 0, Source!BA604, 1)</f>
        <v>1</v>
      </c>
      <c r="K766" s="21">
        <f>Source!S604</f>
        <v>10086.34</v>
      </c>
      <c r="L766" s="21"/>
    </row>
    <row r="767" spans="1:22" ht="14.25" x14ac:dyDescent="0.2">
      <c r="A767" s="18"/>
      <c r="B767" s="18"/>
      <c r="C767" s="18"/>
      <c r="D767" s="18" t="s">
        <v>1107</v>
      </c>
      <c r="E767" s="19"/>
      <c r="F767" s="9"/>
      <c r="G767" s="21">
        <f>Source!AM604</f>
        <v>547.26</v>
      </c>
      <c r="H767" s="20" t="str">
        <f>Source!DE604</f>
        <v>)*2</v>
      </c>
      <c r="I767" s="9">
        <f>Source!AV604</f>
        <v>1</v>
      </c>
      <c r="J767" s="9">
        <f>IF(Source!BB604&lt;&gt; 0, Source!BB604, 1)</f>
        <v>1</v>
      </c>
      <c r="K767" s="21">
        <f>Source!Q604</f>
        <v>1094.52</v>
      </c>
      <c r="L767" s="21"/>
    </row>
    <row r="768" spans="1:22" ht="14.25" x14ac:dyDescent="0.2">
      <c r="A768" s="18"/>
      <c r="B768" s="18"/>
      <c r="C768" s="18"/>
      <c r="D768" s="18" t="s">
        <v>1108</v>
      </c>
      <c r="E768" s="19"/>
      <c r="F768" s="9"/>
      <c r="G768" s="21">
        <f>Source!AN604</f>
        <v>347</v>
      </c>
      <c r="H768" s="20" t="str">
        <f>Source!DF604</f>
        <v>)*2</v>
      </c>
      <c r="I768" s="9">
        <f>Source!AV604</f>
        <v>1</v>
      </c>
      <c r="J768" s="9">
        <f>IF(Source!BS604&lt;&gt; 0, Source!BS604, 1)</f>
        <v>1</v>
      </c>
      <c r="K768" s="25">
        <f>Source!R604</f>
        <v>694</v>
      </c>
      <c r="L768" s="21"/>
    </row>
    <row r="769" spans="1:22" ht="14.25" x14ac:dyDescent="0.2">
      <c r="A769" s="18"/>
      <c r="B769" s="18"/>
      <c r="C769" s="18"/>
      <c r="D769" s="18" t="s">
        <v>1101</v>
      </c>
      <c r="E769" s="19"/>
      <c r="F769" s="9"/>
      <c r="G769" s="21">
        <f>Source!AL604</f>
        <v>361.45</v>
      </c>
      <c r="H769" s="20" t="str">
        <f>Source!DD604</f>
        <v>)*2</v>
      </c>
      <c r="I769" s="9">
        <f>Source!AW604</f>
        <v>1</v>
      </c>
      <c r="J769" s="9">
        <f>IF(Source!BC604&lt;&gt; 0, Source!BC604, 1)</f>
        <v>1</v>
      </c>
      <c r="K769" s="21">
        <f>Source!P604</f>
        <v>722.9</v>
      </c>
      <c r="L769" s="21"/>
    </row>
    <row r="770" spans="1:22" ht="14.25" x14ac:dyDescent="0.2">
      <c r="A770" s="18"/>
      <c r="B770" s="18"/>
      <c r="C770" s="18"/>
      <c r="D770" s="18" t="s">
        <v>1102</v>
      </c>
      <c r="E770" s="19" t="s">
        <v>1103</v>
      </c>
      <c r="F770" s="9">
        <f>Source!AT604</f>
        <v>70</v>
      </c>
      <c r="G770" s="21"/>
      <c r="H770" s="20"/>
      <c r="I770" s="9"/>
      <c r="J770" s="9"/>
      <c r="K770" s="21">
        <f>SUM(R765:R769)</f>
        <v>7060.44</v>
      </c>
      <c r="L770" s="21"/>
    </row>
    <row r="771" spans="1:22" ht="14.25" x14ac:dyDescent="0.2">
      <c r="A771" s="18"/>
      <c r="B771" s="18"/>
      <c r="C771" s="18"/>
      <c r="D771" s="18" t="s">
        <v>1104</v>
      </c>
      <c r="E771" s="19" t="s">
        <v>1103</v>
      </c>
      <c r="F771" s="9">
        <f>Source!AU604</f>
        <v>10</v>
      </c>
      <c r="G771" s="21"/>
      <c r="H771" s="20"/>
      <c r="I771" s="9"/>
      <c r="J771" s="9"/>
      <c r="K771" s="21">
        <f>SUM(T765:T770)</f>
        <v>1008.63</v>
      </c>
      <c r="L771" s="21"/>
    </row>
    <row r="772" spans="1:22" ht="14.25" x14ac:dyDescent="0.2">
      <c r="A772" s="18"/>
      <c r="B772" s="18"/>
      <c r="C772" s="18"/>
      <c r="D772" s="18" t="s">
        <v>1109</v>
      </c>
      <c r="E772" s="19" t="s">
        <v>1103</v>
      </c>
      <c r="F772" s="9">
        <f>108</f>
        <v>108</v>
      </c>
      <c r="G772" s="21"/>
      <c r="H772" s="20"/>
      <c r="I772" s="9"/>
      <c r="J772" s="9"/>
      <c r="K772" s="21">
        <f>SUM(V765:V771)</f>
        <v>749.52</v>
      </c>
      <c r="L772" s="21"/>
    </row>
    <row r="773" spans="1:22" ht="14.25" x14ac:dyDescent="0.2">
      <c r="A773" s="18"/>
      <c r="B773" s="18"/>
      <c r="C773" s="18"/>
      <c r="D773" s="18" t="s">
        <v>1105</v>
      </c>
      <c r="E773" s="19" t="s">
        <v>1106</v>
      </c>
      <c r="F773" s="9">
        <f>Source!AQ604</f>
        <v>7.6</v>
      </c>
      <c r="G773" s="21"/>
      <c r="H773" s="20" t="str">
        <f>Source!DI604</f>
        <v>)*2</v>
      </c>
      <c r="I773" s="9">
        <f>Source!AV604</f>
        <v>1</v>
      </c>
      <c r="J773" s="9"/>
      <c r="K773" s="21"/>
      <c r="L773" s="21">
        <f>Source!U604</f>
        <v>15.2</v>
      </c>
    </row>
    <row r="774" spans="1:22" ht="15" x14ac:dyDescent="0.25">
      <c r="A774" s="23"/>
      <c r="B774" s="23"/>
      <c r="C774" s="23"/>
      <c r="D774" s="23"/>
      <c r="E774" s="23"/>
      <c r="F774" s="23"/>
      <c r="G774" s="23"/>
      <c r="H774" s="23"/>
      <c r="I774" s="23"/>
      <c r="J774" s="44">
        <f>K766+K767+K769+K770+K771+K772</f>
        <v>20722.350000000002</v>
      </c>
      <c r="K774" s="44"/>
      <c r="L774" s="24">
        <f>IF(Source!I604&lt;&gt;0, ROUND(J774/Source!I604, 2), 0)</f>
        <v>20722.349999999999</v>
      </c>
      <c r="P774" s="22">
        <f>J774</f>
        <v>20722.350000000002</v>
      </c>
    </row>
    <row r="775" spans="1:22" ht="42.75" x14ac:dyDescent="0.2">
      <c r="A775" s="18">
        <v>83</v>
      </c>
      <c r="B775" s="18">
        <v>83</v>
      </c>
      <c r="C775" s="18" t="str">
        <f>Source!F609</f>
        <v>1.17-2103-14-1/1</v>
      </c>
      <c r="D775" s="18" t="str">
        <f>Source!G609</f>
        <v>Техническое обслуживание мембранного расширительного бака объемом 100 л</v>
      </c>
      <c r="E775" s="19" t="str">
        <f>Source!H609</f>
        <v>шт.</v>
      </c>
      <c r="F775" s="9">
        <f>Source!I609</f>
        <v>2</v>
      </c>
      <c r="G775" s="21"/>
      <c r="H775" s="20"/>
      <c r="I775" s="9"/>
      <c r="J775" s="9"/>
      <c r="K775" s="21"/>
      <c r="L775" s="21"/>
      <c r="Q775">
        <f>ROUND((Source!BZ609/100)*ROUND((Source!AF609*Source!AV609)*Source!I609, 2), 2)</f>
        <v>501.4</v>
      </c>
      <c r="R775">
        <f>Source!X609</f>
        <v>501.4</v>
      </c>
      <c r="S775">
        <f>ROUND((Source!CA609/100)*ROUND((Source!AF609*Source!AV609)*Source!I609, 2), 2)</f>
        <v>71.63</v>
      </c>
      <c r="T775">
        <f>Source!Y609</f>
        <v>71.63</v>
      </c>
      <c r="U775">
        <f>ROUND((175/100)*ROUND((Source!AE609*Source!AV609)*Source!I609, 2), 2)</f>
        <v>0</v>
      </c>
      <c r="V775">
        <f>ROUND((108/100)*ROUND(Source!CS609*Source!I609, 2), 2)</f>
        <v>0</v>
      </c>
    </row>
    <row r="776" spans="1:22" ht="14.25" x14ac:dyDescent="0.2">
      <c r="A776" s="18"/>
      <c r="B776" s="18"/>
      <c r="C776" s="18"/>
      <c r="D776" s="18" t="s">
        <v>1100</v>
      </c>
      <c r="E776" s="19"/>
      <c r="F776" s="9"/>
      <c r="G776" s="21">
        <f>Source!AO609</f>
        <v>358.14</v>
      </c>
      <c r="H776" s="20" t="str">
        <f>Source!DG609</f>
        <v/>
      </c>
      <c r="I776" s="9">
        <f>Source!AV609</f>
        <v>1</v>
      </c>
      <c r="J776" s="9">
        <f>IF(Source!BA609&lt;&gt; 0, Source!BA609, 1)</f>
        <v>1</v>
      </c>
      <c r="K776" s="21">
        <f>Source!S609</f>
        <v>716.28</v>
      </c>
      <c r="L776" s="21"/>
    </row>
    <row r="777" spans="1:22" ht="14.25" x14ac:dyDescent="0.2">
      <c r="A777" s="18"/>
      <c r="B777" s="18"/>
      <c r="C777" s="18"/>
      <c r="D777" s="18" t="s">
        <v>1101</v>
      </c>
      <c r="E777" s="19"/>
      <c r="F777" s="9"/>
      <c r="G777" s="21">
        <f>Source!AL609</f>
        <v>0.63</v>
      </c>
      <c r="H777" s="20" t="str">
        <f>Source!DD609</f>
        <v/>
      </c>
      <c r="I777" s="9">
        <f>Source!AW609</f>
        <v>1</v>
      </c>
      <c r="J777" s="9">
        <f>IF(Source!BC609&lt;&gt; 0, Source!BC609, 1)</f>
        <v>1</v>
      </c>
      <c r="K777" s="21">
        <f>Source!P609</f>
        <v>1.26</v>
      </c>
      <c r="L777" s="21"/>
    </row>
    <row r="778" spans="1:22" ht="14.25" x14ac:dyDescent="0.2">
      <c r="A778" s="18"/>
      <c r="B778" s="18"/>
      <c r="C778" s="18"/>
      <c r="D778" s="18" t="s">
        <v>1102</v>
      </c>
      <c r="E778" s="19" t="s">
        <v>1103</v>
      </c>
      <c r="F778" s="9">
        <f>Source!AT609</f>
        <v>70</v>
      </c>
      <c r="G778" s="21"/>
      <c r="H778" s="20"/>
      <c r="I778" s="9"/>
      <c r="J778" s="9"/>
      <c r="K778" s="21">
        <f>SUM(R775:R777)</f>
        <v>501.4</v>
      </c>
      <c r="L778" s="21"/>
    </row>
    <row r="779" spans="1:22" ht="14.25" x14ac:dyDescent="0.2">
      <c r="A779" s="18"/>
      <c r="B779" s="18"/>
      <c r="C779" s="18"/>
      <c r="D779" s="18" t="s">
        <v>1104</v>
      </c>
      <c r="E779" s="19" t="s">
        <v>1103</v>
      </c>
      <c r="F779" s="9">
        <f>Source!AU609</f>
        <v>10</v>
      </c>
      <c r="G779" s="21"/>
      <c r="H779" s="20"/>
      <c r="I779" s="9"/>
      <c r="J779" s="9"/>
      <c r="K779" s="21">
        <f>SUM(T775:T778)</f>
        <v>71.63</v>
      </c>
      <c r="L779" s="21"/>
    </row>
    <row r="780" spans="1:22" ht="14.25" x14ac:dyDescent="0.2">
      <c r="A780" s="18"/>
      <c r="B780" s="18"/>
      <c r="C780" s="18"/>
      <c r="D780" s="18" t="s">
        <v>1105</v>
      </c>
      <c r="E780" s="19" t="s">
        <v>1106</v>
      </c>
      <c r="F780" s="9">
        <f>Source!AQ609</f>
        <v>0.57999999999999996</v>
      </c>
      <c r="G780" s="21"/>
      <c r="H780" s="20" t="str">
        <f>Source!DI609</f>
        <v/>
      </c>
      <c r="I780" s="9">
        <f>Source!AV609</f>
        <v>1</v>
      </c>
      <c r="J780" s="9"/>
      <c r="K780" s="21"/>
      <c r="L780" s="21">
        <f>Source!U609</f>
        <v>1.1599999999999999</v>
      </c>
    </row>
    <row r="781" spans="1:22" ht="15" x14ac:dyDescent="0.25">
      <c r="A781" s="23"/>
      <c r="B781" s="23"/>
      <c r="C781" s="23"/>
      <c r="D781" s="23"/>
      <c r="E781" s="23"/>
      <c r="F781" s="23"/>
      <c r="G781" s="23"/>
      <c r="H781" s="23"/>
      <c r="I781" s="23"/>
      <c r="J781" s="44">
        <f>K776+K777+K778+K779</f>
        <v>1290.5700000000002</v>
      </c>
      <c r="K781" s="44"/>
      <c r="L781" s="24">
        <f>IF(Source!I609&lt;&gt;0, ROUND(J781/Source!I609, 2), 0)</f>
        <v>645.29</v>
      </c>
      <c r="P781" s="22">
        <f>J781</f>
        <v>1290.5700000000002</v>
      </c>
    </row>
    <row r="782" spans="1:22" ht="42.75" x14ac:dyDescent="0.2">
      <c r="A782" s="18">
        <v>84</v>
      </c>
      <c r="B782" s="18">
        <v>84</v>
      </c>
      <c r="C782" s="18" t="str">
        <f>Source!F611</f>
        <v>1.18-2403-18-3/1</v>
      </c>
      <c r="D782" s="18" t="str">
        <f>Source!G611</f>
        <v>Техническое обслуживание наружных блоков сплит систем мощностью до 10 кВт - полугодовое</v>
      </c>
      <c r="E782" s="19" t="str">
        <f>Source!H611</f>
        <v>1 блок</v>
      </c>
      <c r="F782" s="9">
        <f>Source!I611</f>
        <v>6</v>
      </c>
      <c r="G782" s="21"/>
      <c r="H782" s="20"/>
      <c r="I782" s="9"/>
      <c r="J782" s="9"/>
      <c r="K782" s="21"/>
      <c r="L782" s="21"/>
      <c r="Q782">
        <f>ROUND((Source!BZ611/100)*ROUND((Source!AF611*Source!AV611)*Source!I611, 2), 2)</f>
        <v>6911.81</v>
      </c>
      <c r="R782">
        <f>Source!X611</f>
        <v>6911.81</v>
      </c>
      <c r="S782">
        <f>ROUND((Source!CA611/100)*ROUND((Source!AF611*Source!AV611)*Source!I611, 2), 2)</f>
        <v>987.4</v>
      </c>
      <c r="T782">
        <f>Source!Y611</f>
        <v>987.4</v>
      </c>
      <c r="U782">
        <f>ROUND((175/100)*ROUND((Source!AE611*Source!AV611)*Source!I611, 2), 2)</f>
        <v>0.53</v>
      </c>
      <c r="V782">
        <f>ROUND((108/100)*ROUND(Source!CS611*Source!I611, 2), 2)</f>
        <v>0.32</v>
      </c>
    </row>
    <row r="783" spans="1:22" ht="14.25" x14ac:dyDescent="0.2">
      <c r="A783" s="18"/>
      <c r="B783" s="18"/>
      <c r="C783" s="18"/>
      <c r="D783" s="18" t="s">
        <v>1100</v>
      </c>
      <c r="E783" s="19"/>
      <c r="F783" s="9"/>
      <c r="G783" s="21">
        <f>Source!AO611</f>
        <v>1645.67</v>
      </c>
      <c r="H783" s="20" t="str">
        <f>Source!DG611</f>
        <v/>
      </c>
      <c r="I783" s="9">
        <f>Source!AV611</f>
        <v>1</v>
      </c>
      <c r="J783" s="9">
        <f>IF(Source!BA611&lt;&gt; 0, Source!BA611, 1)</f>
        <v>1</v>
      </c>
      <c r="K783" s="21">
        <f>Source!S611</f>
        <v>9874.02</v>
      </c>
      <c r="L783" s="21"/>
    </row>
    <row r="784" spans="1:22" ht="14.25" x14ac:dyDescent="0.2">
      <c r="A784" s="18"/>
      <c r="B784" s="18"/>
      <c r="C784" s="18"/>
      <c r="D784" s="18" t="s">
        <v>1107</v>
      </c>
      <c r="E784" s="19"/>
      <c r="F784" s="9"/>
      <c r="G784" s="21">
        <f>Source!AM611</f>
        <v>3.49</v>
      </c>
      <c r="H784" s="20" t="str">
        <f>Source!DE611</f>
        <v/>
      </c>
      <c r="I784" s="9">
        <f>Source!AV611</f>
        <v>1</v>
      </c>
      <c r="J784" s="9">
        <f>IF(Source!BB611&lt;&gt; 0, Source!BB611, 1)</f>
        <v>1</v>
      </c>
      <c r="K784" s="21">
        <f>Source!Q611</f>
        <v>20.94</v>
      </c>
      <c r="L784" s="21"/>
    </row>
    <row r="785" spans="1:22" ht="14.25" x14ac:dyDescent="0.2">
      <c r="A785" s="18"/>
      <c r="B785" s="18"/>
      <c r="C785" s="18"/>
      <c r="D785" s="18" t="s">
        <v>1108</v>
      </c>
      <c r="E785" s="19"/>
      <c r="F785" s="9"/>
      <c r="G785" s="21">
        <f>Source!AN611</f>
        <v>0.05</v>
      </c>
      <c r="H785" s="20" t="str">
        <f>Source!DF611</f>
        <v/>
      </c>
      <c r="I785" s="9">
        <f>Source!AV611</f>
        <v>1</v>
      </c>
      <c r="J785" s="9">
        <f>IF(Source!BS611&lt;&gt; 0, Source!BS611, 1)</f>
        <v>1</v>
      </c>
      <c r="K785" s="25">
        <f>Source!R611</f>
        <v>0.3</v>
      </c>
      <c r="L785" s="21"/>
    </row>
    <row r="786" spans="1:22" ht="14.25" x14ac:dyDescent="0.2">
      <c r="A786" s="18"/>
      <c r="B786" s="18"/>
      <c r="C786" s="18"/>
      <c r="D786" s="18" t="s">
        <v>1101</v>
      </c>
      <c r="E786" s="19"/>
      <c r="F786" s="9"/>
      <c r="G786" s="21">
        <f>Source!AL611</f>
        <v>0.94</v>
      </c>
      <c r="H786" s="20" t="str">
        <f>Source!DD611</f>
        <v/>
      </c>
      <c r="I786" s="9">
        <f>Source!AW611</f>
        <v>1</v>
      </c>
      <c r="J786" s="9">
        <f>IF(Source!BC611&lt;&gt; 0, Source!BC611, 1)</f>
        <v>1</v>
      </c>
      <c r="K786" s="21">
        <f>Source!P611</f>
        <v>5.64</v>
      </c>
      <c r="L786" s="21"/>
    </row>
    <row r="787" spans="1:22" ht="14.25" x14ac:dyDescent="0.2">
      <c r="A787" s="18"/>
      <c r="B787" s="18"/>
      <c r="C787" s="18"/>
      <c r="D787" s="18" t="s">
        <v>1102</v>
      </c>
      <c r="E787" s="19" t="s">
        <v>1103</v>
      </c>
      <c r="F787" s="9">
        <f>Source!AT611</f>
        <v>70</v>
      </c>
      <c r="G787" s="21"/>
      <c r="H787" s="20"/>
      <c r="I787" s="9"/>
      <c r="J787" s="9"/>
      <c r="K787" s="21">
        <f>SUM(R782:R786)</f>
        <v>6911.81</v>
      </c>
      <c r="L787" s="21"/>
    </row>
    <row r="788" spans="1:22" ht="14.25" x14ac:dyDescent="0.2">
      <c r="A788" s="18"/>
      <c r="B788" s="18"/>
      <c r="C788" s="18"/>
      <c r="D788" s="18" t="s">
        <v>1104</v>
      </c>
      <c r="E788" s="19" t="s">
        <v>1103</v>
      </c>
      <c r="F788" s="9">
        <f>Source!AU611</f>
        <v>10</v>
      </c>
      <c r="G788" s="21"/>
      <c r="H788" s="20"/>
      <c r="I788" s="9"/>
      <c r="J788" s="9"/>
      <c r="K788" s="21">
        <f>SUM(T782:T787)</f>
        <v>987.4</v>
      </c>
      <c r="L788" s="21"/>
    </row>
    <row r="789" spans="1:22" ht="14.25" x14ac:dyDescent="0.2">
      <c r="A789" s="18"/>
      <c r="B789" s="18"/>
      <c r="C789" s="18"/>
      <c r="D789" s="18" t="s">
        <v>1109</v>
      </c>
      <c r="E789" s="19" t="s">
        <v>1103</v>
      </c>
      <c r="F789" s="9">
        <f>108</f>
        <v>108</v>
      </c>
      <c r="G789" s="21"/>
      <c r="H789" s="20"/>
      <c r="I789" s="9"/>
      <c r="J789" s="9"/>
      <c r="K789" s="21">
        <f>SUM(V782:V788)</f>
        <v>0.32</v>
      </c>
      <c r="L789" s="21"/>
    </row>
    <row r="790" spans="1:22" ht="14.25" x14ac:dyDescent="0.2">
      <c r="A790" s="18"/>
      <c r="B790" s="18"/>
      <c r="C790" s="18"/>
      <c r="D790" s="18" t="s">
        <v>1105</v>
      </c>
      <c r="E790" s="19" t="s">
        <v>1106</v>
      </c>
      <c r="F790" s="9">
        <f>Source!AQ611</f>
        <v>2.48</v>
      </c>
      <c r="G790" s="21"/>
      <c r="H790" s="20" t="str">
        <f>Source!DI611</f>
        <v/>
      </c>
      <c r="I790" s="9">
        <f>Source!AV611</f>
        <v>1</v>
      </c>
      <c r="J790" s="9"/>
      <c r="K790" s="21"/>
      <c r="L790" s="21">
        <f>Source!U611</f>
        <v>14.879999999999999</v>
      </c>
    </row>
    <row r="791" spans="1:22" ht="15" x14ac:dyDescent="0.25">
      <c r="A791" s="23"/>
      <c r="B791" s="23"/>
      <c r="C791" s="23"/>
      <c r="D791" s="23"/>
      <c r="E791" s="23"/>
      <c r="F791" s="23"/>
      <c r="G791" s="23"/>
      <c r="H791" s="23"/>
      <c r="I791" s="23"/>
      <c r="J791" s="44">
        <f>K783+K784+K786+K787+K788+K789</f>
        <v>17800.13</v>
      </c>
      <c r="K791" s="44"/>
      <c r="L791" s="24">
        <f>IF(Source!I611&lt;&gt;0, ROUND(J791/Source!I611, 2), 0)</f>
        <v>2966.69</v>
      </c>
      <c r="P791" s="22">
        <f>J791</f>
        <v>17800.13</v>
      </c>
    </row>
    <row r="792" spans="1:22" ht="42.75" x14ac:dyDescent="0.2">
      <c r="A792" s="18">
        <v>85</v>
      </c>
      <c r="B792" s="18">
        <v>85</v>
      </c>
      <c r="C792" s="18" t="str">
        <f>Source!F613</f>
        <v>1.18-2403-19-5/1</v>
      </c>
      <c r="D792" s="18" t="str">
        <f>Source!G613</f>
        <v>Техническое обслуживание внутренних настенных блоков сплит систем мощностью до 7 кВт - полугодовое</v>
      </c>
      <c r="E792" s="19" t="str">
        <f>Source!H613</f>
        <v>1 блок</v>
      </c>
      <c r="F792" s="9">
        <f>Source!I613</f>
        <v>6</v>
      </c>
      <c r="G792" s="21"/>
      <c r="H792" s="20"/>
      <c r="I792" s="9"/>
      <c r="J792" s="9"/>
      <c r="K792" s="21"/>
      <c r="L792" s="21"/>
      <c r="Q792">
        <f>ROUND((Source!BZ613/100)*ROUND((Source!AF613*Source!AV613)*Source!I613, 2), 2)</f>
        <v>3957.58</v>
      </c>
      <c r="R792">
        <f>Source!X613</f>
        <v>3957.58</v>
      </c>
      <c r="S792">
        <f>ROUND((Source!CA613/100)*ROUND((Source!AF613*Source!AV613)*Source!I613, 2), 2)</f>
        <v>565.37</v>
      </c>
      <c r="T792">
        <f>Source!Y613</f>
        <v>565.37</v>
      </c>
      <c r="U792">
        <f>ROUND((175/100)*ROUND((Source!AE613*Source!AV613)*Source!I613, 2), 2)</f>
        <v>0.21</v>
      </c>
      <c r="V792">
        <f>ROUND((108/100)*ROUND(Source!CS613*Source!I613, 2), 2)</f>
        <v>0.13</v>
      </c>
    </row>
    <row r="793" spans="1:22" ht="14.25" x14ac:dyDescent="0.2">
      <c r="A793" s="18"/>
      <c r="B793" s="18"/>
      <c r="C793" s="18"/>
      <c r="D793" s="18" t="s">
        <v>1100</v>
      </c>
      <c r="E793" s="19"/>
      <c r="F793" s="9"/>
      <c r="G793" s="21">
        <f>Source!AO613</f>
        <v>942.28</v>
      </c>
      <c r="H793" s="20" t="str">
        <f>Source!DG613</f>
        <v/>
      </c>
      <c r="I793" s="9">
        <f>Source!AV613</f>
        <v>1</v>
      </c>
      <c r="J793" s="9">
        <f>IF(Source!BA613&lt;&gt; 0, Source!BA613, 1)</f>
        <v>1</v>
      </c>
      <c r="K793" s="21">
        <f>Source!S613</f>
        <v>5653.68</v>
      </c>
      <c r="L793" s="21"/>
    </row>
    <row r="794" spans="1:22" ht="14.25" x14ac:dyDescent="0.2">
      <c r="A794" s="18"/>
      <c r="B794" s="18"/>
      <c r="C794" s="18"/>
      <c r="D794" s="18" t="s">
        <v>1107</v>
      </c>
      <c r="E794" s="19"/>
      <c r="F794" s="9"/>
      <c r="G794" s="21">
        <f>Source!AM613</f>
        <v>1.79</v>
      </c>
      <c r="H794" s="20" t="str">
        <f>Source!DE613</f>
        <v/>
      </c>
      <c r="I794" s="9">
        <f>Source!AV613</f>
        <v>1</v>
      </c>
      <c r="J794" s="9">
        <f>IF(Source!BB613&lt;&gt; 0, Source!BB613, 1)</f>
        <v>1</v>
      </c>
      <c r="K794" s="21">
        <f>Source!Q613</f>
        <v>10.74</v>
      </c>
      <c r="L794" s="21"/>
    </row>
    <row r="795" spans="1:22" ht="14.25" x14ac:dyDescent="0.2">
      <c r="A795" s="18"/>
      <c r="B795" s="18"/>
      <c r="C795" s="18"/>
      <c r="D795" s="18" t="s">
        <v>1108</v>
      </c>
      <c r="E795" s="19"/>
      <c r="F795" s="9"/>
      <c r="G795" s="21">
        <f>Source!AN613</f>
        <v>0.02</v>
      </c>
      <c r="H795" s="20" t="str">
        <f>Source!DF613</f>
        <v/>
      </c>
      <c r="I795" s="9">
        <f>Source!AV613</f>
        <v>1</v>
      </c>
      <c r="J795" s="9">
        <f>IF(Source!BS613&lt;&gt; 0, Source!BS613, 1)</f>
        <v>1</v>
      </c>
      <c r="K795" s="25">
        <f>Source!R613</f>
        <v>0.12</v>
      </c>
      <c r="L795" s="21"/>
    </row>
    <row r="796" spans="1:22" ht="14.25" x14ac:dyDescent="0.2">
      <c r="A796" s="18"/>
      <c r="B796" s="18"/>
      <c r="C796" s="18"/>
      <c r="D796" s="18" t="s">
        <v>1101</v>
      </c>
      <c r="E796" s="19"/>
      <c r="F796" s="9"/>
      <c r="G796" s="21">
        <f>Source!AL613</f>
        <v>0.74</v>
      </c>
      <c r="H796" s="20" t="str">
        <f>Source!DD613</f>
        <v/>
      </c>
      <c r="I796" s="9">
        <f>Source!AW613</f>
        <v>1</v>
      </c>
      <c r="J796" s="9">
        <f>IF(Source!BC613&lt;&gt; 0, Source!BC613, 1)</f>
        <v>1</v>
      </c>
      <c r="K796" s="21">
        <f>Source!P613</f>
        <v>4.4400000000000004</v>
      </c>
      <c r="L796" s="21"/>
    </row>
    <row r="797" spans="1:22" ht="14.25" x14ac:dyDescent="0.2">
      <c r="A797" s="18"/>
      <c r="B797" s="18"/>
      <c r="C797" s="18"/>
      <c r="D797" s="18" t="s">
        <v>1102</v>
      </c>
      <c r="E797" s="19" t="s">
        <v>1103</v>
      </c>
      <c r="F797" s="9">
        <f>Source!AT613</f>
        <v>70</v>
      </c>
      <c r="G797" s="21"/>
      <c r="H797" s="20"/>
      <c r="I797" s="9"/>
      <c r="J797" s="9"/>
      <c r="K797" s="21">
        <f>SUM(R792:R796)</f>
        <v>3957.58</v>
      </c>
      <c r="L797" s="21"/>
    </row>
    <row r="798" spans="1:22" ht="14.25" x14ac:dyDescent="0.2">
      <c r="A798" s="18"/>
      <c r="B798" s="18"/>
      <c r="C798" s="18"/>
      <c r="D798" s="18" t="s">
        <v>1104</v>
      </c>
      <c r="E798" s="19" t="s">
        <v>1103</v>
      </c>
      <c r="F798" s="9">
        <f>Source!AU613</f>
        <v>10</v>
      </c>
      <c r="G798" s="21"/>
      <c r="H798" s="20"/>
      <c r="I798" s="9"/>
      <c r="J798" s="9"/>
      <c r="K798" s="21">
        <f>SUM(T792:T797)</f>
        <v>565.37</v>
      </c>
      <c r="L798" s="21"/>
    </row>
    <row r="799" spans="1:22" ht="14.25" x14ac:dyDescent="0.2">
      <c r="A799" s="18"/>
      <c r="B799" s="18"/>
      <c r="C799" s="18"/>
      <c r="D799" s="18" t="s">
        <v>1109</v>
      </c>
      <c r="E799" s="19" t="s">
        <v>1103</v>
      </c>
      <c r="F799" s="9">
        <f>108</f>
        <v>108</v>
      </c>
      <c r="G799" s="21"/>
      <c r="H799" s="20"/>
      <c r="I799" s="9"/>
      <c r="J799" s="9"/>
      <c r="K799" s="21">
        <f>SUM(V792:V798)</f>
        <v>0.13</v>
      </c>
      <c r="L799" s="21"/>
    </row>
    <row r="800" spans="1:22" ht="14.25" x14ac:dyDescent="0.2">
      <c r="A800" s="18"/>
      <c r="B800" s="18"/>
      <c r="C800" s="18"/>
      <c r="D800" s="18" t="s">
        <v>1105</v>
      </c>
      <c r="E800" s="19" t="s">
        <v>1106</v>
      </c>
      <c r="F800" s="9">
        <f>Source!AQ613</f>
        <v>1.42</v>
      </c>
      <c r="G800" s="21"/>
      <c r="H800" s="20" t="str">
        <f>Source!DI613</f>
        <v/>
      </c>
      <c r="I800" s="9">
        <f>Source!AV613</f>
        <v>1</v>
      </c>
      <c r="J800" s="9"/>
      <c r="K800" s="21"/>
      <c r="L800" s="21">
        <f>Source!U613</f>
        <v>8.52</v>
      </c>
    </row>
    <row r="801" spans="1:22" ht="15" x14ac:dyDescent="0.25">
      <c r="A801" s="23"/>
      <c r="B801" s="23"/>
      <c r="C801" s="23"/>
      <c r="D801" s="23"/>
      <c r="E801" s="23"/>
      <c r="F801" s="23"/>
      <c r="G801" s="23"/>
      <c r="H801" s="23"/>
      <c r="I801" s="23"/>
      <c r="J801" s="44">
        <f>K793+K794+K796+K797+K798+K799</f>
        <v>10191.939999999999</v>
      </c>
      <c r="K801" s="44"/>
      <c r="L801" s="24">
        <f>IF(Source!I613&lt;&gt;0, ROUND(J801/Source!I613, 2), 0)</f>
        <v>1698.66</v>
      </c>
      <c r="P801" s="22">
        <f>J801</f>
        <v>10191.939999999999</v>
      </c>
    </row>
    <row r="803" spans="1:22" ht="15" x14ac:dyDescent="0.25">
      <c r="C803" s="47" t="str">
        <f>Source!G614</f>
        <v>Трубопроводы</v>
      </c>
      <c r="D803" s="47"/>
      <c r="E803" s="47"/>
      <c r="F803" s="47"/>
      <c r="G803" s="47"/>
      <c r="H803" s="47"/>
      <c r="I803" s="47"/>
      <c r="J803" s="47"/>
      <c r="K803" s="47"/>
    </row>
    <row r="805" spans="1:22" ht="15" x14ac:dyDescent="0.25">
      <c r="C805" s="47" t="str">
        <f>Source!G625</f>
        <v>Дренажный трубопровод</v>
      </c>
      <c r="D805" s="47"/>
      <c r="E805" s="47"/>
      <c r="F805" s="47"/>
      <c r="G805" s="47"/>
      <c r="H805" s="47"/>
      <c r="I805" s="47"/>
      <c r="J805" s="47"/>
      <c r="K805" s="47"/>
    </row>
    <row r="807" spans="1:22" ht="15" x14ac:dyDescent="0.25">
      <c r="A807" s="46" t="str">
        <f>CONCATENATE("Итого по подразделу: ",IF(Source!G630&lt;&gt;"Новый подраздел", Source!G630, ""))</f>
        <v>Итого по подразделу: Кондиционирование</v>
      </c>
      <c r="B807" s="46"/>
      <c r="C807" s="46"/>
      <c r="D807" s="46"/>
      <c r="E807" s="46"/>
      <c r="F807" s="46"/>
      <c r="G807" s="46"/>
      <c r="H807" s="46"/>
      <c r="I807" s="46"/>
      <c r="J807" s="45">
        <f>SUM(P734:P806)</f>
        <v>121161.09000000003</v>
      </c>
      <c r="K807" s="59"/>
      <c r="L807" s="26"/>
    </row>
    <row r="810" spans="1:22" ht="16.5" x14ac:dyDescent="0.25">
      <c r="A810" s="48" t="str">
        <f>CONCATENATE("Подраздел: ",IF(Source!G660&lt;&gt;"Новый подраздел", Source!G660, ""))</f>
        <v>Подраздел: Клапана сброса избыточного давления</v>
      </c>
      <c r="B810" s="48"/>
      <c r="C810" s="48"/>
      <c r="D810" s="48"/>
      <c r="E810" s="48"/>
      <c r="F810" s="48"/>
      <c r="G810" s="48"/>
      <c r="H810" s="48"/>
      <c r="I810" s="48"/>
      <c r="J810" s="48"/>
      <c r="K810" s="48"/>
      <c r="L810" s="48"/>
    </row>
    <row r="811" spans="1:22" ht="85.5" x14ac:dyDescent="0.2">
      <c r="A811" s="18">
        <v>86</v>
      </c>
      <c r="B811" s="18">
        <v>86</v>
      </c>
      <c r="C811" s="18" t="str">
        <f>Source!F664</f>
        <v>1.18-2203-3-3/1</v>
      </c>
      <c r="D811" s="18" t="str">
        <f>Source!G664</f>
        <v>Техническое обслуживание клапанов воздушных регулирующих с электроприводом диаметром/периметром до 560/1600 мм  /Клапан сброса избыточного давления. Сборный КСИД-ФС-0,5</v>
      </c>
      <c r="E811" s="19" t="str">
        <f>Source!H664</f>
        <v>шт.</v>
      </c>
      <c r="F811" s="9">
        <f>Source!I664</f>
        <v>103</v>
      </c>
      <c r="G811" s="21"/>
      <c r="H811" s="20"/>
      <c r="I811" s="9"/>
      <c r="J811" s="9"/>
      <c r="K811" s="21"/>
      <c r="L811" s="21"/>
      <c r="Q811">
        <f>ROUND((Source!BZ664/100)*ROUND((Source!AF664*Source!AV664)*Source!I664, 2), 2)</f>
        <v>27749.13</v>
      </c>
      <c r="R811">
        <f>Source!X664</f>
        <v>27749.13</v>
      </c>
      <c r="S811">
        <f>ROUND((Source!CA664/100)*ROUND((Source!AF664*Source!AV664)*Source!I664, 2), 2)</f>
        <v>3964.16</v>
      </c>
      <c r="T811">
        <f>Source!Y664</f>
        <v>3964.16</v>
      </c>
      <c r="U811">
        <f>ROUND((175/100)*ROUND((Source!AE664*Source!AV664)*Source!I664, 2), 2)</f>
        <v>4468.3999999999996</v>
      </c>
      <c r="V811">
        <f>ROUND((108/100)*ROUND(Source!CS664*Source!I664, 2), 2)</f>
        <v>2757.64</v>
      </c>
    </row>
    <row r="812" spans="1:22" x14ac:dyDescent="0.2">
      <c r="D812" s="28" t="str">
        <f>"Объем: "&amp;Source!I664&amp;"=4+"&amp;"1+"&amp;"5+"&amp;"93"</f>
        <v>Объем: 103=4+1+5+93</v>
      </c>
    </row>
    <row r="813" spans="1:22" ht="14.25" x14ac:dyDescent="0.2">
      <c r="A813" s="18"/>
      <c r="B813" s="18"/>
      <c r="C813" s="18"/>
      <c r="D813" s="18" t="s">
        <v>1100</v>
      </c>
      <c r="E813" s="19"/>
      <c r="F813" s="9"/>
      <c r="G813" s="21">
        <f>Source!AO664</f>
        <v>384.87</v>
      </c>
      <c r="H813" s="20" t="str">
        <f>Source!DG664</f>
        <v/>
      </c>
      <c r="I813" s="9">
        <f>Source!AV664</f>
        <v>1</v>
      </c>
      <c r="J813" s="9">
        <f>IF(Source!BA664&lt;&gt; 0, Source!BA664, 1)</f>
        <v>1</v>
      </c>
      <c r="K813" s="21">
        <f>Source!S664</f>
        <v>39641.61</v>
      </c>
      <c r="L813" s="21"/>
    </row>
    <row r="814" spans="1:22" ht="14.25" x14ac:dyDescent="0.2">
      <c r="A814" s="18"/>
      <c r="B814" s="18"/>
      <c r="C814" s="18"/>
      <c r="D814" s="18" t="s">
        <v>1107</v>
      </c>
      <c r="E814" s="19"/>
      <c r="F814" s="9"/>
      <c r="G814" s="21">
        <f>Source!AM664</f>
        <v>39.090000000000003</v>
      </c>
      <c r="H814" s="20" t="str">
        <f>Source!DE664</f>
        <v/>
      </c>
      <c r="I814" s="9">
        <f>Source!AV664</f>
        <v>1</v>
      </c>
      <c r="J814" s="9">
        <f>IF(Source!BB664&lt;&gt; 0, Source!BB664, 1)</f>
        <v>1</v>
      </c>
      <c r="K814" s="21">
        <f>Source!Q664</f>
        <v>4026.27</v>
      </c>
      <c r="L814" s="21"/>
    </row>
    <row r="815" spans="1:22" ht="14.25" x14ac:dyDescent="0.2">
      <c r="A815" s="18"/>
      <c r="B815" s="18"/>
      <c r="C815" s="18"/>
      <c r="D815" s="18" t="s">
        <v>1108</v>
      </c>
      <c r="E815" s="19"/>
      <c r="F815" s="9"/>
      <c r="G815" s="21">
        <f>Source!AN664</f>
        <v>24.79</v>
      </c>
      <c r="H815" s="20" t="str">
        <f>Source!DF664</f>
        <v/>
      </c>
      <c r="I815" s="9">
        <f>Source!AV664</f>
        <v>1</v>
      </c>
      <c r="J815" s="9">
        <f>IF(Source!BS664&lt;&gt; 0, Source!BS664, 1)</f>
        <v>1</v>
      </c>
      <c r="K815" s="25">
        <f>Source!R664</f>
        <v>2553.37</v>
      </c>
      <c r="L815" s="21"/>
    </row>
    <row r="816" spans="1:22" ht="14.25" x14ac:dyDescent="0.2">
      <c r="A816" s="18"/>
      <c r="B816" s="18"/>
      <c r="C816" s="18"/>
      <c r="D816" s="18" t="s">
        <v>1101</v>
      </c>
      <c r="E816" s="19"/>
      <c r="F816" s="9"/>
      <c r="G816" s="21">
        <f>Source!AL664</f>
        <v>0.47</v>
      </c>
      <c r="H816" s="20" t="str">
        <f>Source!DD664</f>
        <v/>
      </c>
      <c r="I816" s="9">
        <f>Source!AW664</f>
        <v>1</v>
      </c>
      <c r="J816" s="9">
        <f>IF(Source!BC664&lt;&gt; 0, Source!BC664, 1)</f>
        <v>1</v>
      </c>
      <c r="K816" s="21">
        <f>Source!P664</f>
        <v>48.41</v>
      </c>
      <c r="L816" s="21"/>
    </row>
    <row r="817" spans="1:16" ht="14.25" x14ac:dyDescent="0.2">
      <c r="A817" s="18"/>
      <c r="B817" s="18"/>
      <c r="C817" s="18"/>
      <c r="D817" s="18" t="s">
        <v>1102</v>
      </c>
      <c r="E817" s="19" t="s">
        <v>1103</v>
      </c>
      <c r="F817" s="9">
        <f>Source!AT664</f>
        <v>70</v>
      </c>
      <c r="G817" s="21"/>
      <c r="H817" s="20"/>
      <c r="I817" s="9"/>
      <c r="J817" s="9"/>
      <c r="K817" s="21">
        <f>SUM(R811:R816)</f>
        <v>27749.13</v>
      </c>
      <c r="L817" s="21"/>
    </row>
    <row r="818" spans="1:16" ht="14.25" x14ac:dyDescent="0.2">
      <c r="A818" s="18"/>
      <c r="B818" s="18"/>
      <c r="C818" s="18"/>
      <c r="D818" s="18" t="s">
        <v>1104</v>
      </c>
      <c r="E818" s="19" t="s">
        <v>1103</v>
      </c>
      <c r="F818" s="9">
        <f>Source!AU664</f>
        <v>10</v>
      </c>
      <c r="G818" s="21"/>
      <c r="H818" s="20"/>
      <c r="I818" s="9"/>
      <c r="J818" s="9"/>
      <c r="K818" s="21">
        <f>SUM(T811:T817)</f>
        <v>3964.16</v>
      </c>
      <c r="L818" s="21"/>
    </row>
    <row r="819" spans="1:16" ht="14.25" x14ac:dyDescent="0.2">
      <c r="A819" s="18"/>
      <c r="B819" s="18"/>
      <c r="C819" s="18"/>
      <c r="D819" s="18" t="s">
        <v>1109</v>
      </c>
      <c r="E819" s="19" t="s">
        <v>1103</v>
      </c>
      <c r="F819" s="9">
        <f>108</f>
        <v>108</v>
      </c>
      <c r="G819" s="21"/>
      <c r="H819" s="20"/>
      <c r="I819" s="9"/>
      <c r="J819" s="9"/>
      <c r="K819" s="21">
        <f>SUM(V811:V818)</f>
        <v>2757.64</v>
      </c>
      <c r="L819" s="21"/>
    </row>
    <row r="820" spans="1:16" ht="14.25" x14ac:dyDescent="0.2">
      <c r="A820" s="18"/>
      <c r="B820" s="18"/>
      <c r="C820" s="18"/>
      <c r="D820" s="18" t="s">
        <v>1105</v>
      </c>
      <c r="E820" s="19" t="s">
        <v>1106</v>
      </c>
      <c r="F820" s="9">
        <f>Source!AQ664</f>
        <v>0.57999999999999996</v>
      </c>
      <c r="G820" s="21"/>
      <c r="H820" s="20" t="str">
        <f>Source!DI664</f>
        <v/>
      </c>
      <c r="I820" s="9">
        <f>Source!AV664</f>
        <v>1</v>
      </c>
      <c r="J820" s="9"/>
      <c r="K820" s="21"/>
      <c r="L820" s="21">
        <f>Source!U664</f>
        <v>59.739999999999995</v>
      </c>
    </row>
    <row r="821" spans="1:16" ht="15" x14ac:dyDescent="0.25">
      <c r="A821" s="23"/>
      <c r="B821" s="23"/>
      <c r="C821" s="23"/>
      <c r="D821" s="23"/>
      <c r="E821" s="23"/>
      <c r="F821" s="23"/>
      <c r="G821" s="23"/>
      <c r="H821" s="23"/>
      <c r="I821" s="23"/>
      <c r="J821" s="44">
        <f>K813+K814+K816+K817+K818+K819</f>
        <v>78187.22</v>
      </c>
      <c r="K821" s="44"/>
      <c r="L821" s="24">
        <f>IF(Source!I664&lt;&gt;0, ROUND(J821/Source!I664, 2), 0)</f>
        <v>759.1</v>
      </c>
      <c r="P821" s="22">
        <f>J821</f>
        <v>78187.22</v>
      </c>
    </row>
    <row r="823" spans="1:16" ht="15" x14ac:dyDescent="0.25">
      <c r="A823" s="46" t="str">
        <f>CONCATENATE("Итого по подразделу: ",IF(Source!G666&lt;&gt;"Новый подраздел", Source!G666, ""))</f>
        <v>Итого по подразделу: Клапана сброса избыточного давления</v>
      </c>
      <c r="B823" s="46"/>
      <c r="C823" s="46"/>
      <c r="D823" s="46"/>
      <c r="E823" s="46"/>
      <c r="F823" s="46"/>
      <c r="G823" s="46"/>
      <c r="H823" s="46"/>
      <c r="I823" s="46"/>
      <c r="J823" s="45">
        <f>SUM(P810:P822)</f>
        <v>78187.22</v>
      </c>
      <c r="K823" s="59"/>
      <c r="L823" s="26"/>
    </row>
    <row r="826" spans="1:16" ht="15" x14ac:dyDescent="0.25">
      <c r="A826" s="46" t="str">
        <f>CONCATENATE("Итого по разделу: ",IF(Source!G696&lt;&gt;"Новый раздел", Source!G696, ""))</f>
        <v>Итого по разделу: 3. Вентиляция и кондиционирование</v>
      </c>
      <c r="B826" s="46"/>
      <c r="C826" s="46"/>
      <c r="D826" s="46"/>
      <c r="E826" s="46"/>
      <c r="F826" s="46"/>
      <c r="G826" s="46"/>
      <c r="H826" s="46"/>
      <c r="I826" s="46"/>
      <c r="J826" s="45">
        <f>SUM(P625:P825)</f>
        <v>515615.10000000009</v>
      </c>
      <c r="K826" s="59"/>
      <c r="L826" s="26"/>
    </row>
    <row r="829" spans="1:16" ht="16.5" x14ac:dyDescent="0.25">
      <c r="A829" s="48" t="str">
        <f>CONCATENATE("Раздел: ",IF(Source!G726&lt;&gt;"Новый раздел", Source!G726, ""))</f>
        <v>Раздел: 4. Системы электроснабжения</v>
      </c>
      <c r="B829" s="48"/>
      <c r="C829" s="48"/>
      <c r="D829" s="48"/>
      <c r="E829" s="48"/>
      <c r="F829" s="48"/>
      <c r="G829" s="48"/>
      <c r="H829" s="48"/>
      <c r="I829" s="48"/>
      <c r="J829" s="48"/>
      <c r="K829" s="48"/>
      <c r="L829" s="48"/>
    </row>
    <row r="831" spans="1:16" ht="16.5" x14ac:dyDescent="0.25">
      <c r="A831" s="48" t="str">
        <f>CONCATENATE("Подраздел: ",IF(Source!G730&lt;&gt;"Новый подраздел", Source!G730, ""))</f>
        <v>Подраздел: Электроснабжение</v>
      </c>
      <c r="B831" s="48"/>
      <c r="C831" s="48"/>
      <c r="D831" s="48"/>
      <c r="E831" s="48"/>
      <c r="F831" s="48"/>
      <c r="G831" s="48"/>
      <c r="H831" s="48"/>
      <c r="I831" s="48"/>
      <c r="J831" s="48"/>
      <c r="K831" s="48"/>
      <c r="L831" s="48"/>
    </row>
    <row r="833" spans="1:22" ht="15" x14ac:dyDescent="0.25">
      <c r="C833" s="47" t="str">
        <f>Source!G734</f>
        <v>ВРУ-1</v>
      </c>
      <c r="D833" s="47"/>
      <c r="E833" s="47"/>
      <c r="F833" s="47"/>
      <c r="G833" s="47"/>
      <c r="H833" s="47"/>
      <c r="I833" s="47"/>
      <c r="J833" s="47"/>
      <c r="K833" s="47"/>
    </row>
    <row r="834" spans="1:22" ht="57" x14ac:dyDescent="0.2">
      <c r="A834" s="18">
        <v>87</v>
      </c>
      <c r="B834" s="18">
        <v>87</v>
      </c>
      <c r="C834" s="18" t="str">
        <f>Source!F735</f>
        <v>1.21-2203-8-2/1</v>
      </c>
      <c r="D834" s="18" t="str">
        <f>Source!G735</f>
        <v>Техническое обслуживание ящика ввода распределительного с рубильником и предохранителями, номинальный ток 600 А (ВП1, ВП2)</v>
      </c>
      <c r="E834" s="19" t="str">
        <f>Source!H735</f>
        <v>шт.</v>
      </c>
      <c r="F834" s="9">
        <f>Source!I735</f>
        <v>2</v>
      </c>
      <c r="G834" s="21"/>
      <c r="H834" s="20"/>
      <c r="I834" s="9"/>
      <c r="J834" s="9"/>
      <c r="K834" s="21"/>
      <c r="L834" s="21"/>
      <c r="Q834">
        <f>ROUND((Source!BZ735/100)*ROUND((Source!AF735*Source!AV735)*Source!I735, 2), 2)</f>
        <v>7780.37</v>
      </c>
      <c r="R834">
        <f>Source!X735</f>
        <v>7780.37</v>
      </c>
      <c r="S834">
        <f>ROUND((Source!CA735/100)*ROUND((Source!AF735*Source!AV735)*Source!I735, 2), 2)</f>
        <v>1111.48</v>
      </c>
      <c r="T834">
        <f>Source!Y735</f>
        <v>1111.48</v>
      </c>
      <c r="U834">
        <f>ROUND((175/100)*ROUND((Source!AE735*Source!AV735)*Source!I735, 2), 2)</f>
        <v>0</v>
      </c>
      <c r="V834">
        <f>ROUND((108/100)*ROUND(Source!CS735*Source!I735, 2), 2)</f>
        <v>0</v>
      </c>
    </row>
    <row r="835" spans="1:22" x14ac:dyDescent="0.2">
      <c r="D835" s="28" t="str">
        <f>"Объем: "&amp;Source!I735&amp;"=1+"&amp;"1"</f>
        <v>Объем: 2=1+1</v>
      </c>
    </row>
    <row r="836" spans="1:22" ht="14.25" x14ac:dyDescent="0.2">
      <c r="A836" s="18"/>
      <c r="B836" s="18"/>
      <c r="C836" s="18"/>
      <c r="D836" s="18" t="s">
        <v>1100</v>
      </c>
      <c r="E836" s="19"/>
      <c r="F836" s="9"/>
      <c r="G836" s="21">
        <f>Source!AO735</f>
        <v>5557.41</v>
      </c>
      <c r="H836" s="20" t="str">
        <f>Source!DG735</f>
        <v/>
      </c>
      <c r="I836" s="9">
        <f>Source!AV735</f>
        <v>1</v>
      </c>
      <c r="J836" s="9">
        <f>IF(Source!BA735&lt;&gt; 0, Source!BA735, 1)</f>
        <v>1</v>
      </c>
      <c r="K836" s="21">
        <f>Source!S735</f>
        <v>11114.82</v>
      </c>
      <c r="L836" s="21"/>
    </row>
    <row r="837" spans="1:22" ht="14.25" x14ac:dyDescent="0.2">
      <c r="A837" s="18"/>
      <c r="B837" s="18"/>
      <c r="C837" s="18"/>
      <c r="D837" s="18" t="s">
        <v>1101</v>
      </c>
      <c r="E837" s="19"/>
      <c r="F837" s="9"/>
      <c r="G837" s="21">
        <f>Source!AL735</f>
        <v>77.08</v>
      </c>
      <c r="H837" s="20" t="str">
        <f>Source!DD735</f>
        <v/>
      </c>
      <c r="I837" s="9">
        <f>Source!AW735</f>
        <v>1</v>
      </c>
      <c r="J837" s="9">
        <f>IF(Source!BC735&lt;&gt; 0, Source!BC735, 1)</f>
        <v>1</v>
      </c>
      <c r="K837" s="21">
        <f>Source!P735</f>
        <v>154.16</v>
      </c>
      <c r="L837" s="21"/>
    </row>
    <row r="838" spans="1:22" ht="14.25" x14ac:dyDescent="0.2">
      <c r="A838" s="18"/>
      <c r="B838" s="18"/>
      <c r="C838" s="18"/>
      <c r="D838" s="18" t="s">
        <v>1102</v>
      </c>
      <c r="E838" s="19" t="s">
        <v>1103</v>
      </c>
      <c r="F838" s="9">
        <f>Source!AT735</f>
        <v>70</v>
      </c>
      <c r="G838" s="21"/>
      <c r="H838" s="20"/>
      <c r="I838" s="9"/>
      <c r="J838" s="9"/>
      <c r="K838" s="21">
        <f>SUM(R834:R837)</f>
        <v>7780.37</v>
      </c>
      <c r="L838" s="21"/>
    </row>
    <row r="839" spans="1:22" ht="14.25" x14ac:dyDescent="0.2">
      <c r="A839" s="18"/>
      <c r="B839" s="18"/>
      <c r="C839" s="18"/>
      <c r="D839" s="18" t="s">
        <v>1104</v>
      </c>
      <c r="E839" s="19" t="s">
        <v>1103</v>
      </c>
      <c r="F839" s="9">
        <f>Source!AU735</f>
        <v>10</v>
      </c>
      <c r="G839" s="21"/>
      <c r="H839" s="20"/>
      <c r="I839" s="9"/>
      <c r="J839" s="9"/>
      <c r="K839" s="21">
        <f>SUM(T834:T838)</f>
        <v>1111.48</v>
      </c>
      <c r="L839" s="21"/>
    </row>
    <row r="840" spans="1:22" ht="14.25" x14ac:dyDescent="0.2">
      <c r="A840" s="18"/>
      <c r="B840" s="18"/>
      <c r="C840" s="18"/>
      <c r="D840" s="18" t="s">
        <v>1105</v>
      </c>
      <c r="E840" s="19" t="s">
        <v>1106</v>
      </c>
      <c r="F840" s="9">
        <f>Source!AQ735</f>
        <v>9</v>
      </c>
      <c r="G840" s="21"/>
      <c r="H840" s="20" t="str">
        <f>Source!DI735</f>
        <v/>
      </c>
      <c r="I840" s="9">
        <f>Source!AV735</f>
        <v>1</v>
      </c>
      <c r="J840" s="9"/>
      <c r="K840" s="21"/>
      <c r="L840" s="21">
        <f>Source!U735</f>
        <v>18</v>
      </c>
    </row>
    <row r="841" spans="1:22" ht="15" x14ac:dyDescent="0.25">
      <c r="A841" s="23"/>
      <c r="B841" s="23"/>
      <c r="C841" s="23"/>
      <c r="D841" s="23"/>
      <c r="E841" s="23"/>
      <c r="F841" s="23"/>
      <c r="G841" s="23"/>
      <c r="H841" s="23"/>
      <c r="I841" s="23"/>
      <c r="J841" s="44">
        <f>K836+K837+K838+K839</f>
        <v>20160.829999999998</v>
      </c>
      <c r="K841" s="44"/>
      <c r="L841" s="24">
        <f>IF(Source!I735&lt;&gt;0, ROUND(J841/Source!I735, 2), 0)</f>
        <v>10080.42</v>
      </c>
      <c r="P841" s="22">
        <f>J841</f>
        <v>20160.829999999998</v>
      </c>
    </row>
    <row r="842" spans="1:22" ht="71.25" x14ac:dyDescent="0.2">
      <c r="A842" s="18">
        <v>88</v>
      </c>
      <c r="B842" s="18">
        <v>88</v>
      </c>
      <c r="C842" s="18" t="str">
        <f>Source!F739</f>
        <v>1.21-2303-40-1/1</v>
      </c>
      <c r="D842" s="18" t="str">
        <f>Source!G739</f>
        <v>Техническое обслуживание измерителя мощности типа PM710MG на лицевой панели распределительного устройства - полугодовое</v>
      </c>
      <c r="E842" s="19" t="str">
        <f>Source!H739</f>
        <v>шт.</v>
      </c>
      <c r="F842" s="9">
        <f>Source!I739</f>
        <v>2</v>
      </c>
      <c r="G842" s="21"/>
      <c r="H842" s="20"/>
      <c r="I842" s="9"/>
      <c r="J842" s="9"/>
      <c r="K842" s="21"/>
      <c r="L842" s="21"/>
      <c r="Q842">
        <f>ROUND((Source!BZ739/100)*ROUND((Source!AF739*Source!AV739)*Source!I739, 2), 2)</f>
        <v>157.41999999999999</v>
      </c>
      <c r="R842">
        <f>Source!X739</f>
        <v>157.41999999999999</v>
      </c>
      <c r="S842">
        <f>ROUND((Source!CA739/100)*ROUND((Source!AF739*Source!AV739)*Source!I739, 2), 2)</f>
        <v>22.49</v>
      </c>
      <c r="T842">
        <f>Source!Y739</f>
        <v>22.49</v>
      </c>
      <c r="U842">
        <f>ROUND((175/100)*ROUND((Source!AE739*Source!AV739)*Source!I739, 2), 2)</f>
        <v>0</v>
      </c>
      <c r="V842">
        <f>ROUND((108/100)*ROUND(Source!CS739*Source!I739, 2), 2)</f>
        <v>0</v>
      </c>
    </row>
    <row r="843" spans="1:22" x14ac:dyDescent="0.2">
      <c r="D843" s="28" t="str">
        <f>"Объем: "&amp;Source!I739&amp;"=1+"&amp;"1"</f>
        <v>Объем: 2=1+1</v>
      </c>
    </row>
    <row r="844" spans="1:22" ht="14.25" x14ac:dyDescent="0.2">
      <c r="A844" s="18"/>
      <c r="B844" s="18"/>
      <c r="C844" s="18"/>
      <c r="D844" s="18" t="s">
        <v>1100</v>
      </c>
      <c r="E844" s="19"/>
      <c r="F844" s="9"/>
      <c r="G844" s="21">
        <f>Source!AO739</f>
        <v>112.44</v>
      </c>
      <c r="H844" s="20" t="str">
        <f>Source!DG739</f>
        <v/>
      </c>
      <c r="I844" s="9">
        <f>Source!AV739</f>
        <v>1</v>
      </c>
      <c r="J844" s="9">
        <f>IF(Source!BA739&lt;&gt; 0, Source!BA739, 1)</f>
        <v>1</v>
      </c>
      <c r="K844" s="21">
        <f>Source!S739</f>
        <v>224.88</v>
      </c>
      <c r="L844" s="21"/>
    </row>
    <row r="845" spans="1:22" ht="14.25" x14ac:dyDescent="0.2">
      <c r="A845" s="18"/>
      <c r="B845" s="18"/>
      <c r="C845" s="18"/>
      <c r="D845" s="18" t="s">
        <v>1101</v>
      </c>
      <c r="E845" s="19"/>
      <c r="F845" s="9"/>
      <c r="G845" s="21">
        <f>Source!AL739</f>
        <v>6.3</v>
      </c>
      <c r="H845" s="20" t="str">
        <f>Source!DD739</f>
        <v/>
      </c>
      <c r="I845" s="9">
        <f>Source!AW739</f>
        <v>1</v>
      </c>
      <c r="J845" s="9">
        <f>IF(Source!BC739&lt;&gt; 0, Source!BC739, 1)</f>
        <v>1</v>
      </c>
      <c r="K845" s="21">
        <f>Source!P739</f>
        <v>12.6</v>
      </c>
      <c r="L845" s="21"/>
    </row>
    <row r="846" spans="1:22" ht="14.25" x14ac:dyDescent="0.2">
      <c r="A846" s="18"/>
      <c r="B846" s="18"/>
      <c r="C846" s="18"/>
      <c r="D846" s="18" t="s">
        <v>1102</v>
      </c>
      <c r="E846" s="19" t="s">
        <v>1103</v>
      </c>
      <c r="F846" s="9">
        <f>Source!AT739</f>
        <v>70</v>
      </c>
      <c r="G846" s="21"/>
      <c r="H846" s="20"/>
      <c r="I846" s="9"/>
      <c r="J846" s="9"/>
      <c r="K846" s="21">
        <f>SUM(R842:R845)</f>
        <v>157.41999999999999</v>
      </c>
      <c r="L846" s="21"/>
    </row>
    <row r="847" spans="1:22" ht="14.25" x14ac:dyDescent="0.2">
      <c r="A847" s="18"/>
      <c r="B847" s="18"/>
      <c r="C847" s="18"/>
      <c r="D847" s="18" t="s">
        <v>1104</v>
      </c>
      <c r="E847" s="19" t="s">
        <v>1103</v>
      </c>
      <c r="F847" s="9">
        <f>Source!AU739</f>
        <v>10</v>
      </c>
      <c r="G847" s="21"/>
      <c r="H847" s="20"/>
      <c r="I847" s="9"/>
      <c r="J847" s="9"/>
      <c r="K847" s="21">
        <f>SUM(T842:T846)</f>
        <v>22.49</v>
      </c>
      <c r="L847" s="21"/>
    </row>
    <row r="848" spans="1:22" ht="14.25" x14ac:dyDescent="0.2">
      <c r="A848" s="18"/>
      <c r="B848" s="18"/>
      <c r="C848" s="18"/>
      <c r="D848" s="18" t="s">
        <v>1105</v>
      </c>
      <c r="E848" s="19" t="s">
        <v>1106</v>
      </c>
      <c r="F848" s="9">
        <f>Source!AQ739</f>
        <v>0.2</v>
      </c>
      <c r="G848" s="21"/>
      <c r="H848" s="20" t="str">
        <f>Source!DI739</f>
        <v/>
      </c>
      <c r="I848" s="9">
        <f>Source!AV739</f>
        <v>1</v>
      </c>
      <c r="J848" s="9"/>
      <c r="K848" s="21"/>
      <c r="L848" s="21">
        <f>Source!U739</f>
        <v>0.4</v>
      </c>
    </row>
    <row r="849" spans="1:22" ht="15" x14ac:dyDescent="0.25">
      <c r="A849" s="23"/>
      <c r="B849" s="23"/>
      <c r="C849" s="23"/>
      <c r="D849" s="23"/>
      <c r="E849" s="23"/>
      <c r="F849" s="23"/>
      <c r="G849" s="23"/>
      <c r="H849" s="23"/>
      <c r="I849" s="23"/>
      <c r="J849" s="44">
        <f>K844+K845+K846+K847</f>
        <v>417.39</v>
      </c>
      <c r="K849" s="44"/>
      <c r="L849" s="24">
        <f>IF(Source!I739&lt;&gt;0, ROUND(J849/Source!I739, 2), 0)</f>
        <v>208.7</v>
      </c>
      <c r="P849" s="22">
        <f>J849</f>
        <v>417.39</v>
      </c>
    </row>
    <row r="850" spans="1:22" ht="57" x14ac:dyDescent="0.2">
      <c r="A850" s="18">
        <v>89</v>
      </c>
      <c r="B850" s="18">
        <v>89</v>
      </c>
      <c r="C850" s="18" t="str">
        <f>Source!F741</f>
        <v>1.21-2203-2-4/1</v>
      </c>
      <c r="D850" s="18" t="str">
        <f>Source!G741</f>
        <v>Техническое обслуживание силового распределительного пункта с установочными автоматами, число групп 10  ( РП2)</v>
      </c>
      <c r="E850" s="19" t="str">
        <f>Source!H741</f>
        <v>шт.</v>
      </c>
      <c r="F850" s="9">
        <f>Source!I741</f>
        <v>1</v>
      </c>
      <c r="G850" s="21"/>
      <c r="H850" s="20"/>
      <c r="I850" s="9"/>
      <c r="J850" s="9"/>
      <c r="K850" s="21"/>
      <c r="L850" s="21"/>
      <c r="Q850">
        <f>ROUND((Source!BZ741/100)*ROUND((Source!AF741*Source!AV741)*Source!I741, 2), 2)</f>
        <v>7780.37</v>
      </c>
      <c r="R850">
        <f>Source!X741</f>
        <v>7780.37</v>
      </c>
      <c r="S850">
        <f>ROUND((Source!CA741/100)*ROUND((Source!AF741*Source!AV741)*Source!I741, 2), 2)</f>
        <v>1111.48</v>
      </c>
      <c r="T850">
        <f>Source!Y741</f>
        <v>1111.48</v>
      </c>
      <c r="U850">
        <f>ROUND((175/100)*ROUND((Source!AE741*Source!AV741)*Source!I741, 2), 2)</f>
        <v>0</v>
      </c>
      <c r="V850">
        <f>ROUND((108/100)*ROUND(Source!CS741*Source!I741, 2), 2)</f>
        <v>0</v>
      </c>
    </row>
    <row r="851" spans="1:22" ht="14.25" x14ac:dyDescent="0.2">
      <c r="A851" s="18"/>
      <c r="B851" s="18"/>
      <c r="C851" s="18"/>
      <c r="D851" s="18" t="s">
        <v>1100</v>
      </c>
      <c r="E851" s="19"/>
      <c r="F851" s="9"/>
      <c r="G851" s="21">
        <f>Source!AO741</f>
        <v>11114.82</v>
      </c>
      <c r="H851" s="20" t="str">
        <f>Source!DG741</f>
        <v/>
      </c>
      <c r="I851" s="9">
        <f>Source!AV741</f>
        <v>1</v>
      </c>
      <c r="J851" s="9">
        <f>IF(Source!BA741&lt;&gt; 0, Source!BA741, 1)</f>
        <v>1</v>
      </c>
      <c r="K851" s="21">
        <f>Source!S741</f>
        <v>11114.82</v>
      </c>
      <c r="L851" s="21"/>
    </row>
    <row r="852" spans="1:22" ht="14.25" x14ac:dyDescent="0.2">
      <c r="A852" s="18"/>
      <c r="B852" s="18"/>
      <c r="C852" s="18"/>
      <c r="D852" s="18" t="s">
        <v>1101</v>
      </c>
      <c r="E852" s="19"/>
      <c r="F852" s="9"/>
      <c r="G852" s="21">
        <f>Source!AL741</f>
        <v>154.13999999999999</v>
      </c>
      <c r="H852" s="20" t="str">
        <f>Source!DD741</f>
        <v/>
      </c>
      <c r="I852" s="9">
        <f>Source!AW741</f>
        <v>1</v>
      </c>
      <c r="J852" s="9">
        <f>IF(Source!BC741&lt;&gt; 0, Source!BC741, 1)</f>
        <v>1</v>
      </c>
      <c r="K852" s="21">
        <f>Source!P741</f>
        <v>154.13999999999999</v>
      </c>
      <c r="L852" s="21"/>
    </row>
    <row r="853" spans="1:22" ht="14.25" x14ac:dyDescent="0.2">
      <c r="A853" s="18"/>
      <c r="B853" s="18"/>
      <c r="C853" s="18"/>
      <c r="D853" s="18" t="s">
        <v>1102</v>
      </c>
      <c r="E853" s="19" t="s">
        <v>1103</v>
      </c>
      <c r="F853" s="9">
        <f>Source!AT741</f>
        <v>70</v>
      </c>
      <c r="G853" s="21"/>
      <c r="H853" s="20"/>
      <c r="I853" s="9"/>
      <c r="J853" s="9"/>
      <c r="K853" s="21">
        <f>SUM(R850:R852)</f>
        <v>7780.37</v>
      </c>
      <c r="L853" s="21"/>
    </row>
    <row r="854" spans="1:22" ht="14.25" x14ac:dyDescent="0.2">
      <c r="A854" s="18"/>
      <c r="B854" s="18"/>
      <c r="C854" s="18"/>
      <c r="D854" s="18" t="s">
        <v>1104</v>
      </c>
      <c r="E854" s="19" t="s">
        <v>1103</v>
      </c>
      <c r="F854" s="9">
        <f>Source!AU741</f>
        <v>10</v>
      </c>
      <c r="G854" s="21"/>
      <c r="H854" s="20"/>
      <c r="I854" s="9"/>
      <c r="J854" s="9"/>
      <c r="K854" s="21">
        <f>SUM(T850:T853)</f>
        <v>1111.48</v>
      </c>
      <c r="L854" s="21"/>
    </row>
    <row r="855" spans="1:22" ht="14.25" x14ac:dyDescent="0.2">
      <c r="A855" s="18"/>
      <c r="B855" s="18"/>
      <c r="C855" s="18"/>
      <c r="D855" s="18" t="s">
        <v>1105</v>
      </c>
      <c r="E855" s="19" t="s">
        <v>1106</v>
      </c>
      <c r="F855" s="9">
        <f>Source!AQ741</f>
        <v>18</v>
      </c>
      <c r="G855" s="21"/>
      <c r="H855" s="20" t="str">
        <f>Source!DI741</f>
        <v/>
      </c>
      <c r="I855" s="9">
        <f>Source!AV741</f>
        <v>1</v>
      </c>
      <c r="J855" s="9"/>
      <c r="K855" s="21"/>
      <c r="L855" s="21">
        <f>Source!U741</f>
        <v>18</v>
      </c>
    </row>
    <row r="856" spans="1:22" ht="15" x14ac:dyDescent="0.25">
      <c r="A856" s="23"/>
      <c r="B856" s="23"/>
      <c r="C856" s="23"/>
      <c r="D856" s="23"/>
      <c r="E856" s="23"/>
      <c r="F856" s="23"/>
      <c r="G856" s="23"/>
      <c r="H856" s="23"/>
      <c r="I856" s="23"/>
      <c r="J856" s="44">
        <f>K851+K852+K853+K854</f>
        <v>20160.809999999998</v>
      </c>
      <c r="K856" s="44"/>
      <c r="L856" s="24">
        <f>IF(Source!I741&lt;&gt;0, ROUND(J856/Source!I741, 2), 0)</f>
        <v>20160.810000000001</v>
      </c>
      <c r="P856" s="22">
        <f>J856</f>
        <v>20160.809999999998</v>
      </c>
    </row>
    <row r="857" spans="1:22" ht="57" x14ac:dyDescent="0.2">
      <c r="A857" s="18">
        <v>90</v>
      </c>
      <c r="B857" s="18">
        <v>90</v>
      </c>
      <c r="C857" s="18" t="str">
        <f>Source!F743</f>
        <v>1.21-2203-2-5/1</v>
      </c>
      <c r="D857" s="18" t="str">
        <f>Source!G743</f>
        <v>Техническое обслуживание силового распределительного пункта с установочными автоматами, число групп 12 (РП1-1, РП-АВР1)</v>
      </c>
      <c r="E857" s="19" t="str">
        <f>Source!H743</f>
        <v>шт.</v>
      </c>
      <c r="F857" s="9">
        <f>Source!I743</f>
        <v>2</v>
      </c>
      <c r="G857" s="21"/>
      <c r="H857" s="20"/>
      <c r="I857" s="9"/>
      <c r="J857" s="9"/>
      <c r="K857" s="21"/>
      <c r="L857" s="21"/>
      <c r="Q857">
        <f>ROUND((Source!BZ743/100)*ROUND((Source!AF743*Source!AV743)*Source!I743, 2), 2)</f>
        <v>20747.66</v>
      </c>
      <c r="R857">
        <f>Source!X743</f>
        <v>20747.66</v>
      </c>
      <c r="S857">
        <f>ROUND((Source!CA743/100)*ROUND((Source!AF743*Source!AV743)*Source!I743, 2), 2)</f>
        <v>2963.95</v>
      </c>
      <c r="T857">
        <f>Source!Y743</f>
        <v>2963.95</v>
      </c>
      <c r="U857">
        <f>ROUND((175/100)*ROUND((Source!AE743*Source!AV743)*Source!I743, 2), 2)</f>
        <v>0</v>
      </c>
      <c r="V857">
        <f>ROUND((108/100)*ROUND(Source!CS743*Source!I743, 2), 2)</f>
        <v>0</v>
      </c>
    </row>
    <row r="858" spans="1:22" ht="14.25" x14ac:dyDescent="0.2">
      <c r="A858" s="18"/>
      <c r="B858" s="18"/>
      <c r="C858" s="18"/>
      <c r="D858" s="18" t="s">
        <v>1100</v>
      </c>
      <c r="E858" s="19"/>
      <c r="F858" s="9"/>
      <c r="G858" s="21">
        <f>Source!AO743</f>
        <v>14819.76</v>
      </c>
      <c r="H858" s="20" t="str">
        <f>Source!DG743</f>
        <v/>
      </c>
      <c r="I858" s="9">
        <f>Source!AV743</f>
        <v>1</v>
      </c>
      <c r="J858" s="9">
        <f>IF(Source!BA743&lt;&gt; 0, Source!BA743, 1)</f>
        <v>1</v>
      </c>
      <c r="K858" s="21">
        <f>Source!S743</f>
        <v>29639.52</v>
      </c>
      <c r="L858" s="21"/>
    </row>
    <row r="859" spans="1:22" ht="14.25" x14ac:dyDescent="0.2">
      <c r="A859" s="18"/>
      <c r="B859" s="18"/>
      <c r="C859" s="18"/>
      <c r="D859" s="18" t="s">
        <v>1101</v>
      </c>
      <c r="E859" s="19"/>
      <c r="F859" s="9"/>
      <c r="G859" s="21">
        <f>Source!AL743</f>
        <v>205.53</v>
      </c>
      <c r="H859" s="20" t="str">
        <f>Source!DD743</f>
        <v/>
      </c>
      <c r="I859" s="9">
        <f>Source!AW743</f>
        <v>1</v>
      </c>
      <c r="J859" s="9">
        <f>IF(Source!BC743&lt;&gt; 0, Source!BC743, 1)</f>
        <v>1</v>
      </c>
      <c r="K859" s="21">
        <f>Source!P743</f>
        <v>411.06</v>
      </c>
      <c r="L859" s="21"/>
    </row>
    <row r="860" spans="1:22" ht="14.25" x14ac:dyDescent="0.2">
      <c r="A860" s="18"/>
      <c r="B860" s="18"/>
      <c r="C860" s="18"/>
      <c r="D860" s="18" t="s">
        <v>1102</v>
      </c>
      <c r="E860" s="19" t="s">
        <v>1103</v>
      </c>
      <c r="F860" s="9">
        <f>Source!AT743</f>
        <v>70</v>
      </c>
      <c r="G860" s="21"/>
      <c r="H860" s="20"/>
      <c r="I860" s="9"/>
      <c r="J860" s="9"/>
      <c r="K860" s="21">
        <f>SUM(R857:R859)</f>
        <v>20747.66</v>
      </c>
      <c r="L860" s="21"/>
    </row>
    <row r="861" spans="1:22" ht="14.25" x14ac:dyDescent="0.2">
      <c r="A861" s="18"/>
      <c r="B861" s="18"/>
      <c r="C861" s="18"/>
      <c r="D861" s="18" t="s">
        <v>1104</v>
      </c>
      <c r="E861" s="19" t="s">
        <v>1103</v>
      </c>
      <c r="F861" s="9">
        <f>Source!AU743</f>
        <v>10</v>
      </c>
      <c r="G861" s="21"/>
      <c r="H861" s="20"/>
      <c r="I861" s="9"/>
      <c r="J861" s="9"/>
      <c r="K861" s="21">
        <f>SUM(T857:T860)</f>
        <v>2963.95</v>
      </c>
      <c r="L861" s="21"/>
    </row>
    <row r="862" spans="1:22" ht="14.25" x14ac:dyDescent="0.2">
      <c r="A862" s="18"/>
      <c r="B862" s="18"/>
      <c r="C862" s="18"/>
      <c r="D862" s="18" t="s">
        <v>1105</v>
      </c>
      <c r="E862" s="19" t="s">
        <v>1106</v>
      </c>
      <c r="F862" s="9">
        <f>Source!AQ743</f>
        <v>24</v>
      </c>
      <c r="G862" s="21"/>
      <c r="H862" s="20" t="str">
        <f>Source!DI743</f>
        <v/>
      </c>
      <c r="I862" s="9">
        <f>Source!AV743</f>
        <v>1</v>
      </c>
      <c r="J862" s="9"/>
      <c r="K862" s="21"/>
      <c r="L862" s="21">
        <f>Source!U743</f>
        <v>48</v>
      </c>
    </row>
    <row r="863" spans="1:22" ht="15" x14ac:dyDescent="0.25">
      <c r="A863" s="23"/>
      <c r="B863" s="23"/>
      <c r="C863" s="23"/>
      <c r="D863" s="23"/>
      <c r="E863" s="23"/>
      <c r="F863" s="23"/>
      <c r="G863" s="23"/>
      <c r="H863" s="23"/>
      <c r="I863" s="23"/>
      <c r="J863" s="44">
        <f>K858+K859+K860+K861</f>
        <v>53762.19</v>
      </c>
      <c r="K863" s="44"/>
      <c r="L863" s="24">
        <f>IF(Source!I743&lt;&gt;0, ROUND(J863/Source!I743, 2), 0)</f>
        <v>26881.1</v>
      </c>
      <c r="P863" s="22">
        <f>J863</f>
        <v>53762.19</v>
      </c>
    </row>
    <row r="864" spans="1:22" ht="57" x14ac:dyDescent="0.2">
      <c r="A864" s="18">
        <v>91</v>
      </c>
      <c r="B864" s="18">
        <v>91</v>
      </c>
      <c r="C864" s="18" t="str">
        <f>Source!F745</f>
        <v>1.21-2203-27-2/1</v>
      </c>
      <c r="D864" s="18" t="str">
        <f>Source!G745</f>
        <v>Техническое обслуживание контакторов номинальный ток до 250 А  /Контактор c катушкой управления AC 230В КМ-1-20 «EKF»</v>
      </c>
      <c r="E864" s="19" t="str">
        <f>Source!H745</f>
        <v>шт.</v>
      </c>
      <c r="F864" s="9">
        <f>Source!I745</f>
        <v>2</v>
      </c>
      <c r="G864" s="21"/>
      <c r="H864" s="20"/>
      <c r="I864" s="9"/>
      <c r="J864" s="9"/>
      <c r="K864" s="21"/>
      <c r="L864" s="21"/>
      <c r="Q864">
        <f>ROUND((Source!BZ745/100)*ROUND((Source!AF745*Source!AV745)*Source!I745, 2), 2)</f>
        <v>557.41</v>
      </c>
      <c r="R864">
        <f>Source!X745</f>
        <v>557.41</v>
      </c>
      <c r="S864">
        <f>ROUND((Source!CA745/100)*ROUND((Source!AF745*Source!AV745)*Source!I745, 2), 2)</f>
        <v>79.63</v>
      </c>
      <c r="T864">
        <f>Source!Y745</f>
        <v>79.63</v>
      </c>
      <c r="U864">
        <f>ROUND((175/100)*ROUND((Source!AE745*Source!AV745)*Source!I745, 2), 2)</f>
        <v>0</v>
      </c>
      <c r="V864">
        <f>ROUND((108/100)*ROUND(Source!CS745*Source!I745, 2), 2)</f>
        <v>0</v>
      </c>
    </row>
    <row r="865" spans="1:22" ht="14.25" x14ac:dyDescent="0.2">
      <c r="A865" s="18"/>
      <c r="B865" s="18"/>
      <c r="C865" s="18"/>
      <c r="D865" s="18" t="s">
        <v>1100</v>
      </c>
      <c r="E865" s="19"/>
      <c r="F865" s="9"/>
      <c r="G865" s="21">
        <f>Source!AO745</f>
        <v>398.15</v>
      </c>
      <c r="H865" s="20" t="str">
        <f>Source!DG745</f>
        <v/>
      </c>
      <c r="I865" s="9">
        <f>Source!AV745</f>
        <v>1</v>
      </c>
      <c r="J865" s="9">
        <f>IF(Source!BA745&lt;&gt; 0, Source!BA745, 1)</f>
        <v>1</v>
      </c>
      <c r="K865" s="21">
        <f>Source!S745</f>
        <v>796.3</v>
      </c>
      <c r="L865" s="21"/>
    </row>
    <row r="866" spans="1:22" ht="14.25" x14ac:dyDescent="0.2">
      <c r="A866" s="18"/>
      <c r="B866" s="18"/>
      <c r="C866" s="18"/>
      <c r="D866" s="18" t="s">
        <v>1101</v>
      </c>
      <c r="E866" s="19"/>
      <c r="F866" s="9"/>
      <c r="G866" s="21">
        <f>Source!AL745</f>
        <v>25.85</v>
      </c>
      <c r="H866" s="20" t="str">
        <f>Source!DD745</f>
        <v/>
      </c>
      <c r="I866" s="9">
        <f>Source!AW745</f>
        <v>1</v>
      </c>
      <c r="J866" s="9">
        <f>IF(Source!BC745&lt;&gt; 0, Source!BC745, 1)</f>
        <v>1</v>
      </c>
      <c r="K866" s="21">
        <f>Source!P745</f>
        <v>51.7</v>
      </c>
      <c r="L866" s="21"/>
    </row>
    <row r="867" spans="1:22" ht="14.25" x14ac:dyDescent="0.2">
      <c r="A867" s="18"/>
      <c r="B867" s="18"/>
      <c r="C867" s="18"/>
      <c r="D867" s="18" t="s">
        <v>1102</v>
      </c>
      <c r="E867" s="19" t="s">
        <v>1103</v>
      </c>
      <c r="F867" s="9">
        <f>Source!AT745</f>
        <v>70</v>
      </c>
      <c r="G867" s="21"/>
      <c r="H867" s="20"/>
      <c r="I867" s="9"/>
      <c r="J867" s="9"/>
      <c r="K867" s="21">
        <f>SUM(R864:R866)</f>
        <v>557.41</v>
      </c>
      <c r="L867" s="21"/>
    </row>
    <row r="868" spans="1:22" ht="14.25" x14ac:dyDescent="0.2">
      <c r="A868" s="18"/>
      <c r="B868" s="18"/>
      <c r="C868" s="18"/>
      <c r="D868" s="18" t="s">
        <v>1104</v>
      </c>
      <c r="E868" s="19" t="s">
        <v>1103</v>
      </c>
      <c r="F868" s="9">
        <f>Source!AU745</f>
        <v>10</v>
      </c>
      <c r="G868" s="21"/>
      <c r="H868" s="20"/>
      <c r="I868" s="9"/>
      <c r="J868" s="9"/>
      <c r="K868" s="21">
        <f>SUM(T864:T867)</f>
        <v>79.63</v>
      </c>
      <c r="L868" s="21"/>
    </row>
    <row r="869" spans="1:22" ht="14.25" x14ac:dyDescent="0.2">
      <c r="A869" s="18"/>
      <c r="B869" s="18"/>
      <c r="C869" s="18"/>
      <c r="D869" s="18" t="s">
        <v>1105</v>
      </c>
      <c r="E869" s="19" t="s">
        <v>1106</v>
      </c>
      <c r="F869" s="9">
        <f>Source!AQ745</f>
        <v>0.6</v>
      </c>
      <c r="G869" s="21"/>
      <c r="H869" s="20" t="str">
        <f>Source!DI745</f>
        <v/>
      </c>
      <c r="I869" s="9">
        <f>Source!AV745</f>
        <v>1</v>
      </c>
      <c r="J869" s="9"/>
      <c r="K869" s="21"/>
      <c r="L869" s="21">
        <f>Source!U745</f>
        <v>1.2</v>
      </c>
    </row>
    <row r="870" spans="1:22" ht="15" x14ac:dyDescent="0.25">
      <c r="A870" s="23"/>
      <c r="B870" s="23"/>
      <c r="C870" s="23"/>
      <c r="D870" s="23"/>
      <c r="E870" s="23"/>
      <c r="F870" s="23"/>
      <c r="G870" s="23"/>
      <c r="H870" s="23"/>
      <c r="I870" s="23"/>
      <c r="J870" s="44">
        <f>K865+K866+K867+K868</f>
        <v>1485.04</v>
      </c>
      <c r="K870" s="44"/>
      <c r="L870" s="24">
        <f>IF(Source!I745&lt;&gt;0, ROUND(J870/Source!I745, 2), 0)</f>
        <v>742.52</v>
      </c>
      <c r="P870" s="22">
        <f>J870</f>
        <v>1485.04</v>
      </c>
    </row>
    <row r="871" spans="1:22" ht="42.75" x14ac:dyDescent="0.2">
      <c r="A871" s="18">
        <v>92</v>
      </c>
      <c r="B871" s="18">
        <v>92</v>
      </c>
      <c r="C871" s="18" t="str">
        <f>Source!F746</f>
        <v>1.21-2303-32-1/1</v>
      </c>
      <c r="D871" s="18" t="str">
        <f>Source!G746</f>
        <v>Техническое обслуживание быстродействующего автоматического ввода резерва (БАВР)</v>
      </c>
      <c r="E871" s="19" t="str">
        <f>Source!H746</f>
        <v>шт.</v>
      </c>
      <c r="F871" s="9">
        <f>Source!I746</f>
        <v>1</v>
      </c>
      <c r="G871" s="21"/>
      <c r="H871" s="20"/>
      <c r="I871" s="9"/>
      <c r="J871" s="9"/>
      <c r="K871" s="21"/>
      <c r="L871" s="21"/>
      <c r="Q871">
        <f>ROUND((Source!BZ746/100)*ROUND((Source!AF746*Source!AV746)*Source!I746, 2), 2)</f>
        <v>1202.17</v>
      </c>
      <c r="R871">
        <f>Source!X746</f>
        <v>1202.17</v>
      </c>
      <c r="S871">
        <f>ROUND((Source!CA746/100)*ROUND((Source!AF746*Source!AV746)*Source!I746, 2), 2)</f>
        <v>171.74</v>
      </c>
      <c r="T871">
        <f>Source!Y746</f>
        <v>171.74</v>
      </c>
      <c r="U871">
        <f>ROUND((175/100)*ROUND((Source!AE746*Source!AV746)*Source!I746, 2), 2)</f>
        <v>0</v>
      </c>
      <c r="V871">
        <f>ROUND((108/100)*ROUND(Source!CS746*Source!I746, 2), 2)</f>
        <v>0</v>
      </c>
    </row>
    <row r="872" spans="1:22" ht="14.25" x14ac:dyDescent="0.2">
      <c r="A872" s="18"/>
      <c r="B872" s="18"/>
      <c r="C872" s="18"/>
      <c r="D872" s="18" t="s">
        <v>1100</v>
      </c>
      <c r="E872" s="19"/>
      <c r="F872" s="9"/>
      <c r="G872" s="21">
        <f>Source!AO746</f>
        <v>1717.38</v>
      </c>
      <c r="H872" s="20" t="str">
        <f>Source!DG746</f>
        <v/>
      </c>
      <c r="I872" s="9">
        <f>Source!AV746</f>
        <v>1</v>
      </c>
      <c r="J872" s="9">
        <f>IF(Source!BA746&lt;&gt; 0, Source!BA746, 1)</f>
        <v>1</v>
      </c>
      <c r="K872" s="21">
        <f>Source!S746</f>
        <v>1717.38</v>
      </c>
      <c r="L872" s="21"/>
    </row>
    <row r="873" spans="1:22" ht="14.25" x14ac:dyDescent="0.2">
      <c r="A873" s="18"/>
      <c r="B873" s="18"/>
      <c r="C873" s="18"/>
      <c r="D873" s="18" t="s">
        <v>1101</v>
      </c>
      <c r="E873" s="19"/>
      <c r="F873" s="9"/>
      <c r="G873" s="21">
        <f>Source!AL746</f>
        <v>1206.82</v>
      </c>
      <c r="H873" s="20" t="str">
        <f>Source!DD746</f>
        <v/>
      </c>
      <c r="I873" s="9">
        <f>Source!AW746</f>
        <v>1</v>
      </c>
      <c r="J873" s="9">
        <f>IF(Source!BC746&lt;&gt; 0, Source!BC746, 1)</f>
        <v>1</v>
      </c>
      <c r="K873" s="21">
        <f>Source!P746</f>
        <v>1206.82</v>
      </c>
      <c r="L873" s="21"/>
    </row>
    <row r="874" spans="1:22" ht="14.25" x14ac:dyDescent="0.2">
      <c r="A874" s="18"/>
      <c r="B874" s="18"/>
      <c r="C874" s="18"/>
      <c r="D874" s="18" t="s">
        <v>1102</v>
      </c>
      <c r="E874" s="19" t="s">
        <v>1103</v>
      </c>
      <c r="F874" s="9">
        <f>Source!AT746</f>
        <v>70</v>
      </c>
      <c r="G874" s="21"/>
      <c r="H874" s="20"/>
      <c r="I874" s="9"/>
      <c r="J874" s="9"/>
      <c r="K874" s="21">
        <f>SUM(R871:R873)</f>
        <v>1202.17</v>
      </c>
      <c r="L874" s="21"/>
    </row>
    <row r="875" spans="1:22" ht="14.25" x14ac:dyDescent="0.2">
      <c r="A875" s="18"/>
      <c r="B875" s="18"/>
      <c r="C875" s="18"/>
      <c r="D875" s="18" t="s">
        <v>1104</v>
      </c>
      <c r="E875" s="19" t="s">
        <v>1103</v>
      </c>
      <c r="F875" s="9">
        <f>Source!AU746</f>
        <v>10</v>
      </c>
      <c r="G875" s="21"/>
      <c r="H875" s="20"/>
      <c r="I875" s="9"/>
      <c r="J875" s="9"/>
      <c r="K875" s="21">
        <f>SUM(T871:T874)</f>
        <v>171.74</v>
      </c>
      <c r="L875" s="21"/>
    </row>
    <row r="876" spans="1:22" ht="14.25" x14ac:dyDescent="0.2">
      <c r="A876" s="18"/>
      <c r="B876" s="18"/>
      <c r="C876" s="18"/>
      <c r="D876" s="18" t="s">
        <v>1105</v>
      </c>
      <c r="E876" s="19" t="s">
        <v>1106</v>
      </c>
      <c r="F876" s="9">
        <f>Source!AQ746</f>
        <v>2.42</v>
      </c>
      <c r="G876" s="21"/>
      <c r="H876" s="20" t="str">
        <f>Source!DI746</f>
        <v/>
      </c>
      <c r="I876" s="9">
        <f>Source!AV746</f>
        <v>1</v>
      </c>
      <c r="J876" s="9"/>
      <c r="K876" s="21"/>
      <c r="L876" s="21">
        <f>Source!U746</f>
        <v>2.42</v>
      </c>
    </row>
    <row r="877" spans="1:22" ht="15" x14ac:dyDescent="0.25">
      <c r="A877" s="23"/>
      <c r="B877" s="23"/>
      <c r="C877" s="23"/>
      <c r="D877" s="23"/>
      <c r="E877" s="23"/>
      <c r="F877" s="23"/>
      <c r="G877" s="23"/>
      <c r="H877" s="23"/>
      <c r="I877" s="23"/>
      <c r="J877" s="44">
        <f>K872+K873+K874+K875</f>
        <v>4298.1099999999997</v>
      </c>
      <c r="K877" s="44"/>
      <c r="L877" s="24">
        <f>IF(Source!I746&lt;&gt;0, ROUND(J877/Source!I746, 2), 0)</f>
        <v>4298.1099999999997</v>
      </c>
      <c r="P877" s="22">
        <f>J877</f>
        <v>4298.1099999999997</v>
      </c>
    </row>
    <row r="878" spans="1:22" ht="57" x14ac:dyDescent="0.2">
      <c r="A878" s="18">
        <v>93</v>
      </c>
      <c r="B878" s="18">
        <v>93</v>
      </c>
      <c r="C878" s="18" t="str">
        <f>Source!F749</f>
        <v>1.21-2103-9-3/1</v>
      </c>
      <c r="D878" s="18" t="str">
        <f>Source!G749</f>
        <v>Техническое обслуживание силовых сетей, проложенных по кирпичным и бетонным основаниям, провод сечением 4х1,5-6 мм2</v>
      </c>
      <c r="E878" s="19" t="str">
        <f>Source!H749</f>
        <v>100 м</v>
      </c>
      <c r="F878" s="9">
        <f>Source!I749</f>
        <v>4.0000000000000001E-3</v>
      </c>
      <c r="G878" s="21"/>
      <c r="H878" s="20"/>
      <c r="I878" s="9"/>
      <c r="J878" s="9"/>
      <c r="K878" s="21"/>
      <c r="L878" s="21"/>
      <c r="Q878">
        <f>ROUND((Source!BZ749/100)*ROUND((Source!AF749*Source!AV749)*Source!I749, 2), 2)</f>
        <v>16.809999999999999</v>
      </c>
      <c r="R878">
        <f>Source!X749</f>
        <v>16.809999999999999</v>
      </c>
      <c r="S878">
        <f>ROUND((Source!CA749/100)*ROUND((Source!AF749*Source!AV749)*Source!I749, 2), 2)</f>
        <v>2.4</v>
      </c>
      <c r="T878">
        <f>Source!Y749</f>
        <v>2.4</v>
      </c>
      <c r="U878">
        <f>ROUND((175/100)*ROUND((Source!AE749*Source!AV749)*Source!I749, 2), 2)</f>
        <v>0</v>
      </c>
      <c r="V878">
        <f>ROUND((108/100)*ROUND(Source!CS749*Source!I749, 2), 2)</f>
        <v>0</v>
      </c>
    </row>
    <row r="879" spans="1:22" x14ac:dyDescent="0.2">
      <c r="D879" s="28" t="str">
        <f>"Объем: "&amp;Source!I749&amp;"=(10+"&amp;"10)*"&amp;"0,2*"&amp;"0,1/"&amp;"100"</f>
        <v>Объем: 0,004=(10+10)*0,2*0,1/100</v>
      </c>
    </row>
    <row r="880" spans="1:22" ht="14.25" x14ac:dyDescent="0.2">
      <c r="A880" s="18"/>
      <c r="B880" s="18"/>
      <c r="C880" s="18"/>
      <c r="D880" s="18" t="s">
        <v>1100</v>
      </c>
      <c r="E880" s="19"/>
      <c r="F880" s="9"/>
      <c r="G880" s="21">
        <f>Source!AO749</f>
        <v>6006.24</v>
      </c>
      <c r="H880" s="20" t="str">
        <f>Source!DG749</f>
        <v/>
      </c>
      <c r="I880" s="9">
        <f>Source!AV749</f>
        <v>1</v>
      </c>
      <c r="J880" s="9">
        <f>IF(Source!BA749&lt;&gt; 0, Source!BA749, 1)</f>
        <v>1</v>
      </c>
      <c r="K880" s="21">
        <f>Source!S749</f>
        <v>24.02</v>
      </c>
      <c r="L880" s="21"/>
    </row>
    <row r="881" spans="1:22" ht="14.25" x14ac:dyDescent="0.2">
      <c r="A881" s="18"/>
      <c r="B881" s="18"/>
      <c r="C881" s="18"/>
      <c r="D881" s="18" t="s">
        <v>1101</v>
      </c>
      <c r="E881" s="19"/>
      <c r="F881" s="9"/>
      <c r="G881" s="21">
        <f>Source!AL749</f>
        <v>14.63</v>
      </c>
      <c r="H881" s="20" t="str">
        <f>Source!DD749</f>
        <v/>
      </c>
      <c r="I881" s="9">
        <f>Source!AW749</f>
        <v>1</v>
      </c>
      <c r="J881" s="9">
        <f>IF(Source!BC749&lt;&gt; 0, Source!BC749, 1)</f>
        <v>1</v>
      </c>
      <c r="K881" s="21">
        <f>Source!P749</f>
        <v>0.06</v>
      </c>
      <c r="L881" s="21"/>
    </row>
    <row r="882" spans="1:22" ht="14.25" x14ac:dyDescent="0.2">
      <c r="A882" s="18"/>
      <c r="B882" s="18"/>
      <c r="C882" s="18"/>
      <c r="D882" s="18" t="s">
        <v>1102</v>
      </c>
      <c r="E882" s="19" t="s">
        <v>1103</v>
      </c>
      <c r="F882" s="9">
        <f>Source!AT749</f>
        <v>70</v>
      </c>
      <c r="G882" s="21"/>
      <c r="H882" s="20"/>
      <c r="I882" s="9"/>
      <c r="J882" s="9"/>
      <c r="K882" s="21">
        <f>SUM(R878:R881)</f>
        <v>16.809999999999999</v>
      </c>
      <c r="L882" s="21"/>
    </row>
    <row r="883" spans="1:22" ht="14.25" x14ac:dyDescent="0.2">
      <c r="A883" s="18"/>
      <c r="B883" s="18"/>
      <c r="C883" s="18"/>
      <c r="D883" s="18" t="s">
        <v>1104</v>
      </c>
      <c r="E883" s="19" t="s">
        <v>1103</v>
      </c>
      <c r="F883" s="9">
        <f>Source!AU749</f>
        <v>10</v>
      </c>
      <c r="G883" s="21"/>
      <c r="H883" s="20"/>
      <c r="I883" s="9"/>
      <c r="J883" s="9"/>
      <c r="K883" s="21">
        <f>SUM(T878:T882)</f>
        <v>2.4</v>
      </c>
      <c r="L883" s="21"/>
    </row>
    <row r="884" spans="1:22" ht="14.25" x14ac:dyDescent="0.2">
      <c r="A884" s="18"/>
      <c r="B884" s="18"/>
      <c r="C884" s="18"/>
      <c r="D884" s="18" t="s">
        <v>1105</v>
      </c>
      <c r="E884" s="19" t="s">
        <v>1106</v>
      </c>
      <c r="F884" s="9">
        <f>Source!AQ749</f>
        <v>11.22</v>
      </c>
      <c r="G884" s="21"/>
      <c r="H884" s="20" t="str">
        <f>Source!DI749</f>
        <v/>
      </c>
      <c r="I884" s="9">
        <f>Source!AV749</f>
        <v>1</v>
      </c>
      <c r="J884" s="9"/>
      <c r="K884" s="21"/>
      <c r="L884" s="21">
        <f>Source!U749</f>
        <v>4.4880000000000003E-2</v>
      </c>
    </row>
    <row r="885" spans="1:22" ht="15" x14ac:dyDescent="0.25">
      <c r="A885" s="23"/>
      <c r="B885" s="23"/>
      <c r="C885" s="23"/>
      <c r="D885" s="23"/>
      <c r="E885" s="23"/>
      <c r="F885" s="23"/>
      <c r="G885" s="23"/>
      <c r="H885" s="23"/>
      <c r="I885" s="23"/>
      <c r="J885" s="44">
        <f>K880+K881+K882+K883</f>
        <v>43.29</v>
      </c>
      <c r="K885" s="44"/>
      <c r="L885" s="24">
        <f>IF(Source!I749&lt;&gt;0, ROUND(J885/Source!I749, 2), 0)</f>
        <v>10822.5</v>
      </c>
      <c r="P885" s="22">
        <f>J885</f>
        <v>43.29</v>
      </c>
    </row>
    <row r="886" spans="1:22" ht="71.25" x14ac:dyDescent="0.2">
      <c r="A886" s="18">
        <v>94</v>
      </c>
      <c r="B886" s="18">
        <v>94</v>
      </c>
      <c r="C886" s="18" t="str">
        <f>Source!F750</f>
        <v>1.21-2103-9-4/1</v>
      </c>
      <c r="D886" s="18" t="str">
        <f>Source!G750</f>
        <v>Техническое обслуживание силовых сетей, проложенных по кирпичным и бетонным основаниям, добавлять на каждый следующий провод к поз. 21-2103-9-3</v>
      </c>
      <c r="E886" s="19" t="str">
        <f>Source!H750</f>
        <v>100 м</v>
      </c>
      <c r="F886" s="9">
        <f>Source!I750</f>
        <v>0.02</v>
      </c>
      <c r="G886" s="21"/>
      <c r="H886" s="20"/>
      <c r="I886" s="9"/>
      <c r="J886" s="9"/>
      <c r="K886" s="21"/>
      <c r="L886" s="21"/>
      <c r="Q886">
        <f>ROUND((Source!BZ750/100)*ROUND((Source!AF750*Source!AV750)*Source!I750, 2), 2)</f>
        <v>15.29</v>
      </c>
      <c r="R886">
        <f>Source!X750</f>
        <v>15.29</v>
      </c>
      <c r="S886">
        <f>ROUND((Source!CA750/100)*ROUND((Source!AF750*Source!AV750)*Source!I750, 2), 2)</f>
        <v>2.1800000000000002</v>
      </c>
      <c r="T886">
        <f>Source!Y750</f>
        <v>2.1800000000000002</v>
      </c>
      <c r="U886">
        <f>ROUND((175/100)*ROUND((Source!AE750*Source!AV750)*Source!I750, 2), 2)</f>
        <v>0</v>
      </c>
      <c r="V886">
        <f>ROUND((108/100)*ROUND(Source!CS750*Source!I750, 2), 2)</f>
        <v>0</v>
      </c>
    </row>
    <row r="887" spans="1:22" x14ac:dyDescent="0.2">
      <c r="D887" s="28" t="str">
        <f>"Объем: "&amp;Source!I750&amp;"=(10+"&amp;"10)*"&amp;"0,1/"&amp;"100"</f>
        <v>Объем: 0,02=(10+10)*0,1/100</v>
      </c>
    </row>
    <row r="888" spans="1:22" ht="14.25" x14ac:dyDescent="0.2">
      <c r="A888" s="18"/>
      <c r="B888" s="18"/>
      <c r="C888" s="18"/>
      <c r="D888" s="18" t="s">
        <v>1100</v>
      </c>
      <c r="E888" s="19"/>
      <c r="F888" s="9"/>
      <c r="G888" s="21">
        <f>Source!AO750</f>
        <v>1092.04</v>
      </c>
      <c r="H888" s="20" t="str">
        <f>Source!DG750</f>
        <v/>
      </c>
      <c r="I888" s="9">
        <f>Source!AV750</f>
        <v>1</v>
      </c>
      <c r="J888" s="9">
        <f>IF(Source!BA750&lt;&gt; 0, Source!BA750, 1)</f>
        <v>1</v>
      </c>
      <c r="K888" s="21">
        <f>Source!S750</f>
        <v>21.84</v>
      </c>
      <c r="L888" s="21"/>
    </row>
    <row r="889" spans="1:22" ht="14.25" x14ac:dyDescent="0.2">
      <c r="A889" s="18"/>
      <c r="B889" s="18"/>
      <c r="C889" s="18"/>
      <c r="D889" s="18" t="s">
        <v>1102</v>
      </c>
      <c r="E889" s="19" t="s">
        <v>1103</v>
      </c>
      <c r="F889" s="9">
        <f>Source!AT750</f>
        <v>70</v>
      </c>
      <c r="G889" s="21"/>
      <c r="H889" s="20"/>
      <c r="I889" s="9"/>
      <c r="J889" s="9"/>
      <c r="K889" s="21">
        <f>SUM(R886:R888)</f>
        <v>15.29</v>
      </c>
      <c r="L889" s="21"/>
    </row>
    <row r="890" spans="1:22" ht="14.25" x14ac:dyDescent="0.2">
      <c r="A890" s="18"/>
      <c r="B890" s="18"/>
      <c r="C890" s="18"/>
      <c r="D890" s="18" t="s">
        <v>1104</v>
      </c>
      <c r="E890" s="19" t="s">
        <v>1103</v>
      </c>
      <c r="F890" s="9">
        <f>Source!AU750</f>
        <v>10</v>
      </c>
      <c r="G890" s="21"/>
      <c r="H890" s="20"/>
      <c r="I890" s="9"/>
      <c r="J890" s="9"/>
      <c r="K890" s="21">
        <f>SUM(T886:T889)</f>
        <v>2.1800000000000002</v>
      </c>
      <c r="L890" s="21"/>
    </row>
    <row r="891" spans="1:22" ht="14.25" x14ac:dyDescent="0.2">
      <c r="A891" s="18"/>
      <c r="B891" s="18"/>
      <c r="C891" s="18"/>
      <c r="D891" s="18" t="s">
        <v>1105</v>
      </c>
      <c r="E891" s="19" t="s">
        <v>1106</v>
      </c>
      <c r="F891" s="9">
        <f>Source!AQ750</f>
        <v>2.04</v>
      </c>
      <c r="G891" s="21"/>
      <c r="H891" s="20" t="str">
        <f>Source!DI750</f>
        <v/>
      </c>
      <c r="I891" s="9">
        <f>Source!AV750</f>
        <v>1</v>
      </c>
      <c r="J891" s="9"/>
      <c r="K891" s="21"/>
      <c r="L891" s="21">
        <f>Source!U750</f>
        <v>4.0800000000000003E-2</v>
      </c>
    </row>
    <row r="892" spans="1:22" ht="15" x14ac:dyDescent="0.25">
      <c r="A892" s="23"/>
      <c r="B892" s="23"/>
      <c r="C892" s="23"/>
      <c r="D892" s="23"/>
      <c r="E892" s="23"/>
      <c r="F892" s="23"/>
      <c r="G892" s="23"/>
      <c r="H892" s="23"/>
      <c r="I892" s="23"/>
      <c r="J892" s="44">
        <f>K888+K889+K890</f>
        <v>39.309999999999995</v>
      </c>
      <c r="K892" s="44"/>
      <c r="L892" s="24">
        <f>IF(Source!I750&lt;&gt;0, ROUND(J892/Source!I750, 2), 0)</f>
        <v>1965.5</v>
      </c>
      <c r="P892" s="22">
        <f>J892</f>
        <v>39.309999999999995</v>
      </c>
    </row>
    <row r="893" spans="1:22" ht="85.5" x14ac:dyDescent="0.2">
      <c r="A893" s="18">
        <v>95</v>
      </c>
      <c r="B893" s="18">
        <v>95</v>
      </c>
      <c r="C893" s="18" t="str">
        <f>Source!F751</f>
        <v>1.21-2203-37-1/1</v>
      </c>
      <c r="D893" s="18" t="str">
        <f>Source!G751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893" s="19" t="str">
        <f>Source!H751</f>
        <v>шт.</v>
      </c>
      <c r="F893" s="9">
        <f>Source!I751</f>
        <v>2</v>
      </c>
      <c r="G893" s="21"/>
      <c r="H893" s="20"/>
      <c r="I893" s="9"/>
      <c r="J893" s="9"/>
      <c r="K893" s="21"/>
      <c r="L893" s="21"/>
      <c r="Q893">
        <f>ROUND((Source!BZ751/100)*ROUND((Source!AF751*Source!AV751)*Source!I751, 2), 2)</f>
        <v>472.23</v>
      </c>
      <c r="R893">
        <f>Source!X751</f>
        <v>472.23</v>
      </c>
      <c r="S893">
        <f>ROUND((Source!CA751/100)*ROUND((Source!AF751*Source!AV751)*Source!I751, 2), 2)</f>
        <v>67.459999999999994</v>
      </c>
      <c r="T893">
        <f>Source!Y751</f>
        <v>67.459999999999994</v>
      </c>
      <c r="U893">
        <f>ROUND((175/100)*ROUND((Source!AE751*Source!AV751)*Source!I751, 2), 2)</f>
        <v>0</v>
      </c>
      <c r="V893">
        <f>ROUND((108/100)*ROUND(Source!CS751*Source!I751, 2), 2)</f>
        <v>0</v>
      </c>
    </row>
    <row r="894" spans="1:22" ht="14.25" x14ac:dyDescent="0.2">
      <c r="A894" s="18"/>
      <c r="B894" s="18"/>
      <c r="C894" s="18"/>
      <c r="D894" s="18" t="s">
        <v>1100</v>
      </c>
      <c r="E894" s="19"/>
      <c r="F894" s="9"/>
      <c r="G894" s="21">
        <f>Source!AO751</f>
        <v>337.31</v>
      </c>
      <c r="H894" s="20" t="str">
        <f>Source!DG751</f>
        <v/>
      </c>
      <c r="I894" s="9">
        <f>Source!AV751</f>
        <v>1</v>
      </c>
      <c r="J894" s="9">
        <f>IF(Source!BA751&lt;&gt; 0, Source!BA751, 1)</f>
        <v>1</v>
      </c>
      <c r="K894" s="21">
        <f>Source!S751</f>
        <v>674.62</v>
      </c>
      <c r="L894" s="21"/>
    </row>
    <row r="895" spans="1:22" ht="14.25" x14ac:dyDescent="0.2">
      <c r="A895" s="18"/>
      <c r="B895" s="18"/>
      <c r="C895" s="18"/>
      <c r="D895" s="18" t="s">
        <v>1101</v>
      </c>
      <c r="E895" s="19"/>
      <c r="F895" s="9"/>
      <c r="G895" s="21">
        <f>Source!AL751</f>
        <v>1.57</v>
      </c>
      <c r="H895" s="20" t="str">
        <f>Source!DD751</f>
        <v/>
      </c>
      <c r="I895" s="9">
        <f>Source!AW751</f>
        <v>1</v>
      </c>
      <c r="J895" s="9">
        <f>IF(Source!BC751&lt;&gt; 0, Source!BC751, 1)</f>
        <v>1</v>
      </c>
      <c r="K895" s="21">
        <f>Source!P751</f>
        <v>3.14</v>
      </c>
      <c r="L895" s="21"/>
    </row>
    <row r="896" spans="1:22" ht="14.25" x14ac:dyDescent="0.2">
      <c r="A896" s="18"/>
      <c r="B896" s="18"/>
      <c r="C896" s="18"/>
      <c r="D896" s="18" t="s">
        <v>1102</v>
      </c>
      <c r="E896" s="19" t="s">
        <v>1103</v>
      </c>
      <c r="F896" s="9">
        <f>Source!AT751</f>
        <v>70</v>
      </c>
      <c r="G896" s="21"/>
      <c r="H896" s="20"/>
      <c r="I896" s="9"/>
      <c r="J896" s="9"/>
      <c r="K896" s="21">
        <f>SUM(R893:R895)</f>
        <v>472.23</v>
      </c>
      <c r="L896" s="21"/>
    </row>
    <row r="897" spans="1:22" ht="14.25" x14ac:dyDescent="0.2">
      <c r="A897" s="18"/>
      <c r="B897" s="18"/>
      <c r="C897" s="18"/>
      <c r="D897" s="18" t="s">
        <v>1104</v>
      </c>
      <c r="E897" s="19" t="s">
        <v>1103</v>
      </c>
      <c r="F897" s="9">
        <f>Source!AU751</f>
        <v>10</v>
      </c>
      <c r="G897" s="21"/>
      <c r="H897" s="20"/>
      <c r="I897" s="9"/>
      <c r="J897" s="9"/>
      <c r="K897" s="21">
        <f>SUM(T893:T896)</f>
        <v>67.459999999999994</v>
      </c>
      <c r="L897" s="21"/>
    </row>
    <row r="898" spans="1:22" ht="14.25" x14ac:dyDescent="0.2">
      <c r="A898" s="18"/>
      <c r="B898" s="18"/>
      <c r="C898" s="18"/>
      <c r="D898" s="18" t="s">
        <v>1105</v>
      </c>
      <c r="E898" s="19" t="s">
        <v>1106</v>
      </c>
      <c r="F898" s="9">
        <f>Source!AQ751</f>
        <v>0.6</v>
      </c>
      <c r="G898" s="21"/>
      <c r="H898" s="20" t="str">
        <f>Source!DI751</f>
        <v/>
      </c>
      <c r="I898" s="9">
        <f>Source!AV751</f>
        <v>1</v>
      </c>
      <c r="J898" s="9"/>
      <c r="K898" s="21"/>
      <c r="L898" s="21">
        <f>Source!U751</f>
        <v>1.2</v>
      </c>
    </row>
    <row r="899" spans="1:22" ht="15" x14ac:dyDescent="0.25">
      <c r="A899" s="23"/>
      <c r="B899" s="23"/>
      <c r="C899" s="23"/>
      <c r="D899" s="23"/>
      <c r="E899" s="23"/>
      <c r="F899" s="23"/>
      <c r="G899" s="23"/>
      <c r="H899" s="23"/>
      <c r="I899" s="23"/>
      <c r="J899" s="44">
        <f>K894+K895+K896+K897</f>
        <v>1217.45</v>
      </c>
      <c r="K899" s="44"/>
      <c r="L899" s="24">
        <f>IF(Source!I751&lt;&gt;0, ROUND(J899/Source!I751, 2), 0)</f>
        <v>608.73</v>
      </c>
      <c r="P899" s="22">
        <f>J899</f>
        <v>1217.45</v>
      </c>
    </row>
    <row r="900" spans="1:22" ht="42.75" x14ac:dyDescent="0.2">
      <c r="A900" s="18">
        <v>96</v>
      </c>
      <c r="B900" s="18">
        <v>96</v>
      </c>
      <c r="C900" s="18" t="str">
        <f>Source!F754</f>
        <v>1.21-2203-14-2/1</v>
      </c>
      <c r="D900" s="18" t="str">
        <f>Source!G754</f>
        <v>Техническое обслуживание шкафа учета электроэнергии, с количеством счетчиков 2</v>
      </c>
      <c r="E900" s="19" t="str">
        <f>Source!H754</f>
        <v>шт.</v>
      </c>
      <c r="F900" s="9">
        <f>Source!I754</f>
        <v>1</v>
      </c>
      <c r="G900" s="21"/>
      <c r="H900" s="20"/>
      <c r="I900" s="9"/>
      <c r="J900" s="9"/>
      <c r="K900" s="21"/>
      <c r="L900" s="21"/>
      <c r="Q900">
        <f>ROUND((Source!BZ754/100)*ROUND((Source!AF754*Source!AV754)*Source!I754, 2), 2)</f>
        <v>168.05</v>
      </c>
      <c r="R900">
        <f>Source!X754</f>
        <v>168.05</v>
      </c>
      <c r="S900">
        <f>ROUND((Source!CA754/100)*ROUND((Source!AF754*Source!AV754)*Source!I754, 2), 2)</f>
        <v>24.01</v>
      </c>
      <c r="T900">
        <f>Source!Y754</f>
        <v>24.01</v>
      </c>
      <c r="U900">
        <f>ROUND((175/100)*ROUND((Source!AE754*Source!AV754)*Source!I754, 2), 2)</f>
        <v>37.590000000000003</v>
      </c>
      <c r="V900">
        <f>ROUND((108/100)*ROUND(Source!CS754*Source!I754, 2), 2)</f>
        <v>23.2</v>
      </c>
    </row>
    <row r="901" spans="1:22" ht="14.25" x14ac:dyDescent="0.2">
      <c r="A901" s="18"/>
      <c r="B901" s="18"/>
      <c r="C901" s="18"/>
      <c r="D901" s="18" t="s">
        <v>1100</v>
      </c>
      <c r="E901" s="19"/>
      <c r="F901" s="9"/>
      <c r="G901" s="21">
        <f>Source!AO754</f>
        <v>240.07</v>
      </c>
      <c r="H901" s="20" t="str">
        <f>Source!DG754</f>
        <v/>
      </c>
      <c r="I901" s="9">
        <f>Source!AV754</f>
        <v>1</v>
      </c>
      <c r="J901" s="9">
        <f>IF(Source!BA754&lt;&gt; 0, Source!BA754, 1)</f>
        <v>1</v>
      </c>
      <c r="K901" s="21">
        <f>Source!S754</f>
        <v>240.07</v>
      </c>
      <c r="L901" s="21"/>
    </row>
    <row r="902" spans="1:22" ht="14.25" x14ac:dyDescent="0.2">
      <c r="A902" s="18"/>
      <c r="B902" s="18"/>
      <c r="C902" s="18"/>
      <c r="D902" s="18" t="s">
        <v>1107</v>
      </c>
      <c r="E902" s="19"/>
      <c r="F902" s="9"/>
      <c r="G902" s="21">
        <f>Source!AM754</f>
        <v>33.880000000000003</v>
      </c>
      <c r="H902" s="20" t="str">
        <f>Source!DE754</f>
        <v/>
      </c>
      <c r="I902" s="9">
        <f>Source!AV754</f>
        <v>1</v>
      </c>
      <c r="J902" s="9">
        <f>IF(Source!BB754&lt;&gt; 0, Source!BB754, 1)</f>
        <v>1</v>
      </c>
      <c r="K902" s="21">
        <f>Source!Q754</f>
        <v>33.880000000000003</v>
      </c>
      <c r="L902" s="21"/>
    </row>
    <row r="903" spans="1:22" ht="14.25" x14ac:dyDescent="0.2">
      <c r="A903" s="18"/>
      <c r="B903" s="18"/>
      <c r="C903" s="18"/>
      <c r="D903" s="18" t="s">
        <v>1108</v>
      </c>
      <c r="E903" s="19"/>
      <c r="F903" s="9"/>
      <c r="G903" s="21">
        <f>Source!AN754</f>
        <v>21.48</v>
      </c>
      <c r="H903" s="20" t="str">
        <f>Source!DF754</f>
        <v/>
      </c>
      <c r="I903" s="9">
        <f>Source!AV754</f>
        <v>1</v>
      </c>
      <c r="J903" s="9">
        <f>IF(Source!BS754&lt;&gt; 0, Source!BS754, 1)</f>
        <v>1</v>
      </c>
      <c r="K903" s="25">
        <f>Source!R754</f>
        <v>21.48</v>
      </c>
      <c r="L903" s="21"/>
    </row>
    <row r="904" spans="1:22" ht="14.25" x14ac:dyDescent="0.2">
      <c r="A904" s="18"/>
      <c r="B904" s="18"/>
      <c r="C904" s="18"/>
      <c r="D904" s="18" t="s">
        <v>1101</v>
      </c>
      <c r="E904" s="19"/>
      <c r="F904" s="9"/>
      <c r="G904" s="21">
        <f>Source!AL754</f>
        <v>0.09</v>
      </c>
      <c r="H904" s="20" t="str">
        <f>Source!DD754</f>
        <v/>
      </c>
      <c r="I904" s="9">
        <f>Source!AW754</f>
        <v>1</v>
      </c>
      <c r="J904" s="9">
        <f>IF(Source!BC754&lt;&gt; 0, Source!BC754, 1)</f>
        <v>1</v>
      </c>
      <c r="K904" s="21">
        <f>Source!P754</f>
        <v>0.09</v>
      </c>
      <c r="L904" s="21"/>
    </row>
    <row r="905" spans="1:22" ht="14.25" x14ac:dyDescent="0.2">
      <c r="A905" s="18"/>
      <c r="B905" s="18"/>
      <c r="C905" s="18"/>
      <c r="D905" s="18" t="s">
        <v>1102</v>
      </c>
      <c r="E905" s="19" t="s">
        <v>1103</v>
      </c>
      <c r="F905" s="9">
        <f>Source!AT754</f>
        <v>70</v>
      </c>
      <c r="G905" s="21"/>
      <c r="H905" s="20"/>
      <c r="I905" s="9"/>
      <c r="J905" s="9"/>
      <c r="K905" s="21">
        <f>SUM(R900:R904)</f>
        <v>168.05</v>
      </c>
      <c r="L905" s="21"/>
    </row>
    <row r="906" spans="1:22" ht="14.25" x14ac:dyDescent="0.2">
      <c r="A906" s="18"/>
      <c r="B906" s="18"/>
      <c r="C906" s="18"/>
      <c r="D906" s="18" t="s">
        <v>1104</v>
      </c>
      <c r="E906" s="19" t="s">
        <v>1103</v>
      </c>
      <c r="F906" s="9">
        <f>Source!AU754</f>
        <v>10</v>
      </c>
      <c r="G906" s="21"/>
      <c r="H906" s="20"/>
      <c r="I906" s="9"/>
      <c r="J906" s="9"/>
      <c r="K906" s="21">
        <f>SUM(T900:T905)</f>
        <v>24.01</v>
      </c>
      <c r="L906" s="21"/>
    </row>
    <row r="907" spans="1:22" ht="14.25" x14ac:dyDescent="0.2">
      <c r="A907" s="18"/>
      <c r="B907" s="18"/>
      <c r="C907" s="18"/>
      <c r="D907" s="18" t="s">
        <v>1109</v>
      </c>
      <c r="E907" s="19" t="s">
        <v>1103</v>
      </c>
      <c r="F907" s="9">
        <f>108</f>
        <v>108</v>
      </c>
      <c r="G907" s="21"/>
      <c r="H907" s="20"/>
      <c r="I907" s="9"/>
      <c r="J907" s="9"/>
      <c r="K907" s="21">
        <f>SUM(V900:V906)</f>
        <v>23.2</v>
      </c>
      <c r="L907" s="21"/>
    </row>
    <row r="908" spans="1:22" ht="14.25" x14ac:dyDescent="0.2">
      <c r="A908" s="18"/>
      <c r="B908" s="18"/>
      <c r="C908" s="18"/>
      <c r="D908" s="18" t="s">
        <v>1105</v>
      </c>
      <c r="E908" s="19" t="s">
        <v>1106</v>
      </c>
      <c r="F908" s="9">
        <f>Source!AQ754</f>
        <v>0.45</v>
      </c>
      <c r="G908" s="21"/>
      <c r="H908" s="20" t="str">
        <f>Source!DI754</f>
        <v/>
      </c>
      <c r="I908" s="9">
        <f>Source!AV754</f>
        <v>1</v>
      </c>
      <c r="J908" s="9"/>
      <c r="K908" s="21"/>
      <c r="L908" s="21">
        <f>Source!U754</f>
        <v>0.45</v>
      </c>
    </row>
    <row r="909" spans="1:22" ht="15" x14ac:dyDescent="0.25">
      <c r="A909" s="23"/>
      <c r="B909" s="23"/>
      <c r="C909" s="23"/>
      <c r="D909" s="23"/>
      <c r="E909" s="23"/>
      <c r="F909" s="23"/>
      <c r="G909" s="23"/>
      <c r="H909" s="23"/>
      <c r="I909" s="23"/>
      <c r="J909" s="44">
        <f>K901+K902+K904+K905+K906+K907</f>
        <v>489.29999999999995</v>
      </c>
      <c r="K909" s="44"/>
      <c r="L909" s="24">
        <f>IF(Source!I754&lt;&gt;0, ROUND(J909/Source!I754, 2), 0)</f>
        <v>489.3</v>
      </c>
      <c r="P909" s="22">
        <f>J909</f>
        <v>489.29999999999995</v>
      </c>
    </row>
    <row r="911" spans="1:22" ht="15" x14ac:dyDescent="0.25">
      <c r="C911" s="47" t="str">
        <f>Source!G755</f>
        <v>ВРУ-2</v>
      </c>
      <c r="D911" s="47"/>
      <c r="E911" s="47"/>
      <c r="F911" s="47"/>
      <c r="G911" s="47"/>
      <c r="H911" s="47"/>
      <c r="I911" s="47"/>
      <c r="J911" s="47"/>
      <c r="K911" s="47"/>
    </row>
    <row r="912" spans="1:22" ht="57" x14ac:dyDescent="0.2">
      <c r="A912" s="18">
        <v>97</v>
      </c>
      <c r="B912" s="18">
        <v>97</v>
      </c>
      <c r="C912" s="18" t="str">
        <f>Source!F756</f>
        <v>1.21-2203-8-2/1</v>
      </c>
      <c r="D912" s="18" t="str">
        <f>Source!G756</f>
        <v>Техническое обслуживание ящика ввода распределительного с рубильником и предохранителями, номинальный ток 600 А (ВП2-1, ВП2-2)</v>
      </c>
      <c r="E912" s="19" t="str">
        <f>Source!H756</f>
        <v>шт.</v>
      </c>
      <c r="F912" s="9">
        <f>Source!I756</f>
        <v>2</v>
      </c>
      <c r="G912" s="21"/>
      <c r="H912" s="20"/>
      <c r="I912" s="9"/>
      <c r="J912" s="9"/>
      <c r="K912" s="21"/>
      <c r="L912" s="21"/>
      <c r="Q912">
        <f>ROUND((Source!BZ756/100)*ROUND((Source!AF756*Source!AV756)*Source!I756, 2), 2)</f>
        <v>7780.37</v>
      </c>
      <c r="R912">
        <f>Source!X756</f>
        <v>7780.37</v>
      </c>
      <c r="S912">
        <f>ROUND((Source!CA756/100)*ROUND((Source!AF756*Source!AV756)*Source!I756, 2), 2)</f>
        <v>1111.48</v>
      </c>
      <c r="T912">
        <f>Source!Y756</f>
        <v>1111.48</v>
      </c>
      <c r="U912">
        <f>ROUND((175/100)*ROUND((Source!AE756*Source!AV756)*Source!I756, 2), 2)</f>
        <v>0</v>
      </c>
      <c r="V912">
        <f>ROUND((108/100)*ROUND(Source!CS756*Source!I756, 2), 2)</f>
        <v>0</v>
      </c>
    </row>
    <row r="913" spans="1:22" x14ac:dyDescent="0.2">
      <c r="D913" s="28" t="str">
        <f>"Объем: "&amp;Source!I756&amp;"=1+"&amp;"1"</f>
        <v>Объем: 2=1+1</v>
      </c>
    </row>
    <row r="914" spans="1:22" ht="14.25" x14ac:dyDescent="0.2">
      <c r="A914" s="18"/>
      <c r="B914" s="18"/>
      <c r="C914" s="18"/>
      <c r="D914" s="18" t="s">
        <v>1100</v>
      </c>
      <c r="E914" s="19"/>
      <c r="F914" s="9"/>
      <c r="G914" s="21">
        <f>Source!AO756</f>
        <v>5557.41</v>
      </c>
      <c r="H914" s="20" t="str">
        <f>Source!DG756</f>
        <v/>
      </c>
      <c r="I914" s="9">
        <f>Source!AV756</f>
        <v>1</v>
      </c>
      <c r="J914" s="9">
        <f>IF(Source!BA756&lt;&gt; 0, Source!BA756, 1)</f>
        <v>1</v>
      </c>
      <c r="K914" s="21">
        <f>Source!S756</f>
        <v>11114.82</v>
      </c>
      <c r="L914" s="21"/>
    </row>
    <row r="915" spans="1:22" ht="14.25" x14ac:dyDescent="0.2">
      <c r="A915" s="18"/>
      <c r="B915" s="18"/>
      <c r="C915" s="18"/>
      <c r="D915" s="18" t="s">
        <v>1101</v>
      </c>
      <c r="E915" s="19"/>
      <c r="F915" s="9"/>
      <c r="G915" s="21">
        <f>Source!AL756</f>
        <v>77.08</v>
      </c>
      <c r="H915" s="20" t="str">
        <f>Source!DD756</f>
        <v/>
      </c>
      <c r="I915" s="9">
        <f>Source!AW756</f>
        <v>1</v>
      </c>
      <c r="J915" s="9">
        <f>IF(Source!BC756&lt;&gt; 0, Source!BC756, 1)</f>
        <v>1</v>
      </c>
      <c r="K915" s="21">
        <f>Source!P756</f>
        <v>154.16</v>
      </c>
      <c r="L915" s="21"/>
    </row>
    <row r="916" spans="1:22" ht="14.25" x14ac:dyDescent="0.2">
      <c r="A916" s="18"/>
      <c r="B916" s="18"/>
      <c r="C916" s="18"/>
      <c r="D916" s="18" t="s">
        <v>1102</v>
      </c>
      <c r="E916" s="19" t="s">
        <v>1103</v>
      </c>
      <c r="F916" s="9">
        <f>Source!AT756</f>
        <v>70</v>
      </c>
      <c r="G916" s="21"/>
      <c r="H916" s="20"/>
      <c r="I916" s="9"/>
      <c r="J916" s="9"/>
      <c r="K916" s="21">
        <f>SUM(R912:R915)</f>
        <v>7780.37</v>
      </c>
      <c r="L916" s="21"/>
    </row>
    <row r="917" spans="1:22" ht="14.25" x14ac:dyDescent="0.2">
      <c r="A917" s="18"/>
      <c r="B917" s="18"/>
      <c r="C917" s="18"/>
      <c r="D917" s="18" t="s">
        <v>1104</v>
      </c>
      <c r="E917" s="19" t="s">
        <v>1103</v>
      </c>
      <c r="F917" s="9">
        <f>Source!AU756</f>
        <v>10</v>
      </c>
      <c r="G917" s="21"/>
      <c r="H917" s="20"/>
      <c r="I917" s="9"/>
      <c r="J917" s="9"/>
      <c r="K917" s="21">
        <f>SUM(T912:T916)</f>
        <v>1111.48</v>
      </c>
      <c r="L917" s="21"/>
    </row>
    <row r="918" spans="1:22" ht="14.25" x14ac:dyDescent="0.2">
      <c r="A918" s="18"/>
      <c r="B918" s="18"/>
      <c r="C918" s="18"/>
      <c r="D918" s="18" t="s">
        <v>1105</v>
      </c>
      <c r="E918" s="19" t="s">
        <v>1106</v>
      </c>
      <c r="F918" s="9">
        <f>Source!AQ756</f>
        <v>9</v>
      </c>
      <c r="G918" s="21"/>
      <c r="H918" s="20" t="str">
        <f>Source!DI756</f>
        <v/>
      </c>
      <c r="I918" s="9">
        <f>Source!AV756</f>
        <v>1</v>
      </c>
      <c r="J918" s="9"/>
      <c r="K918" s="21"/>
      <c r="L918" s="21">
        <f>Source!U756</f>
        <v>18</v>
      </c>
    </row>
    <row r="919" spans="1:22" ht="15" x14ac:dyDescent="0.25">
      <c r="A919" s="23"/>
      <c r="B919" s="23"/>
      <c r="C919" s="23"/>
      <c r="D919" s="23"/>
      <c r="E919" s="23"/>
      <c r="F919" s="23"/>
      <c r="G919" s="23"/>
      <c r="H919" s="23"/>
      <c r="I919" s="23"/>
      <c r="J919" s="44">
        <f>K914+K915+K916+K917</f>
        <v>20160.829999999998</v>
      </c>
      <c r="K919" s="44"/>
      <c r="L919" s="24">
        <f>IF(Source!I756&lt;&gt;0, ROUND(J919/Source!I756, 2), 0)</f>
        <v>10080.42</v>
      </c>
      <c r="P919" s="22">
        <f>J919</f>
        <v>20160.829999999998</v>
      </c>
    </row>
    <row r="920" spans="1:22" ht="71.25" x14ac:dyDescent="0.2">
      <c r="A920" s="18">
        <v>98</v>
      </c>
      <c r="B920" s="18">
        <v>98</v>
      </c>
      <c r="C920" s="18" t="str">
        <f>Source!F760</f>
        <v>1.21-2303-40-1/1</v>
      </c>
      <c r="D920" s="18" t="str">
        <f>Source!G760</f>
        <v>Техническое обслуживание измерителя мощности типа PM710MG на лицевой панели распределительного устройства - полугодовое</v>
      </c>
      <c r="E920" s="19" t="str">
        <f>Source!H760</f>
        <v>шт.</v>
      </c>
      <c r="F920" s="9">
        <f>Source!I760</f>
        <v>2</v>
      </c>
      <c r="G920" s="21"/>
      <c r="H920" s="20"/>
      <c r="I920" s="9"/>
      <c r="J920" s="9"/>
      <c r="K920" s="21"/>
      <c r="L920" s="21"/>
      <c r="Q920">
        <f>ROUND((Source!BZ760/100)*ROUND((Source!AF760*Source!AV760)*Source!I760, 2), 2)</f>
        <v>157.41999999999999</v>
      </c>
      <c r="R920">
        <f>Source!X760</f>
        <v>157.41999999999999</v>
      </c>
      <c r="S920">
        <f>ROUND((Source!CA760/100)*ROUND((Source!AF760*Source!AV760)*Source!I760, 2), 2)</f>
        <v>22.49</v>
      </c>
      <c r="T920">
        <f>Source!Y760</f>
        <v>22.49</v>
      </c>
      <c r="U920">
        <f>ROUND((175/100)*ROUND((Source!AE760*Source!AV760)*Source!I760, 2), 2)</f>
        <v>0</v>
      </c>
      <c r="V920">
        <f>ROUND((108/100)*ROUND(Source!CS760*Source!I760, 2), 2)</f>
        <v>0</v>
      </c>
    </row>
    <row r="921" spans="1:22" x14ac:dyDescent="0.2">
      <c r="D921" s="28" t="str">
        <f>"Объем: "&amp;Source!I760&amp;"=1+"&amp;"1"</f>
        <v>Объем: 2=1+1</v>
      </c>
    </row>
    <row r="922" spans="1:22" ht="14.25" x14ac:dyDescent="0.2">
      <c r="A922" s="18"/>
      <c r="B922" s="18"/>
      <c r="C922" s="18"/>
      <c r="D922" s="18" t="s">
        <v>1100</v>
      </c>
      <c r="E922" s="19"/>
      <c r="F922" s="9"/>
      <c r="G922" s="21">
        <f>Source!AO760</f>
        <v>112.44</v>
      </c>
      <c r="H922" s="20" t="str">
        <f>Source!DG760</f>
        <v/>
      </c>
      <c r="I922" s="9">
        <f>Source!AV760</f>
        <v>1</v>
      </c>
      <c r="J922" s="9">
        <f>IF(Source!BA760&lt;&gt; 0, Source!BA760, 1)</f>
        <v>1</v>
      </c>
      <c r="K922" s="21">
        <f>Source!S760</f>
        <v>224.88</v>
      </c>
      <c r="L922" s="21"/>
    </row>
    <row r="923" spans="1:22" ht="14.25" x14ac:dyDescent="0.2">
      <c r="A923" s="18"/>
      <c r="B923" s="18"/>
      <c r="C923" s="18"/>
      <c r="D923" s="18" t="s">
        <v>1101</v>
      </c>
      <c r="E923" s="19"/>
      <c r="F923" s="9"/>
      <c r="G923" s="21">
        <f>Source!AL760</f>
        <v>6.3</v>
      </c>
      <c r="H923" s="20" t="str">
        <f>Source!DD760</f>
        <v/>
      </c>
      <c r="I923" s="9">
        <f>Source!AW760</f>
        <v>1</v>
      </c>
      <c r="J923" s="9">
        <f>IF(Source!BC760&lt;&gt; 0, Source!BC760, 1)</f>
        <v>1</v>
      </c>
      <c r="K923" s="21">
        <f>Source!P760</f>
        <v>12.6</v>
      </c>
      <c r="L923" s="21"/>
    </row>
    <row r="924" spans="1:22" ht="14.25" x14ac:dyDescent="0.2">
      <c r="A924" s="18"/>
      <c r="B924" s="18"/>
      <c r="C924" s="18"/>
      <c r="D924" s="18" t="s">
        <v>1102</v>
      </c>
      <c r="E924" s="19" t="s">
        <v>1103</v>
      </c>
      <c r="F924" s="9">
        <f>Source!AT760</f>
        <v>70</v>
      </c>
      <c r="G924" s="21"/>
      <c r="H924" s="20"/>
      <c r="I924" s="9"/>
      <c r="J924" s="9"/>
      <c r="K924" s="21">
        <f>SUM(R920:R923)</f>
        <v>157.41999999999999</v>
      </c>
      <c r="L924" s="21"/>
    </row>
    <row r="925" spans="1:22" ht="14.25" x14ac:dyDescent="0.2">
      <c r="A925" s="18"/>
      <c r="B925" s="18"/>
      <c r="C925" s="18"/>
      <c r="D925" s="18" t="s">
        <v>1104</v>
      </c>
      <c r="E925" s="19" t="s">
        <v>1103</v>
      </c>
      <c r="F925" s="9">
        <f>Source!AU760</f>
        <v>10</v>
      </c>
      <c r="G925" s="21"/>
      <c r="H925" s="20"/>
      <c r="I925" s="9"/>
      <c r="J925" s="9"/>
      <c r="K925" s="21">
        <f>SUM(T920:T924)</f>
        <v>22.49</v>
      </c>
      <c r="L925" s="21"/>
    </row>
    <row r="926" spans="1:22" ht="14.25" x14ac:dyDescent="0.2">
      <c r="A926" s="18"/>
      <c r="B926" s="18"/>
      <c r="C926" s="18"/>
      <c r="D926" s="18" t="s">
        <v>1105</v>
      </c>
      <c r="E926" s="19" t="s">
        <v>1106</v>
      </c>
      <c r="F926" s="9">
        <f>Source!AQ760</f>
        <v>0.2</v>
      </c>
      <c r="G926" s="21"/>
      <c r="H926" s="20" t="str">
        <f>Source!DI760</f>
        <v/>
      </c>
      <c r="I926" s="9">
        <f>Source!AV760</f>
        <v>1</v>
      </c>
      <c r="J926" s="9"/>
      <c r="K926" s="21"/>
      <c r="L926" s="21">
        <f>Source!U760</f>
        <v>0.4</v>
      </c>
    </row>
    <row r="927" spans="1:22" ht="15" x14ac:dyDescent="0.25">
      <c r="A927" s="23"/>
      <c r="B927" s="23"/>
      <c r="C927" s="23"/>
      <c r="D927" s="23"/>
      <c r="E927" s="23"/>
      <c r="F927" s="23"/>
      <c r="G927" s="23"/>
      <c r="H927" s="23"/>
      <c r="I927" s="23"/>
      <c r="J927" s="44">
        <f>K922+K923+K924+K925</f>
        <v>417.39</v>
      </c>
      <c r="K927" s="44"/>
      <c r="L927" s="24">
        <f>IF(Source!I760&lt;&gt;0, ROUND(J927/Source!I760, 2), 0)</f>
        <v>208.7</v>
      </c>
      <c r="P927" s="22">
        <f>J927</f>
        <v>417.39</v>
      </c>
    </row>
    <row r="928" spans="1:22" ht="57" x14ac:dyDescent="0.2">
      <c r="A928" s="18">
        <v>99</v>
      </c>
      <c r="B928" s="18">
        <v>99</v>
      </c>
      <c r="C928" s="18" t="str">
        <f>Source!F762</f>
        <v>1.21-2203-2-5/1</v>
      </c>
      <c r="D928" s="18" t="str">
        <f>Source!G762</f>
        <v>Техническое обслуживание силового распределительного пункта с установочными автоматами, число групп 12  ( РП2-1,РП2-2)</v>
      </c>
      <c r="E928" s="19" t="str">
        <f>Source!H762</f>
        <v>шт.</v>
      </c>
      <c r="F928" s="9">
        <f>Source!I762</f>
        <v>2</v>
      </c>
      <c r="G928" s="21"/>
      <c r="H928" s="20"/>
      <c r="I928" s="9"/>
      <c r="J928" s="9"/>
      <c r="K928" s="21"/>
      <c r="L928" s="21"/>
      <c r="Q928">
        <f>ROUND((Source!BZ762/100)*ROUND((Source!AF762*Source!AV762)*Source!I762, 2), 2)</f>
        <v>20747.66</v>
      </c>
      <c r="R928">
        <f>Source!X762</f>
        <v>20747.66</v>
      </c>
      <c r="S928">
        <f>ROUND((Source!CA762/100)*ROUND((Source!AF762*Source!AV762)*Source!I762, 2), 2)</f>
        <v>2963.95</v>
      </c>
      <c r="T928">
        <f>Source!Y762</f>
        <v>2963.95</v>
      </c>
      <c r="U928">
        <f>ROUND((175/100)*ROUND((Source!AE762*Source!AV762)*Source!I762, 2), 2)</f>
        <v>0</v>
      </c>
      <c r="V928">
        <f>ROUND((108/100)*ROUND(Source!CS762*Source!I762, 2), 2)</f>
        <v>0</v>
      </c>
    </row>
    <row r="929" spans="1:22" ht="14.25" x14ac:dyDescent="0.2">
      <c r="A929" s="18"/>
      <c r="B929" s="18"/>
      <c r="C929" s="18"/>
      <c r="D929" s="18" t="s">
        <v>1100</v>
      </c>
      <c r="E929" s="19"/>
      <c r="F929" s="9"/>
      <c r="G929" s="21">
        <f>Source!AO762</f>
        <v>14819.76</v>
      </c>
      <c r="H929" s="20" t="str">
        <f>Source!DG762</f>
        <v/>
      </c>
      <c r="I929" s="9">
        <f>Source!AV762</f>
        <v>1</v>
      </c>
      <c r="J929" s="9">
        <f>IF(Source!BA762&lt;&gt; 0, Source!BA762, 1)</f>
        <v>1</v>
      </c>
      <c r="K929" s="21">
        <f>Source!S762</f>
        <v>29639.52</v>
      </c>
      <c r="L929" s="21"/>
    </row>
    <row r="930" spans="1:22" ht="14.25" x14ac:dyDescent="0.2">
      <c r="A930" s="18"/>
      <c r="B930" s="18"/>
      <c r="C930" s="18"/>
      <c r="D930" s="18" t="s">
        <v>1101</v>
      </c>
      <c r="E930" s="19"/>
      <c r="F930" s="9"/>
      <c r="G930" s="21">
        <f>Source!AL762</f>
        <v>205.53</v>
      </c>
      <c r="H930" s="20" t="str">
        <f>Source!DD762</f>
        <v/>
      </c>
      <c r="I930" s="9">
        <f>Source!AW762</f>
        <v>1</v>
      </c>
      <c r="J930" s="9">
        <f>IF(Source!BC762&lt;&gt; 0, Source!BC762, 1)</f>
        <v>1</v>
      </c>
      <c r="K930" s="21">
        <f>Source!P762</f>
        <v>411.06</v>
      </c>
      <c r="L930" s="21"/>
    </row>
    <row r="931" spans="1:22" ht="14.25" x14ac:dyDescent="0.2">
      <c r="A931" s="18"/>
      <c r="B931" s="18"/>
      <c r="C931" s="18"/>
      <c r="D931" s="18" t="s">
        <v>1102</v>
      </c>
      <c r="E931" s="19" t="s">
        <v>1103</v>
      </c>
      <c r="F931" s="9">
        <f>Source!AT762</f>
        <v>70</v>
      </c>
      <c r="G931" s="21"/>
      <c r="H931" s="20"/>
      <c r="I931" s="9"/>
      <c r="J931" s="9"/>
      <c r="K931" s="21">
        <f>SUM(R928:R930)</f>
        <v>20747.66</v>
      </c>
      <c r="L931" s="21"/>
    </row>
    <row r="932" spans="1:22" ht="14.25" x14ac:dyDescent="0.2">
      <c r="A932" s="18"/>
      <c r="B932" s="18"/>
      <c r="C932" s="18"/>
      <c r="D932" s="18" t="s">
        <v>1104</v>
      </c>
      <c r="E932" s="19" t="s">
        <v>1103</v>
      </c>
      <c r="F932" s="9">
        <f>Source!AU762</f>
        <v>10</v>
      </c>
      <c r="G932" s="21"/>
      <c r="H932" s="20"/>
      <c r="I932" s="9"/>
      <c r="J932" s="9"/>
      <c r="K932" s="21">
        <f>SUM(T928:T931)</f>
        <v>2963.95</v>
      </c>
      <c r="L932" s="21"/>
    </row>
    <row r="933" spans="1:22" ht="14.25" x14ac:dyDescent="0.2">
      <c r="A933" s="18"/>
      <c r="B933" s="18"/>
      <c r="C933" s="18"/>
      <c r="D933" s="18" t="s">
        <v>1105</v>
      </c>
      <c r="E933" s="19" t="s">
        <v>1106</v>
      </c>
      <c r="F933" s="9">
        <f>Source!AQ762</f>
        <v>24</v>
      </c>
      <c r="G933" s="21"/>
      <c r="H933" s="20" t="str">
        <f>Source!DI762</f>
        <v/>
      </c>
      <c r="I933" s="9">
        <f>Source!AV762</f>
        <v>1</v>
      </c>
      <c r="J933" s="9"/>
      <c r="K933" s="21"/>
      <c r="L933" s="21">
        <f>Source!U762</f>
        <v>48</v>
      </c>
    </row>
    <row r="934" spans="1:22" ht="15" x14ac:dyDescent="0.25">
      <c r="A934" s="23"/>
      <c r="B934" s="23"/>
      <c r="C934" s="23"/>
      <c r="D934" s="23"/>
      <c r="E934" s="23"/>
      <c r="F934" s="23"/>
      <c r="G934" s="23"/>
      <c r="H934" s="23"/>
      <c r="I934" s="23"/>
      <c r="J934" s="44">
        <f>K929+K930+K931+K932</f>
        <v>53762.19</v>
      </c>
      <c r="K934" s="44"/>
      <c r="L934" s="24">
        <f>IF(Source!I762&lt;&gt;0, ROUND(J934/Source!I762, 2), 0)</f>
        <v>26881.1</v>
      </c>
      <c r="P934" s="22">
        <f>J934</f>
        <v>53762.19</v>
      </c>
    </row>
    <row r="935" spans="1:22" ht="57" x14ac:dyDescent="0.2">
      <c r="A935" s="18">
        <v>100</v>
      </c>
      <c r="B935" s="18">
        <v>100</v>
      </c>
      <c r="C935" s="18" t="str">
        <f>Source!F766</f>
        <v>1.21-2103-9-3/1</v>
      </c>
      <c r="D935" s="18" t="str">
        <f>Source!G766</f>
        <v>Техническое обслуживание силовых сетей, проложенных по кирпичным и бетонным основаниям, провод сечением 4х1,5-6 мм2</v>
      </c>
      <c r="E935" s="19" t="str">
        <f>Source!H766</f>
        <v>100 м</v>
      </c>
      <c r="F935" s="9">
        <f>Source!I766</f>
        <v>0.02</v>
      </c>
      <c r="G935" s="21"/>
      <c r="H935" s="20"/>
      <c r="I935" s="9"/>
      <c r="J935" s="9"/>
      <c r="K935" s="21"/>
      <c r="L935" s="21"/>
      <c r="Q935">
        <f>ROUND((Source!BZ766/100)*ROUND((Source!AF766*Source!AV766)*Source!I766, 2), 2)</f>
        <v>84.08</v>
      </c>
      <c r="R935">
        <f>Source!X766</f>
        <v>84.08</v>
      </c>
      <c r="S935">
        <f>ROUND((Source!CA766/100)*ROUND((Source!AF766*Source!AV766)*Source!I766, 2), 2)</f>
        <v>12.01</v>
      </c>
      <c r="T935">
        <f>Source!Y766</f>
        <v>12.01</v>
      </c>
      <c r="U935">
        <f>ROUND((175/100)*ROUND((Source!AE766*Source!AV766)*Source!I766, 2), 2)</f>
        <v>0</v>
      </c>
      <c r="V935">
        <f>ROUND((108/100)*ROUND(Source!CS766*Source!I766, 2), 2)</f>
        <v>0</v>
      </c>
    </row>
    <row r="936" spans="1:22" x14ac:dyDescent="0.2">
      <c r="D936" s="28" t="str">
        <f>"Объем: "&amp;Source!I766&amp;"=(10+"&amp;"10)*"&amp;"0,1/"&amp;"100"</f>
        <v>Объем: 0,02=(10+10)*0,1/100</v>
      </c>
    </row>
    <row r="937" spans="1:22" ht="14.25" x14ac:dyDescent="0.2">
      <c r="A937" s="18"/>
      <c r="B937" s="18"/>
      <c r="C937" s="18"/>
      <c r="D937" s="18" t="s">
        <v>1100</v>
      </c>
      <c r="E937" s="19"/>
      <c r="F937" s="9"/>
      <c r="G937" s="21">
        <f>Source!AO766</f>
        <v>6006.24</v>
      </c>
      <c r="H937" s="20" t="str">
        <f>Source!DG766</f>
        <v/>
      </c>
      <c r="I937" s="9">
        <f>Source!AV766</f>
        <v>1</v>
      </c>
      <c r="J937" s="9">
        <f>IF(Source!BA766&lt;&gt; 0, Source!BA766, 1)</f>
        <v>1</v>
      </c>
      <c r="K937" s="21">
        <f>Source!S766</f>
        <v>120.12</v>
      </c>
      <c r="L937" s="21"/>
    </row>
    <row r="938" spans="1:22" ht="14.25" x14ac:dyDescent="0.2">
      <c r="A938" s="18"/>
      <c r="B938" s="18"/>
      <c r="C938" s="18"/>
      <c r="D938" s="18" t="s">
        <v>1101</v>
      </c>
      <c r="E938" s="19"/>
      <c r="F938" s="9"/>
      <c r="G938" s="21">
        <f>Source!AL766</f>
        <v>14.63</v>
      </c>
      <c r="H938" s="20" t="str">
        <f>Source!DD766</f>
        <v/>
      </c>
      <c r="I938" s="9">
        <f>Source!AW766</f>
        <v>1</v>
      </c>
      <c r="J938" s="9">
        <f>IF(Source!BC766&lt;&gt; 0, Source!BC766, 1)</f>
        <v>1</v>
      </c>
      <c r="K938" s="21">
        <f>Source!P766</f>
        <v>0.28999999999999998</v>
      </c>
      <c r="L938" s="21"/>
    </row>
    <row r="939" spans="1:22" ht="14.25" x14ac:dyDescent="0.2">
      <c r="A939" s="18"/>
      <c r="B939" s="18"/>
      <c r="C939" s="18"/>
      <c r="D939" s="18" t="s">
        <v>1102</v>
      </c>
      <c r="E939" s="19" t="s">
        <v>1103</v>
      </c>
      <c r="F939" s="9">
        <f>Source!AT766</f>
        <v>70</v>
      </c>
      <c r="G939" s="21"/>
      <c r="H939" s="20"/>
      <c r="I939" s="9"/>
      <c r="J939" s="9"/>
      <c r="K939" s="21">
        <f>SUM(R935:R938)</f>
        <v>84.08</v>
      </c>
      <c r="L939" s="21"/>
    </row>
    <row r="940" spans="1:22" ht="14.25" x14ac:dyDescent="0.2">
      <c r="A940" s="18"/>
      <c r="B940" s="18"/>
      <c r="C940" s="18"/>
      <c r="D940" s="18" t="s">
        <v>1104</v>
      </c>
      <c r="E940" s="19" t="s">
        <v>1103</v>
      </c>
      <c r="F940" s="9">
        <f>Source!AU766</f>
        <v>10</v>
      </c>
      <c r="G940" s="21"/>
      <c r="H940" s="20"/>
      <c r="I940" s="9"/>
      <c r="J940" s="9"/>
      <c r="K940" s="21">
        <f>SUM(T935:T939)</f>
        <v>12.01</v>
      </c>
      <c r="L940" s="21"/>
    </row>
    <row r="941" spans="1:22" ht="14.25" x14ac:dyDescent="0.2">
      <c r="A941" s="18"/>
      <c r="B941" s="18"/>
      <c r="C941" s="18"/>
      <c r="D941" s="18" t="s">
        <v>1105</v>
      </c>
      <c r="E941" s="19" t="s">
        <v>1106</v>
      </c>
      <c r="F941" s="9">
        <f>Source!AQ766</f>
        <v>11.22</v>
      </c>
      <c r="G941" s="21"/>
      <c r="H941" s="20" t="str">
        <f>Source!DI766</f>
        <v/>
      </c>
      <c r="I941" s="9">
        <f>Source!AV766</f>
        <v>1</v>
      </c>
      <c r="J941" s="9"/>
      <c r="K941" s="21"/>
      <c r="L941" s="21">
        <f>Source!U766</f>
        <v>0.22440000000000002</v>
      </c>
    </row>
    <row r="942" spans="1:22" ht="15" x14ac:dyDescent="0.25">
      <c r="A942" s="23"/>
      <c r="B942" s="23"/>
      <c r="C942" s="23"/>
      <c r="D942" s="23"/>
      <c r="E942" s="23"/>
      <c r="F942" s="23"/>
      <c r="G942" s="23"/>
      <c r="H942" s="23"/>
      <c r="I942" s="23"/>
      <c r="J942" s="44">
        <f>K937+K938+K939+K940</f>
        <v>216.5</v>
      </c>
      <c r="K942" s="44"/>
      <c r="L942" s="24">
        <f>IF(Source!I766&lt;&gt;0, ROUND(J942/Source!I766, 2), 0)</f>
        <v>10825</v>
      </c>
      <c r="P942" s="22">
        <f>J942</f>
        <v>216.5</v>
      </c>
    </row>
    <row r="943" spans="1:22" ht="71.25" x14ac:dyDescent="0.2">
      <c r="A943" s="18">
        <v>101</v>
      </c>
      <c r="B943" s="18">
        <v>101</v>
      </c>
      <c r="C943" s="18" t="str">
        <f>Source!F767</f>
        <v>1.21-2103-9-4/1</v>
      </c>
      <c r="D943" s="18" t="str">
        <f>Source!G767</f>
        <v>Техническое обслуживание силовых сетей, проложенных по кирпичным и бетонным основаниям, добавлять на каждый следующий провод к поз. 21-2103-9-3</v>
      </c>
      <c r="E943" s="19" t="str">
        <f>Source!H767</f>
        <v>100 м</v>
      </c>
      <c r="F943" s="9">
        <f>Source!I767</f>
        <v>0.02</v>
      </c>
      <c r="G943" s="21"/>
      <c r="H943" s="20"/>
      <c r="I943" s="9"/>
      <c r="J943" s="9"/>
      <c r="K943" s="21"/>
      <c r="L943" s="21"/>
      <c r="Q943">
        <f>ROUND((Source!BZ767/100)*ROUND((Source!AF767*Source!AV767)*Source!I767, 2), 2)</f>
        <v>15.29</v>
      </c>
      <c r="R943">
        <f>Source!X767</f>
        <v>15.29</v>
      </c>
      <c r="S943">
        <f>ROUND((Source!CA767/100)*ROUND((Source!AF767*Source!AV767)*Source!I767, 2), 2)</f>
        <v>2.1800000000000002</v>
      </c>
      <c r="T943">
        <f>Source!Y767</f>
        <v>2.1800000000000002</v>
      </c>
      <c r="U943">
        <f>ROUND((175/100)*ROUND((Source!AE767*Source!AV767)*Source!I767, 2), 2)</f>
        <v>0</v>
      </c>
      <c r="V943">
        <f>ROUND((108/100)*ROUND(Source!CS767*Source!I767, 2), 2)</f>
        <v>0</v>
      </c>
    </row>
    <row r="944" spans="1:22" x14ac:dyDescent="0.2">
      <c r="D944" s="28" t="str">
        <f>"Объем: "&amp;Source!I767&amp;"=(10+"&amp;"10)*"&amp;"0,1/"&amp;"100"</f>
        <v>Объем: 0,02=(10+10)*0,1/100</v>
      </c>
    </row>
    <row r="945" spans="1:22" ht="14.25" x14ac:dyDescent="0.2">
      <c r="A945" s="18"/>
      <c r="B945" s="18"/>
      <c r="C945" s="18"/>
      <c r="D945" s="18" t="s">
        <v>1100</v>
      </c>
      <c r="E945" s="19"/>
      <c r="F945" s="9"/>
      <c r="G945" s="21">
        <f>Source!AO767</f>
        <v>1092.04</v>
      </c>
      <c r="H945" s="20" t="str">
        <f>Source!DG767</f>
        <v/>
      </c>
      <c r="I945" s="9">
        <f>Source!AV767</f>
        <v>1</v>
      </c>
      <c r="J945" s="9">
        <f>IF(Source!BA767&lt;&gt; 0, Source!BA767, 1)</f>
        <v>1</v>
      </c>
      <c r="K945" s="21">
        <f>Source!S767</f>
        <v>21.84</v>
      </c>
      <c r="L945" s="21"/>
    </row>
    <row r="946" spans="1:22" ht="14.25" x14ac:dyDescent="0.2">
      <c r="A946" s="18"/>
      <c r="B946" s="18"/>
      <c r="C946" s="18"/>
      <c r="D946" s="18" t="s">
        <v>1102</v>
      </c>
      <c r="E946" s="19" t="s">
        <v>1103</v>
      </c>
      <c r="F946" s="9">
        <f>Source!AT767</f>
        <v>70</v>
      </c>
      <c r="G946" s="21"/>
      <c r="H946" s="20"/>
      <c r="I946" s="9"/>
      <c r="J946" s="9"/>
      <c r="K946" s="21">
        <f>SUM(R943:R945)</f>
        <v>15.29</v>
      </c>
      <c r="L946" s="21"/>
    </row>
    <row r="947" spans="1:22" ht="14.25" x14ac:dyDescent="0.2">
      <c r="A947" s="18"/>
      <c r="B947" s="18"/>
      <c r="C947" s="18"/>
      <c r="D947" s="18" t="s">
        <v>1104</v>
      </c>
      <c r="E947" s="19" t="s">
        <v>1103</v>
      </c>
      <c r="F947" s="9">
        <f>Source!AU767</f>
        <v>10</v>
      </c>
      <c r="G947" s="21"/>
      <c r="H947" s="20"/>
      <c r="I947" s="9"/>
      <c r="J947" s="9"/>
      <c r="K947" s="21">
        <f>SUM(T943:T946)</f>
        <v>2.1800000000000002</v>
      </c>
      <c r="L947" s="21"/>
    </row>
    <row r="948" spans="1:22" ht="14.25" x14ac:dyDescent="0.2">
      <c r="A948" s="18"/>
      <c r="B948" s="18"/>
      <c r="C948" s="18"/>
      <c r="D948" s="18" t="s">
        <v>1105</v>
      </c>
      <c r="E948" s="19" t="s">
        <v>1106</v>
      </c>
      <c r="F948" s="9">
        <f>Source!AQ767</f>
        <v>2.04</v>
      </c>
      <c r="G948" s="21"/>
      <c r="H948" s="20" t="str">
        <f>Source!DI767</f>
        <v/>
      </c>
      <c r="I948" s="9">
        <f>Source!AV767</f>
        <v>1</v>
      </c>
      <c r="J948" s="9"/>
      <c r="K948" s="21"/>
      <c r="L948" s="21">
        <f>Source!U767</f>
        <v>4.0800000000000003E-2</v>
      </c>
    </row>
    <row r="949" spans="1:22" ht="15" x14ac:dyDescent="0.25">
      <c r="A949" s="23"/>
      <c r="B949" s="23"/>
      <c r="C949" s="23"/>
      <c r="D949" s="23"/>
      <c r="E949" s="23"/>
      <c r="F949" s="23"/>
      <c r="G949" s="23"/>
      <c r="H949" s="23"/>
      <c r="I949" s="23"/>
      <c r="J949" s="44">
        <f>K945+K946+K947</f>
        <v>39.309999999999995</v>
      </c>
      <c r="K949" s="44"/>
      <c r="L949" s="24">
        <f>IF(Source!I767&lt;&gt;0, ROUND(J949/Source!I767, 2), 0)</f>
        <v>1965.5</v>
      </c>
      <c r="P949" s="22">
        <f>J949</f>
        <v>39.309999999999995</v>
      </c>
    </row>
    <row r="950" spans="1:22" ht="85.5" x14ac:dyDescent="0.2">
      <c r="A950" s="18">
        <v>102</v>
      </c>
      <c r="B950" s="18">
        <v>102</v>
      </c>
      <c r="C950" s="18" t="str">
        <f>Source!F768</f>
        <v>1.21-2203-37-1/1</v>
      </c>
      <c r="D950" s="18" t="str">
        <f>Source!G768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950" s="19" t="str">
        <f>Source!H768</f>
        <v>шт.</v>
      </c>
      <c r="F950" s="9">
        <f>Source!I768</f>
        <v>2</v>
      </c>
      <c r="G950" s="21"/>
      <c r="H950" s="20"/>
      <c r="I950" s="9"/>
      <c r="J950" s="9"/>
      <c r="K950" s="21"/>
      <c r="L950" s="21"/>
      <c r="Q950">
        <f>ROUND((Source!BZ768/100)*ROUND((Source!AF768*Source!AV768)*Source!I768, 2), 2)</f>
        <v>472.23</v>
      </c>
      <c r="R950">
        <f>Source!X768</f>
        <v>472.23</v>
      </c>
      <c r="S950">
        <f>ROUND((Source!CA768/100)*ROUND((Source!AF768*Source!AV768)*Source!I768, 2), 2)</f>
        <v>67.459999999999994</v>
      </c>
      <c r="T950">
        <f>Source!Y768</f>
        <v>67.459999999999994</v>
      </c>
      <c r="U950">
        <f>ROUND((175/100)*ROUND((Source!AE768*Source!AV768)*Source!I768, 2), 2)</f>
        <v>0</v>
      </c>
      <c r="V950">
        <f>ROUND((108/100)*ROUND(Source!CS768*Source!I768, 2), 2)</f>
        <v>0</v>
      </c>
    </row>
    <row r="951" spans="1:22" ht="14.25" x14ac:dyDescent="0.2">
      <c r="A951" s="18"/>
      <c r="B951" s="18"/>
      <c r="C951" s="18"/>
      <c r="D951" s="18" t="s">
        <v>1100</v>
      </c>
      <c r="E951" s="19"/>
      <c r="F951" s="9"/>
      <c r="G951" s="21">
        <f>Source!AO768</f>
        <v>337.31</v>
      </c>
      <c r="H951" s="20" t="str">
        <f>Source!DG768</f>
        <v/>
      </c>
      <c r="I951" s="9">
        <f>Source!AV768</f>
        <v>1</v>
      </c>
      <c r="J951" s="9">
        <f>IF(Source!BA768&lt;&gt; 0, Source!BA768, 1)</f>
        <v>1</v>
      </c>
      <c r="K951" s="21">
        <f>Source!S768</f>
        <v>674.62</v>
      </c>
      <c r="L951" s="21"/>
    </row>
    <row r="952" spans="1:22" ht="14.25" x14ac:dyDescent="0.2">
      <c r="A952" s="18"/>
      <c r="B952" s="18"/>
      <c r="C952" s="18"/>
      <c r="D952" s="18" t="s">
        <v>1101</v>
      </c>
      <c r="E952" s="19"/>
      <c r="F952" s="9"/>
      <c r="G952" s="21">
        <f>Source!AL768</f>
        <v>1.57</v>
      </c>
      <c r="H952" s="20" t="str">
        <f>Source!DD768</f>
        <v/>
      </c>
      <c r="I952" s="9">
        <f>Source!AW768</f>
        <v>1</v>
      </c>
      <c r="J952" s="9">
        <f>IF(Source!BC768&lt;&gt; 0, Source!BC768, 1)</f>
        <v>1</v>
      </c>
      <c r="K952" s="21">
        <f>Source!P768</f>
        <v>3.14</v>
      </c>
      <c r="L952" s="21"/>
    </row>
    <row r="953" spans="1:22" ht="14.25" x14ac:dyDescent="0.2">
      <c r="A953" s="18"/>
      <c r="B953" s="18"/>
      <c r="C953" s="18"/>
      <c r="D953" s="18" t="s">
        <v>1102</v>
      </c>
      <c r="E953" s="19" t="s">
        <v>1103</v>
      </c>
      <c r="F953" s="9">
        <f>Source!AT768</f>
        <v>70</v>
      </c>
      <c r="G953" s="21"/>
      <c r="H953" s="20"/>
      <c r="I953" s="9"/>
      <c r="J953" s="9"/>
      <c r="K953" s="21">
        <f>SUM(R950:R952)</f>
        <v>472.23</v>
      </c>
      <c r="L953" s="21"/>
    </row>
    <row r="954" spans="1:22" ht="14.25" x14ac:dyDescent="0.2">
      <c r="A954" s="18"/>
      <c r="B954" s="18"/>
      <c r="C954" s="18"/>
      <c r="D954" s="18" t="s">
        <v>1104</v>
      </c>
      <c r="E954" s="19" t="s">
        <v>1103</v>
      </c>
      <c r="F954" s="9">
        <f>Source!AU768</f>
        <v>10</v>
      </c>
      <c r="G954" s="21"/>
      <c r="H954" s="20"/>
      <c r="I954" s="9"/>
      <c r="J954" s="9"/>
      <c r="K954" s="21">
        <f>SUM(T950:T953)</f>
        <v>67.459999999999994</v>
      </c>
      <c r="L954" s="21"/>
    </row>
    <row r="955" spans="1:22" ht="14.25" x14ac:dyDescent="0.2">
      <c r="A955" s="18"/>
      <c r="B955" s="18"/>
      <c r="C955" s="18"/>
      <c r="D955" s="18" t="s">
        <v>1105</v>
      </c>
      <c r="E955" s="19" t="s">
        <v>1106</v>
      </c>
      <c r="F955" s="9">
        <f>Source!AQ768</f>
        <v>0.6</v>
      </c>
      <c r="G955" s="21"/>
      <c r="H955" s="20" t="str">
        <f>Source!DI768</f>
        <v/>
      </c>
      <c r="I955" s="9">
        <f>Source!AV768</f>
        <v>1</v>
      </c>
      <c r="J955" s="9"/>
      <c r="K955" s="21"/>
      <c r="L955" s="21">
        <f>Source!U768</f>
        <v>1.2</v>
      </c>
    </row>
    <row r="956" spans="1:22" ht="15" x14ac:dyDescent="0.25">
      <c r="A956" s="23"/>
      <c r="B956" s="23"/>
      <c r="C956" s="23"/>
      <c r="D956" s="23"/>
      <c r="E956" s="23"/>
      <c r="F956" s="23"/>
      <c r="G956" s="23"/>
      <c r="H956" s="23"/>
      <c r="I956" s="23"/>
      <c r="J956" s="44">
        <f>K951+K952+K953+K954</f>
        <v>1217.45</v>
      </c>
      <c r="K956" s="44"/>
      <c r="L956" s="24">
        <f>IF(Source!I768&lt;&gt;0, ROUND(J956/Source!I768, 2), 0)</f>
        <v>608.73</v>
      </c>
      <c r="P956" s="22">
        <f>J956</f>
        <v>1217.45</v>
      </c>
    </row>
    <row r="957" spans="1:22" ht="42.75" x14ac:dyDescent="0.2">
      <c r="A957" s="18">
        <v>103</v>
      </c>
      <c r="B957" s="18">
        <v>103</v>
      </c>
      <c r="C957" s="18" t="str">
        <f>Source!F771</f>
        <v>1.21-2203-14-2/1</v>
      </c>
      <c r="D957" s="18" t="str">
        <f>Source!G771</f>
        <v>Техническое обслуживание шкафа учета электроэнергии, с количеством счетчиков 2</v>
      </c>
      <c r="E957" s="19" t="str">
        <f>Source!H771</f>
        <v>шт.</v>
      </c>
      <c r="F957" s="9">
        <f>Source!I771</f>
        <v>1</v>
      </c>
      <c r="G957" s="21"/>
      <c r="H957" s="20"/>
      <c r="I957" s="9"/>
      <c r="J957" s="9"/>
      <c r="K957" s="21"/>
      <c r="L957" s="21"/>
      <c r="Q957">
        <f>ROUND((Source!BZ771/100)*ROUND((Source!AF771*Source!AV771)*Source!I771, 2), 2)</f>
        <v>168.05</v>
      </c>
      <c r="R957">
        <f>Source!X771</f>
        <v>168.05</v>
      </c>
      <c r="S957">
        <f>ROUND((Source!CA771/100)*ROUND((Source!AF771*Source!AV771)*Source!I771, 2), 2)</f>
        <v>24.01</v>
      </c>
      <c r="T957">
        <f>Source!Y771</f>
        <v>24.01</v>
      </c>
      <c r="U957">
        <f>ROUND((175/100)*ROUND((Source!AE771*Source!AV771)*Source!I771, 2), 2)</f>
        <v>37.590000000000003</v>
      </c>
      <c r="V957">
        <f>ROUND((108/100)*ROUND(Source!CS771*Source!I771, 2), 2)</f>
        <v>23.2</v>
      </c>
    </row>
    <row r="958" spans="1:22" ht="14.25" x14ac:dyDescent="0.2">
      <c r="A958" s="18"/>
      <c r="B958" s="18"/>
      <c r="C958" s="18"/>
      <c r="D958" s="18" t="s">
        <v>1100</v>
      </c>
      <c r="E958" s="19"/>
      <c r="F958" s="9"/>
      <c r="G958" s="21">
        <f>Source!AO771</f>
        <v>240.07</v>
      </c>
      <c r="H958" s="20" t="str">
        <f>Source!DG771</f>
        <v/>
      </c>
      <c r="I958" s="9">
        <f>Source!AV771</f>
        <v>1</v>
      </c>
      <c r="J958" s="9">
        <f>IF(Source!BA771&lt;&gt; 0, Source!BA771, 1)</f>
        <v>1</v>
      </c>
      <c r="K958" s="21">
        <f>Source!S771</f>
        <v>240.07</v>
      </c>
      <c r="L958" s="21"/>
    </row>
    <row r="959" spans="1:22" ht="14.25" x14ac:dyDescent="0.2">
      <c r="A959" s="18"/>
      <c r="B959" s="18"/>
      <c r="C959" s="18"/>
      <c r="D959" s="18" t="s">
        <v>1107</v>
      </c>
      <c r="E959" s="19"/>
      <c r="F959" s="9"/>
      <c r="G959" s="21">
        <f>Source!AM771</f>
        <v>33.880000000000003</v>
      </c>
      <c r="H959" s="20" t="str">
        <f>Source!DE771</f>
        <v/>
      </c>
      <c r="I959" s="9">
        <f>Source!AV771</f>
        <v>1</v>
      </c>
      <c r="J959" s="9">
        <f>IF(Source!BB771&lt;&gt; 0, Source!BB771, 1)</f>
        <v>1</v>
      </c>
      <c r="K959" s="21">
        <f>Source!Q771</f>
        <v>33.880000000000003</v>
      </c>
      <c r="L959" s="21"/>
    </row>
    <row r="960" spans="1:22" ht="14.25" x14ac:dyDescent="0.2">
      <c r="A960" s="18"/>
      <c r="B960" s="18"/>
      <c r="C960" s="18"/>
      <c r="D960" s="18" t="s">
        <v>1108</v>
      </c>
      <c r="E960" s="19"/>
      <c r="F960" s="9"/>
      <c r="G960" s="21">
        <f>Source!AN771</f>
        <v>21.48</v>
      </c>
      <c r="H960" s="20" t="str">
        <f>Source!DF771</f>
        <v/>
      </c>
      <c r="I960" s="9">
        <f>Source!AV771</f>
        <v>1</v>
      </c>
      <c r="J960" s="9">
        <f>IF(Source!BS771&lt;&gt; 0, Source!BS771, 1)</f>
        <v>1</v>
      </c>
      <c r="K960" s="25">
        <f>Source!R771</f>
        <v>21.48</v>
      </c>
      <c r="L960" s="21"/>
    </row>
    <row r="961" spans="1:22" ht="14.25" x14ac:dyDescent="0.2">
      <c r="A961" s="18"/>
      <c r="B961" s="18"/>
      <c r="C961" s="18"/>
      <c r="D961" s="18" t="s">
        <v>1101</v>
      </c>
      <c r="E961" s="19"/>
      <c r="F961" s="9"/>
      <c r="G961" s="21">
        <f>Source!AL771</f>
        <v>0.09</v>
      </c>
      <c r="H961" s="20" t="str">
        <f>Source!DD771</f>
        <v/>
      </c>
      <c r="I961" s="9">
        <f>Source!AW771</f>
        <v>1</v>
      </c>
      <c r="J961" s="9">
        <f>IF(Source!BC771&lt;&gt; 0, Source!BC771, 1)</f>
        <v>1</v>
      </c>
      <c r="K961" s="21">
        <f>Source!P771</f>
        <v>0.09</v>
      </c>
      <c r="L961" s="21"/>
    </row>
    <row r="962" spans="1:22" ht="14.25" x14ac:dyDescent="0.2">
      <c r="A962" s="18"/>
      <c r="B962" s="18"/>
      <c r="C962" s="18"/>
      <c r="D962" s="18" t="s">
        <v>1102</v>
      </c>
      <c r="E962" s="19" t="s">
        <v>1103</v>
      </c>
      <c r="F962" s="9">
        <f>Source!AT771</f>
        <v>70</v>
      </c>
      <c r="G962" s="21"/>
      <c r="H962" s="20"/>
      <c r="I962" s="9"/>
      <c r="J962" s="9"/>
      <c r="K962" s="21">
        <f>SUM(R957:R961)</f>
        <v>168.05</v>
      </c>
      <c r="L962" s="21"/>
    </row>
    <row r="963" spans="1:22" ht="14.25" x14ac:dyDescent="0.2">
      <c r="A963" s="18"/>
      <c r="B963" s="18"/>
      <c r="C963" s="18"/>
      <c r="D963" s="18" t="s">
        <v>1104</v>
      </c>
      <c r="E963" s="19" t="s">
        <v>1103</v>
      </c>
      <c r="F963" s="9">
        <f>Source!AU771</f>
        <v>10</v>
      </c>
      <c r="G963" s="21"/>
      <c r="H963" s="20"/>
      <c r="I963" s="9"/>
      <c r="J963" s="9"/>
      <c r="K963" s="21">
        <f>SUM(T957:T962)</f>
        <v>24.01</v>
      </c>
      <c r="L963" s="21"/>
    </row>
    <row r="964" spans="1:22" ht="14.25" x14ac:dyDescent="0.2">
      <c r="A964" s="18"/>
      <c r="B964" s="18"/>
      <c r="C964" s="18"/>
      <c r="D964" s="18" t="s">
        <v>1109</v>
      </c>
      <c r="E964" s="19" t="s">
        <v>1103</v>
      </c>
      <c r="F964" s="9">
        <f>108</f>
        <v>108</v>
      </c>
      <c r="G964" s="21"/>
      <c r="H964" s="20"/>
      <c r="I964" s="9"/>
      <c r="J964" s="9"/>
      <c r="K964" s="21">
        <f>SUM(V957:V963)</f>
        <v>23.2</v>
      </c>
      <c r="L964" s="21"/>
    </row>
    <row r="965" spans="1:22" ht="14.25" x14ac:dyDescent="0.2">
      <c r="A965" s="18"/>
      <c r="B965" s="18"/>
      <c r="C965" s="18"/>
      <c r="D965" s="18" t="s">
        <v>1105</v>
      </c>
      <c r="E965" s="19" t="s">
        <v>1106</v>
      </c>
      <c r="F965" s="9">
        <f>Source!AQ771</f>
        <v>0.45</v>
      </c>
      <c r="G965" s="21"/>
      <c r="H965" s="20" t="str">
        <f>Source!DI771</f>
        <v/>
      </c>
      <c r="I965" s="9">
        <f>Source!AV771</f>
        <v>1</v>
      </c>
      <c r="J965" s="9"/>
      <c r="K965" s="21"/>
      <c r="L965" s="21">
        <f>Source!U771</f>
        <v>0.45</v>
      </c>
    </row>
    <row r="966" spans="1:22" ht="15" x14ac:dyDescent="0.25">
      <c r="A966" s="23"/>
      <c r="B966" s="23"/>
      <c r="C966" s="23"/>
      <c r="D966" s="23"/>
      <c r="E966" s="23"/>
      <c r="F966" s="23"/>
      <c r="G966" s="23"/>
      <c r="H966" s="23"/>
      <c r="I966" s="23"/>
      <c r="J966" s="44">
        <f>K958+K959+K961+K962+K963+K964</f>
        <v>489.29999999999995</v>
      </c>
      <c r="K966" s="44"/>
      <c r="L966" s="24">
        <f>IF(Source!I771&lt;&gt;0, ROUND(J966/Source!I771, 2), 0)</f>
        <v>489.3</v>
      </c>
      <c r="P966" s="22">
        <f>J966</f>
        <v>489.29999999999995</v>
      </c>
    </row>
    <row r="968" spans="1:22" ht="15" x14ac:dyDescent="0.25">
      <c r="C968" s="47" t="str">
        <f>Source!G772</f>
        <v>ВРУ-3</v>
      </c>
      <c r="D968" s="47"/>
      <c r="E968" s="47"/>
      <c r="F968" s="47"/>
      <c r="G968" s="47"/>
      <c r="H968" s="47"/>
      <c r="I968" s="47"/>
      <c r="J968" s="47"/>
      <c r="K968" s="47"/>
    </row>
    <row r="969" spans="1:22" ht="57" x14ac:dyDescent="0.2">
      <c r="A969" s="18">
        <v>104</v>
      </c>
      <c r="B969" s="18">
        <v>104</v>
      </c>
      <c r="C969" s="18" t="str">
        <f>Source!F773</f>
        <v>1.21-2203-8-2/1</v>
      </c>
      <c r="D969" s="18" t="str">
        <f>Source!G773</f>
        <v>Техническое обслуживание ящика ввода распределительного с рубильником и предохранителями, номинальный ток 600 А (ВП3-1, ВП3-2)</v>
      </c>
      <c r="E969" s="19" t="str">
        <f>Source!H773</f>
        <v>шт.</v>
      </c>
      <c r="F969" s="9">
        <f>Source!I773</f>
        <v>2</v>
      </c>
      <c r="G969" s="21"/>
      <c r="H969" s="20"/>
      <c r="I969" s="9"/>
      <c r="J969" s="9"/>
      <c r="K969" s="21"/>
      <c r="L969" s="21"/>
      <c r="Q969">
        <f>ROUND((Source!BZ773/100)*ROUND((Source!AF773*Source!AV773)*Source!I773, 2), 2)</f>
        <v>7780.37</v>
      </c>
      <c r="R969">
        <f>Source!X773</f>
        <v>7780.37</v>
      </c>
      <c r="S969">
        <f>ROUND((Source!CA773/100)*ROUND((Source!AF773*Source!AV773)*Source!I773, 2), 2)</f>
        <v>1111.48</v>
      </c>
      <c r="T969">
        <f>Source!Y773</f>
        <v>1111.48</v>
      </c>
      <c r="U969">
        <f>ROUND((175/100)*ROUND((Source!AE773*Source!AV773)*Source!I773, 2), 2)</f>
        <v>0</v>
      </c>
      <c r="V969">
        <f>ROUND((108/100)*ROUND(Source!CS773*Source!I773, 2), 2)</f>
        <v>0</v>
      </c>
    </row>
    <row r="970" spans="1:22" x14ac:dyDescent="0.2">
      <c r="D970" s="28" t="str">
        <f>"Объем: "&amp;Source!I773&amp;"=1+"&amp;"1"</f>
        <v>Объем: 2=1+1</v>
      </c>
    </row>
    <row r="971" spans="1:22" ht="14.25" x14ac:dyDescent="0.2">
      <c r="A971" s="18"/>
      <c r="B971" s="18"/>
      <c r="C971" s="18"/>
      <c r="D971" s="18" t="s">
        <v>1100</v>
      </c>
      <c r="E971" s="19"/>
      <c r="F971" s="9"/>
      <c r="G971" s="21">
        <f>Source!AO773</f>
        <v>5557.41</v>
      </c>
      <c r="H971" s="20" t="str">
        <f>Source!DG773</f>
        <v/>
      </c>
      <c r="I971" s="9">
        <f>Source!AV773</f>
        <v>1</v>
      </c>
      <c r="J971" s="9">
        <f>IF(Source!BA773&lt;&gt; 0, Source!BA773, 1)</f>
        <v>1</v>
      </c>
      <c r="K971" s="21">
        <f>Source!S773</f>
        <v>11114.82</v>
      </c>
      <c r="L971" s="21"/>
    </row>
    <row r="972" spans="1:22" ht="14.25" x14ac:dyDescent="0.2">
      <c r="A972" s="18"/>
      <c r="B972" s="18"/>
      <c r="C972" s="18"/>
      <c r="D972" s="18" t="s">
        <v>1101</v>
      </c>
      <c r="E972" s="19"/>
      <c r="F972" s="9"/>
      <c r="G972" s="21">
        <f>Source!AL773</f>
        <v>77.08</v>
      </c>
      <c r="H972" s="20" t="str">
        <f>Source!DD773</f>
        <v/>
      </c>
      <c r="I972" s="9">
        <f>Source!AW773</f>
        <v>1</v>
      </c>
      <c r="J972" s="9">
        <f>IF(Source!BC773&lt;&gt; 0, Source!BC773, 1)</f>
        <v>1</v>
      </c>
      <c r="K972" s="21">
        <f>Source!P773</f>
        <v>154.16</v>
      </c>
      <c r="L972" s="21"/>
    </row>
    <row r="973" spans="1:22" ht="14.25" x14ac:dyDescent="0.2">
      <c r="A973" s="18"/>
      <c r="B973" s="18"/>
      <c r="C973" s="18"/>
      <c r="D973" s="18" t="s">
        <v>1102</v>
      </c>
      <c r="E973" s="19" t="s">
        <v>1103</v>
      </c>
      <c r="F973" s="9">
        <f>Source!AT773</f>
        <v>70</v>
      </c>
      <c r="G973" s="21"/>
      <c r="H973" s="20"/>
      <c r="I973" s="9"/>
      <c r="J973" s="9"/>
      <c r="K973" s="21">
        <f>SUM(R969:R972)</f>
        <v>7780.37</v>
      </c>
      <c r="L973" s="21"/>
    </row>
    <row r="974" spans="1:22" ht="14.25" x14ac:dyDescent="0.2">
      <c r="A974" s="18"/>
      <c r="B974" s="18"/>
      <c r="C974" s="18"/>
      <c r="D974" s="18" t="s">
        <v>1104</v>
      </c>
      <c r="E974" s="19" t="s">
        <v>1103</v>
      </c>
      <c r="F974" s="9">
        <f>Source!AU773</f>
        <v>10</v>
      </c>
      <c r="G974" s="21"/>
      <c r="H974" s="20"/>
      <c r="I974" s="9"/>
      <c r="J974" s="9"/>
      <c r="K974" s="21">
        <f>SUM(T969:T973)</f>
        <v>1111.48</v>
      </c>
      <c r="L974" s="21"/>
    </row>
    <row r="975" spans="1:22" ht="14.25" x14ac:dyDescent="0.2">
      <c r="A975" s="18"/>
      <c r="B975" s="18"/>
      <c r="C975" s="18"/>
      <c r="D975" s="18" t="s">
        <v>1105</v>
      </c>
      <c r="E975" s="19" t="s">
        <v>1106</v>
      </c>
      <c r="F975" s="9">
        <f>Source!AQ773</f>
        <v>9</v>
      </c>
      <c r="G975" s="21"/>
      <c r="H975" s="20" t="str">
        <f>Source!DI773</f>
        <v/>
      </c>
      <c r="I975" s="9">
        <f>Source!AV773</f>
        <v>1</v>
      </c>
      <c r="J975" s="9"/>
      <c r="K975" s="21"/>
      <c r="L975" s="21">
        <f>Source!U773</f>
        <v>18</v>
      </c>
    </row>
    <row r="976" spans="1:22" ht="15" x14ac:dyDescent="0.25">
      <c r="A976" s="23"/>
      <c r="B976" s="23"/>
      <c r="C976" s="23"/>
      <c r="D976" s="23"/>
      <c r="E976" s="23"/>
      <c r="F976" s="23"/>
      <c r="G976" s="23"/>
      <c r="H976" s="23"/>
      <c r="I976" s="23"/>
      <c r="J976" s="44">
        <f>K971+K972+K973+K974</f>
        <v>20160.829999999998</v>
      </c>
      <c r="K976" s="44"/>
      <c r="L976" s="24">
        <f>IF(Source!I773&lt;&gt;0, ROUND(J976/Source!I773, 2), 0)</f>
        <v>10080.42</v>
      </c>
      <c r="P976" s="22">
        <f>J976</f>
        <v>20160.829999999998</v>
      </c>
    </row>
    <row r="977" spans="1:22" ht="71.25" x14ac:dyDescent="0.2">
      <c r="A977" s="18">
        <v>105</v>
      </c>
      <c r="B977" s="18">
        <v>105</v>
      </c>
      <c r="C977" s="18" t="str">
        <f>Source!F777</f>
        <v>1.21-2303-40-1/1</v>
      </c>
      <c r="D977" s="18" t="str">
        <f>Source!G777</f>
        <v>Техническое обслуживание измерителя мощности типа PM710MG на лицевой панели распределительного устройства - полугодовое</v>
      </c>
      <c r="E977" s="19" t="str">
        <f>Source!H777</f>
        <v>шт.</v>
      </c>
      <c r="F977" s="9">
        <f>Source!I777</f>
        <v>2</v>
      </c>
      <c r="G977" s="21"/>
      <c r="H977" s="20"/>
      <c r="I977" s="9"/>
      <c r="J977" s="9"/>
      <c r="K977" s="21"/>
      <c r="L977" s="21"/>
      <c r="Q977">
        <f>ROUND((Source!BZ777/100)*ROUND((Source!AF777*Source!AV777)*Source!I777, 2), 2)</f>
        <v>157.41999999999999</v>
      </c>
      <c r="R977">
        <f>Source!X777</f>
        <v>157.41999999999999</v>
      </c>
      <c r="S977">
        <f>ROUND((Source!CA777/100)*ROUND((Source!AF777*Source!AV777)*Source!I777, 2), 2)</f>
        <v>22.49</v>
      </c>
      <c r="T977">
        <f>Source!Y777</f>
        <v>22.49</v>
      </c>
      <c r="U977">
        <f>ROUND((175/100)*ROUND((Source!AE777*Source!AV777)*Source!I777, 2), 2)</f>
        <v>0</v>
      </c>
      <c r="V977">
        <f>ROUND((108/100)*ROUND(Source!CS777*Source!I777, 2), 2)</f>
        <v>0</v>
      </c>
    </row>
    <row r="978" spans="1:22" x14ac:dyDescent="0.2">
      <c r="D978" s="28" t="str">
        <f>"Объем: "&amp;Source!I777&amp;"=1+"&amp;"1"</f>
        <v>Объем: 2=1+1</v>
      </c>
    </row>
    <row r="979" spans="1:22" ht="14.25" x14ac:dyDescent="0.2">
      <c r="A979" s="18"/>
      <c r="B979" s="18"/>
      <c r="C979" s="18"/>
      <c r="D979" s="18" t="s">
        <v>1100</v>
      </c>
      <c r="E979" s="19"/>
      <c r="F979" s="9"/>
      <c r="G979" s="21">
        <f>Source!AO777</f>
        <v>112.44</v>
      </c>
      <c r="H979" s="20" t="str">
        <f>Source!DG777</f>
        <v/>
      </c>
      <c r="I979" s="9">
        <f>Source!AV777</f>
        <v>1</v>
      </c>
      <c r="J979" s="9">
        <f>IF(Source!BA777&lt;&gt; 0, Source!BA777, 1)</f>
        <v>1</v>
      </c>
      <c r="K979" s="21">
        <f>Source!S777</f>
        <v>224.88</v>
      </c>
      <c r="L979" s="21"/>
    </row>
    <row r="980" spans="1:22" ht="14.25" x14ac:dyDescent="0.2">
      <c r="A980" s="18"/>
      <c r="B980" s="18"/>
      <c r="C980" s="18"/>
      <c r="D980" s="18" t="s">
        <v>1101</v>
      </c>
      <c r="E980" s="19"/>
      <c r="F980" s="9"/>
      <c r="G980" s="21">
        <f>Source!AL777</f>
        <v>6.3</v>
      </c>
      <c r="H980" s="20" t="str">
        <f>Source!DD777</f>
        <v/>
      </c>
      <c r="I980" s="9">
        <f>Source!AW777</f>
        <v>1</v>
      </c>
      <c r="J980" s="9">
        <f>IF(Source!BC777&lt;&gt; 0, Source!BC777, 1)</f>
        <v>1</v>
      </c>
      <c r="K980" s="21">
        <f>Source!P777</f>
        <v>12.6</v>
      </c>
      <c r="L980" s="21"/>
    </row>
    <row r="981" spans="1:22" ht="14.25" x14ac:dyDescent="0.2">
      <c r="A981" s="18"/>
      <c r="B981" s="18"/>
      <c r="C981" s="18"/>
      <c r="D981" s="18" t="s">
        <v>1102</v>
      </c>
      <c r="E981" s="19" t="s">
        <v>1103</v>
      </c>
      <c r="F981" s="9">
        <f>Source!AT777</f>
        <v>70</v>
      </c>
      <c r="G981" s="21"/>
      <c r="H981" s="20"/>
      <c r="I981" s="9"/>
      <c r="J981" s="9"/>
      <c r="K981" s="21">
        <f>SUM(R977:R980)</f>
        <v>157.41999999999999</v>
      </c>
      <c r="L981" s="21"/>
    </row>
    <row r="982" spans="1:22" ht="14.25" x14ac:dyDescent="0.2">
      <c r="A982" s="18"/>
      <c r="B982" s="18"/>
      <c r="C982" s="18"/>
      <c r="D982" s="18" t="s">
        <v>1104</v>
      </c>
      <c r="E982" s="19" t="s">
        <v>1103</v>
      </c>
      <c r="F982" s="9">
        <f>Source!AU777</f>
        <v>10</v>
      </c>
      <c r="G982" s="21"/>
      <c r="H982" s="20"/>
      <c r="I982" s="9"/>
      <c r="J982" s="9"/>
      <c r="K982" s="21">
        <f>SUM(T977:T981)</f>
        <v>22.49</v>
      </c>
      <c r="L982" s="21"/>
    </row>
    <row r="983" spans="1:22" ht="14.25" x14ac:dyDescent="0.2">
      <c r="A983" s="18"/>
      <c r="B983" s="18"/>
      <c r="C983" s="18"/>
      <c r="D983" s="18" t="s">
        <v>1105</v>
      </c>
      <c r="E983" s="19" t="s">
        <v>1106</v>
      </c>
      <c r="F983" s="9">
        <f>Source!AQ777</f>
        <v>0.2</v>
      </c>
      <c r="G983" s="21"/>
      <c r="H983" s="20" t="str">
        <f>Source!DI777</f>
        <v/>
      </c>
      <c r="I983" s="9">
        <f>Source!AV777</f>
        <v>1</v>
      </c>
      <c r="J983" s="9"/>
      <c r="K983" s="21"/>
      <c r="L983" s="21">
        <f>Source!U777</f>
        <v>0.4</v>
      </c>
    </row>
    <row r="984" spans="1:22" ht="15" x14ac:dyDescent="0.25">
      <c r="A984" s="23"/>
      <c r="B984" s="23"/>
      <c r="C984" s="23"/>
      <c r="D984" s="23"/>
      <c r="E984" s="23"/>
      <c r="F984" s="23"/>
      <c r="G984" s="23"/>
      <c r="H984" s="23"/>
      <c r="I984" s="23"/>
      <c r="J984" s="44">
        <f>K979+K980+K981+K982</f>
        <v>417.39</v>
      </c>
      <c r="K984" s="44"/>
      <c r="L984" s="24">
        <f>IF(Source!I777&lt;&gt;0, ROUND(J984/Source!I777, 2), 0)</f>
        <v>208.7</v>
      </c>
      <c r="P984" s="22">
        <f>J984</f>
        <v>417.39</v>
      </c>
    </row>
    <row r="985" spans="1:22" ht="57" x14ac:dyDescent="0.2">
      <c r="A985" s="18">
        <v>106</v>
      </c>
      <c r="B985" s="18">
        <v>106</v>
      </c>
      <c r="C985" s="18" t="str">
        <f>Source!F779</f>
        <v>1.21-2203-2-4/1</v>
      </c>
      <c r="D985" s="18" t="str">
        <f>Source!G779</f>
        <v>Техническое обслуживание силового распределительного пункта с установочными автоматами, число групп 10  ( РП3-2,ППУ-3)</v>
      </c>
      <c r="E985" s="19" t="str">
        <f>Source!H779</f>
        <v>шт.</v>
      </c>
      <c r="F985" s="9">
        <f>Source!I779</f>
        <v>1</v>
      </c>
      <c r="G985" s="21"/>
      <c r="H985" s="20"/>
      <c r="I985" s="9"/>
      <c r="J985" s="9"/>
      <c r="K985" s="21"/>
      <c r="L985" s="21"/>
      <c r="Q985">
        <f>ROUND((Source!BZ779/100)*ROUND((Source!AF779*Source!AV779)*Source!I779, 2), 2)</f>
        <v>7780.37</v>
      </c>
      <c r="R985">
        <f>Source!X779</f>
        <v>7780.37</v>
      </c>
      <c r="S985">
        <f>ROUND((Source!CA779/100)*ROUND((Source!AF779*Source!AV779)*Source!I779, 2), 2)</f>
        <v>1111.48</v>
      </c>
      <c r="T985">
        <f>Source!Y779</f>
        <v>1111.48</v>
      </c>
      <c r="U985">
        <f>ROUND((175/100)*ROUND((Source!AE779*Source!AV779)*Source!I779, 2), 2)</f>
        <v>0</v>
      </c>
      <c r="V985">
        <f>ROUND((108/100)*ROUND(Source!CS779*Source!I779, 2), 2)</f>
        <v>0</v>
      </c>
    </row>
    <row r="986" spans="1:22" ht="14.25" x14ac:dyDescent="0.2">
      <c r="A986" s="18"/>
      <c r="B986" s="18"/>
      <c r="C986" s="18"/>
      <c r="D986" s="18" t="s">
        <v>1100</v>
      </c>
      <c r="E986" s="19"/>
      <c r="F986" s="9"/>
      <c r="G986" s="21">
        <f>Source!AO779</f>
        <v>11114.82</v>
      </c>
      <c r="H986" s="20" t="str">
        <f>Source!DG779</f>
        <v/>
      </c>
      <c r="I986" s="9">
        <f>Source!AV779</f>
        <v>1</v>
      </c>
      <c r="J986" s="9">
        <f>IF(Source!BA779&lt;&gt; 0, Source!BA779, 1)</f>
        <v>1</v>
      </c>
      <c r="K986" s="21">
        <f>Source!S779</f>
        <v>11114.82</v>
      </c>
      <c r="L986" s="21"/>
    </row>
    <row r="987" spans="1:22" ht="14.25" x14ac:dyDescent="0.2">
      <c r="A987" s="18"/>
      <c r="B987" s="18"/>
      <c r="C987" s="18"/>
      <c r="D987" s="18" t="s">
        <v>1101</v>
      </c>
      <c r="E987" s="19"/>
      <c r="F987" s="9"/>
      <c r="G987" s="21">
        <f>Source!AL779</f>
        <v>154.13999999999999</v>
      </c>
      <c r="H987" s="20" t="str">
        <f>Source!DD779</f>
        <v/>
      </c>
      <c r="I987" s="9">
        <f>Source!AW779</f>
        <v>1</v>
      </c>
      <c r="J987" s="9">
        <f>IF(Source!BC779&lt;&gt; 0, Source!BC779, 1)</f>
        <v>1</v>
      </c>
      <c r="K987" s="21">
        <f>Source!P779</f>
        <v>154.13999999999999</v>
      </c>
      <c r="L987" s="21"/>
    </row>
    <row r="988" spans="1:22" ht="14.25" x14ac:dyDescent="0.2">
      <c r="A988" s="18"/>
      <c r="B988" s="18"/>
      <c r="C988" s="18"/>
      <c r="D988" s="18" t="s">
        <v>1102</v>
      </c>
      <c r="E988" s="19" t="s">
        <v>1103</v>
      </c>
      <c r="F988" s="9">
        <f>Source!AT779</f>
        <v>70</v>
      </c>
      <c r="G988" s="21"/>
      <c r="H988" s="20"/>
      <c r="I988" s="9"/>
      <c r="J988" s="9"/>
      <c r="K988" s="21">
        <f>SUM(R985:R987)</f>
        <v>7780.37</v>
      </c>
      <c r="L988" s="21"/>
    </row>
    <row r="989" spans="1:22" ht="14.25" x14ac:dyDescent="0.2">
      <c r="A989" s="18"/>
      <c r="B989" s="18"/>
      <c r="C989" s="18"/>
      <c r="D989" s="18" t="s">
        <v>1104</v>
      </c>
      <c r="E989" s="19" t="s">
        <v>1103</v>
      </c>
      <c r="F989" s="9">
        <f>Source!AU779</f>
        <v>10</v>
      </c>
      <c r="G989" s="21"/>
      <c r="H989" s="20"/>
      <c r="I989" s="9"/>
      <c r="J989" s="9"/>
      <c r="K989" s="21">
        <f>SUM(T985:T988)</f>
        <v>1111.48</v>
      </c>
      <c r="L989" s="21"/>
    </row>
    <row r="990" spans="1:22" ht="14.25" x14ac:dyDescent="0.2">
      <c r="A990" s="18"/>
      <c r="B990" s="18"/>
      <c r="C990" s="18"/>
      <c r="D990" s="18" t="s">
        <v>1105</v>
      </c>
      <c r="E990" s="19" t="s">
        <v>1106</v>
      </c>
      <c r="F990" s="9">
        <f>Source!AQ779</f>
        <v>18</v>
      </c>
      <c r="G990" s="21"/>
      <c r="H990" s="20" t="str">
        <f>Source!DI779</f>
        <v/>
      </c>
      <c r="I990" s="9">
        <f>Source!AV779</f>
        <v>1</v>
      </c>
      <c r="J990" s="9"/>
      <c r="K990" s="21"/>
      <c r="L990" s="21">
        <f>Source!U779</f>
        <v>18</v>
      </c>
    </row>
    <row r="991" spans="1:22" ht="15" x14ac:dyDescent="0.25">
      <c r="A991" s="23"/>
      <c r="B991" s="23"/>
      <c r="C991" s="23"/>
      <c r="D991" s="23"/>
      <c r="E991" s="23"/>
      <c r="F991" s="23"/>
      <c r="G991" s="23"/>
      <c r="H991" s="23"/>
      <c r="I991" s="23"/>
      <c r="J991" s="44">
        <f>K986+K987+K988+K989</f>
        <v>20160.809999999998</v>
      </c>
      <c r="K991" s="44"/>
      <c r="L991" s="24">
        <f>IF(Source!I779&lt;&gt;0, ROUND(J991/Source!I779, 2), 0)</f>
        <v>20160.810000000001</v>
      </c>
      <c r="P991" s="22">
        <f>J991</f>
        <v>20160.809999999998</v>
      </c>
    </row>
    <row r="992" spans="1:22" ht="57" x14ac:dyDescent="0.2">
      <c r="A992" s="18">
        <v>107</v>
      </c>
      <c r="B992" s="18">
        <v>107</v>
      </c>
      <c r="C992" s="18" t="str">
        <f>Source!F781</f>
        <v>1.21-2203-2-3/1</v>
      </c>
      <c r="D992" s="18" t="str">
        <f>Source!G781</f>
        <v>Техническое обслуживание силового распределительного пункта с установочными автоматами, число групп 8 / РП3-2</v>
      </c>
      <c r="E992" s="19" t="str">
        <f>Source!H781</f>
        <v>шт.</v>
      </c>
      <c r="F992" s="9">
        <f>Source!I781</f>
        <v>2</v>
      </c>
      <c r="G992" s="21"/>
      <c r="H992" s="20"/>
      <c r="I992" s="9"/>
      <c r="J992" s="9"/>
      <c r="K992" s="21"/>
      <c r="L992" s="21"/>
      <c r="Q992">
        <f>ROUND((Source!BZ781/100)*ROUND((Source!AF781*Source!AV781)*Source!I781, 2), 2)</f>
        <v>12967.29</v>
      </c>
      <c r="R992">
        <f>Source!X781</f>
        <v>12967.29</v>
      </c>
      <c r="S992">
        <f>ROUND((Source!CA781/100)*ROUND((Source!AF781*Source!AV781)*Source!I781, 2), 2)</f>
        <v>1852.47</v>
      </c>
      <c r="T992">
        <f>Source!Y781</f>
        <v>1852.47</v>
      </c>
      <c r="U992">
        <f>ROUND((175/100)*ROUND((Source!AE781*Source!AV781)*Source!I781, 2), 2)</f>
        <v>0</v>
      </c>
      <c r="V992">
        <f>ROUND((108/100)*ROUND(Source!CS781*Source!I781, 2), 2)</f>
        <v>0</v>
      </c>
    </row>
    <row r="993" spans="1:22" ht="14.25" x14ac:dyDescent="0.2">
      <c r="A993" s="18"/>
      <c r="B993" s="18"/>
      <c r="C993" s="18"/>
      <c r="D993" s="18" t="s">
        <v>1100</v>
      </c>
      <c r="E993" s="19"/>
      <c r="F993" s="9"/>
      <c r="G993" s="21">
        <f>Source!AO781</f>
        <v>9262.35</v>
      </c>
      <c r="H993" s="20" t="str">
        <f>Source!DG781</f>
        <v/>
      </c>
      <c r="I993" s="9">
        <f>Source!AV781</f>
        <v>1</v>
      </c>
      <c r="J993" s="9">
        <f>IF(Source!BA781&lt;&gt; 0, Source!BA781, 1)</f>
        <v>1</v>
      </c>
      <c r="K993" s="21">
        <f>Source!S781</f>
        <v>18524.7</v>
      </c>
      <c r="L993" s="21"/>
    </row>
    <row r="994" spans="1:22" ht="14.25" x14ac:dyDescent="0.2">
      <c r="A994" s="18"/>
      <c r="B994" s="18"/>
      <c r="C994" s="18"/>
      <c r="D994" s="18" t="s">
        <v>1101</v>
      </c>
      <c r="E994" s="19"/>
      <c r="F994" s="9"/>
      <c r="G994" s="21">
        <f>Source!AL781</f>
        <v>128.44999999999999</v>
      </c>
      <c r="H994" s="20" t="str">
        <f>Source!DD781</f>
        <v/>
      </c>
      <c r="I994" s="9">
        <f>Source!AW781</f>
        <v>1</v>
      </c>
      <c r="J994" s="9">
        <f>IF(Source!BC781&lt;&gt; 0, Source!BC781, 1)</f>
        <v>1</v>
      </c>
      <c r="K994" s="21">
        <f>Source!P781</f>
        <v>256.89999999999998</v>
      </c>
      <c r="L994" s="21"/>
    </row>
    <row r="995" spans="1:22" ht="14.25" x14ac:dyDescent="0.2">
      <c r="A995" s="18"/>
      <c r="B995" s="18"/>
      <c r="C995" s="18"/>
      <c r="D995" s="18" t="s">
        <v>1102</v>
      </c>
      <c r="E995" s="19" t="s">
        <v>1103</v>
      </c>
      <c r="F995" s="9">
        <f>Source!AT781</f>
        <v>70</v>
      </c>
      <c r="G995" s="21"/>
      <c r="H995" s="20"/>
      <c r="I995" s="9"/>
      <c r="J995" s="9"/>
      <c r="K995" s="21">
        <f>SUM(R992:R994)</f>
        <v>12967.29</v>
      </c>
      <c r="L995" s="21"/>
    </row>
    <row r="996" spans="1:22" ht="14.25" x14ac:dyDescent="0.2">
      <c r="A996" s="18"/>
      <c r="B996" s="18"/>
      <c r="C996" s="18"/>
      <c r="D996" s="18" t="s">
        <v>1104</v>
      </c>
      <c r="E996" s="19" t="s">
        <v>1103</v>
      </c>
      <c r="F996" s="9">
        <f>Source!AU781</f>
        <v>10</v>
      </c>
      <c r="G996" s="21"/>
      <c r="H996" s="20"/>
      <c r="I996" s="9"/>
      <c r="J996" s="9"/>
      <c r="K996" s="21">
        <f>SUM(T992:T995)</f>
        <v>1852.47</v>
      </c>
      <c r="L996" s="21"/>
    </row>
    <row r="997" spans="1:22" ht="14.25" x14ac:dyDescent="0.2">
      <c r="A997" s="18"/>
      <c r="B997" s="18"/>
      <c r="C997" s="18"/>
      <c r="D997" s="18" t="s">
        <v>1105</v>
      </c>
      <c r="E997" s="19" t="s">
        <v>1106</v>
      </c>
      <c r="F997" s="9">
        <f>Source!AQ781</f>
        <v>15</v>
      </c>
      <c r="G997" s="21"/>
      <c r="H997" s="20" t="str">
        <f>Source!DI781</f>
        <v/>
      </c>
      <c r="I997" s="9">
        <f>Source!AV781</f>
        <v>1</v>
      </c>
      <c r="J997" s="9"/>
      <c r="K997" s="21"/>
      <c r="L997" s="21">
        <f>Source!U781</f>
        <v>30</v>
      </c>
    </row>
    <row r="998" spans="1:22" ht="15" x14ac:dyDescent="0.25">
      <c r="A998" s="23"/>
      <c r="B998" s="23"/>
      <c r="C998" s="23"/>
      <c r="D998" s="23"/>
      <c r="E998" s="23"/>
      <c r="F998" s="23"/>
      <c r="G998" s="23"/>
      <c r="H998" s="23"/>
      <c r="I998" s="23"/>
      <c r="J998" s="44">
        <f>K993+K994+K995+K996</f>
        <v>33601.360000000001</v>
      </c>
      <c r="K998" s="44"/>
      <c r="L998" s="24">
        <f>IF(Source!I781&lt;&gt;0, ROUND(J998/Source!I781, 2), 0)</f>
        <v>16800.68</v>
      </c>
      <c r="P998" s="22">
        <f>J998</f>
        <v>33601.360000000001</v>
      </c>
    </row>
    <row r="999" spans="1:22" ht="42.75" x14ac:dyDescent="0.2">
      <c r="A999" s="18">
        <v>108</v>
      </c>
      <c r="B999" s="18">
        <v>108</v>
      </c>
      <c r="C999" s="18" t="str">
        <f>Source!F783</f>
        <v>1.21-2303-32-1/1</v>
      </c>
      <c r="D999" s="18" t="str">
        <f>Source!G783</f>
        <v>Техническое обслуживание быстродействующего автоматического ввода резерва (БАВР) / АВР3</v>
      </c>
      <c r="E999" s="19" t="str">
        <f>Source!H783</f>
        <v>шт.</v>
      </c>
      <c r="F999" s="9">
        <f>Source!I783</f>
        <v>1</v>
      </c>
      <c r="G999" s="21"/>
      <c r="H999" s="20"/>
      <c r="I999" s="9"/>
      <c r="J999" s="9"/>
      <c r="K999" s="21"/>
      <c r="L999" s="21"/>
      <c r="Q999">
        <f>ROUND((Source!BZ783/100)*ROUND((Source!AF783*Source!AV783)*Source!I783, 2), 2)</f>
        <v>1202.17</v>
      </c>
      <c r="R999">
        <f>Source!X783</f>
        <v>1202.17</v>
      </c>
      <c r="S999">
        <f>ROUND((Source!CA783/100)*ROUND((Source!AF783*Source!AV783)*Source!I783, 2), 2)</f>
        <v>171.74</v>
      </c>
      <c r="T999">
        <f>Source!Y783</f>
        <v>171.74</v>
      </c>
      <c r="U999">
        <f>ROUND((175/100)*ROUND((Source!AE783*Source!AV783)*Source!I783, 2), 2)</f>
        <v>0</v>
      </c>
      <c r="V999">
        <f>ROUND((108/100)*ROUND(Source!CS783*Source!I783, 2), 2)</f>
        <v>0</v>
      </c>
    </row>
    <row r="1000" spans="1:22" ht="14.25" x14ac:dyDescent="0.2">
      <c r="A1000" s="18"/>
      <c r="B1000" s="18"/>
      <c r="C1000" s="18"/>
      <c r="D1000" s="18" t="s">
        <v>1100</v>
      </c>
      <c r="E1000" s="19"/>
      <c r="F1000" s="9"/>
      <c r="G1000" s="21">
        <f>Source!AO783</f>
        <v>1717.38</v>
      </c>
      <c r="H1000" s="20" t="str">
        <f>Source!DG783</f>
        <v/>
      </c>
      <c r="I1000" s="9">
        <f>Source!AV783</f>
        <v>1</v>
      </c>
      <c r="J1000" s="9">
        <f>IF(Source!BA783&lt;&gt; 0, Source!BA783, 1)</f>
        <v>1</v>
      </c>
      <c r="K1000" s="21">
        <f>Source!S783</f>
        <v>1717.38</v>
      </c>
      <c r="L1000" s="21"/>
    </row>
    <row r="1001" spans="1:22" ht="14.25" x14ac:dyDescent="0.2">
      <c r="A1001" s="18"/>
      <c r="B1001" s="18"/>
      <c r="C1001" s="18"/>
      <c r="D1001" s="18" t="s">
        <v>1101</v>
      </c>
      <c r="E1001" s="19"/>
      <c r="F1001" s="9"/>
      <c r="G1001" s="21">
        <f>Source!AL783</f>
        <v>1206.82</v>
      </c>
      <c r="H1001" s="20" t="str">
        <f>Source!DD783</f>
        <v/>
      </c>
      <c r="I1001" s="9">
        <f>Source!AW783</f>
        <v>1</v>
      </c>
      <c r="J1001" s="9">
        <f>IF(Source!BC783&lt;&gt; 0, Source!BC783, 1)</f>
        <v>1</v>
      </c>
      <c r="K1001" s="21">
        <f>Source!P783</f>
        <v>1206.82</v>
      </c>
      <c r="L1001" s="21"/>
    </row>
    <row r="1002" spans="1:22" ht="14.25" x14ac:dyDescent="0.2">
      <c r="A1002" s="18"/>
      <c r="B1002" s="18"/>
      <c r="C1002" s="18"/>
      <c r="D1002" s="18" t="s">
        <v>1102</v>
      </c>
      <c r="E1002" s="19" t="s">
        <v>1103</v>
      </c>
      <c r="F1002" s="9">
        <f>Source!AT783</f>
        <v>70</v>
      </c>
      <c r="G1002" s="21"/>
      <c r="H1002" s="20"/>
      <c r="I1002" s="9"/>
      <c r="J1002" s="9"/>
      <c r="K1002" s="21">
        <f>SUM(R999:R1001)</f>
        <v>1202.17</v>
      </c>
      <c r="L1002" s="21"/>
    </row>
    <row r="1003" spans="1:22" ht="14.25" x14ac:dyDescent="0.2">
      <c r="A1003" s="18"/>
      <c r="B1003" s="18"/>
      <c r="C1003" s="18"/>
      <c r="D1003" s="18" t="s">
        <v>1104</v>
      </c>
      <c r="E1003" s="19" t="s">
        <v>1103</v>
      </c>
      <c r="F1003" s="9">
        <f>Source!AU783</f>
        <v>10</v>
      </c>
      <c r="G1003" s="21"/>
      <c r="H1003" s="20"/>
      <c r="I1003" s="9"/>
      <c r="J1003" s="9"/>
      <c r="K1003" s="21">
        <f>SUM(T999:T1002)</f>
        <v>171.74</v>
      </c>
      <c r="L1003" s="21"/>
    </row>
    <row r="1004" spans="1:22" ht="14.25" x14ac:dyDescent="0.2">
      <c r="A1004" s="18"/>
      <c r="B1004" s="18"/>
      <c r="C1004" s="18"/>
      <c r="D1004" s="18" t="s">
        <v>1105</v>
      </c>
      <c r="E1004" s="19" t="s">
        <v>1106</v>
      </c>
      <c r="F1004" s="9">
        <f>Source!AQ783</f>
        <v>2.42</v>
      </c>
      <c r="G1004" s="21"/>
      <c r="H1004" s="20" t="str">
        <f>Source!DI783</f>
        <v/>
      </c>
      <c r="I1004" s="9">
        <f>Source!AV783</f>
        <v>1</v>
      </c>
      <c r="J1004" s="9"/>
      <c r="K1004" s="21"/>
      <c r="L1004" s="21">
        <f>Source!U783</f>
        <v>2.42</v>
      </c>
    </row>
    <row r="1005" spans="1:22" ht="15" x14ac:dyDescent="0.25">
      <c r="A1005" s="23"/>
      <c r="B1005" s="23"/>
      <c r="C1005" s="23"/>
      <c r="D1005" s="23"/>
      <c r="E1005" s="23"/>
      <c r="F1005" s="23"/>
      <c r="G1005" s="23"/>
      <c r="H1005" s="23"/>
      <c r="I1005" s="23"/>
      <c r="J1005" s="44">
        <f>K1000+K1001+K1002+K1003</f>
        <v>4298.1099999999997</v>
      </c>
      <c r="K1005" s="44"/>
      <c r="L1005" s="24">
        <f>IF(Source!I783&lt;&gt;0, ROUND(J1005/Source!I783, 2), 0)</f>
        <v>4298.1099999999997</v>
      </c>
      <c r="P1005" s="22">
        <f>J1005</f>
        <v>4298.1099999999997</v>
      </c>
    </row>
    <row r="1006" spans="1:22" ht="71.25" x14ac:dyDescent="0.2">
      <c r="A1006" s="18">
        <v>109</v>
      </c>
      <c r="B1006" s="18">
        <v>109</v>
      </c>
      <c r="C1006" s="18" t="str">
        <f>Source!F786</f>
        <v>1.21-2303-40-1/1</v>
      </c>
      <c r="D1006" s="18" t="str">
        <f>Source!G786</f>
        <v>Техническое обслуживание измерителя мощности типа PM710MG на лицевой панели распределительного устройства - полугодовое</v>
      </c>
      <c r="E1006" s="19" t="str">
        <f>Source!H786</f>
        <v>шт.</v>
      </c>
      <c r="F1006" s="9">
        <f>Source!I786</f>
        <v>1</v>
      </c>
      <c r="G1006" s="21"/>
      <c r="H1006" s="20"/>
      <c r="I1006" s="9"/>
      <c r="J1006" s="9"/>
      <c r="K1006" s="21"/>
      <c r="L1006" s="21"/>
      <c r="Q1006">
        <f>ROUND((Source!BZ786/100)*ROUND((Source!AF786*Source!AV786)*Source!I786, 2), 2)</f>
        <v>78.709999999999994</v>
      </c>
      <c r="R1006">
        <f>Source!X786</f>
        <v>78.709999999999994</v>
      </c>
      <c r="S1006">
        <f>ROUND((Source!CA786/100)*ROUND((Source!AF786*Source!AV786)*Source!I786, 2), 2)</f>
        <v>11.24</v>
      </c>
      <c r="T1006">
        <f>Source!Y786</f>
        <v>11.24</v>
      </c>
      <c r="U1006">
        <f>ROUND((175/100)*ROUND((Source!AE786*Source!AV786)*Source!I786, 2), 2)</f>
        <v>0</v>
      </c>
      <c r="V1006">
        <f>ROUND((108/100)*ROUND(Source!CS786*Source!I786, 2), 2)</f>
        <v>0</v>
      </c>
    </row>
    <row r="1007" spans="1:22" ht="14.25" x14ac:dyDescent="0.2">
      <c r="A1007" s="18"/>
      <c r="B1007" s="18"/>
      <c r="C1007" s="18"/>
      <c r="D1007" s="18" t="s">
        <v>1100</v>
      </c>
      <c r="E1007" s="19"/>
      <c r="F1007" s="9"/>
      <c r="G1007" s="21">
        <f>Source!AO786</f>
        <v>112.44</v>
      </c>
      <c r="H1007" s="20" t="str">
        <f>Source!DG786</f>
        <v/>
      </c>
      <c r="I1007" s="9">
        <f>Source!AV786</f>
        <v>1</v>
      </c>
      <c r="J1007" s="9">
        <f>IF(Source!BA786&lt;&gt; 0, Source!BA786, 1)</f>
        <v>1</v>
      </c>
      <c r="K1007" s="21">
        <f>Source!S786</f>
        <v>112.44</v>
      </c>
      <c r="L1007" s="21"/>
    </row>
    <row r="1008" spans="1:22" ht="14.25" x14ac:dyDescent="0.2">
      <c r="A1008" s="18"/>
      <c r="B1008" s="18"/>
      <c r="C1008" s="18"/>
      <c r="D1008" s="18" t="s">
        <v>1101</v>
      </c>
      <c r="E1008" s="19"/>
      <c r="F1008" s="9"/>
      <c r="G1008" s="21">
        <f>Source!AL786</f>
        <v>6.3</v>
      </c>
      <c r="H1008" s="20" t="str">
        <f>Source!DD786</f>
        <v/>
      </c>
      <c r="I1008" s="9">
        <f>Source!AW786</f>
        <v>1</v>
      </c>
      <c r="J1008" s="9">
        <f>IF(Source!BC786&lt;&gt; 0, Source!BC786, 1)</f>
        <v>1</v>
      </c>
      <c r="K1008" s="21">
        <f>Source!P786</f>
        <v>6.3</v>
      </c>
      <c r="L1008" s="21"/>
    </row>
    <row r="1009" spans="1:22" ht="14.25" x14ac:dyDescent="0.2">
      <c r="A1009" s="18"/>
      <c r="B1009" s="18"/>
      <c r="C1009" s="18"/>
      <c r="D1009" s="18" t="s">
        <v>1102</v>
      </c>
      <c r="E1009" s="19" t="s">
        <v>1103</v>
      </c>
      <c r="F1009" s="9">
        <f>Source!AT786</f>
        <v>70</v>
      </c>
      <c r="G1009" s="21"/>
      <c r="H1009" s="20"/>
      <c r="I1009" s="9"/>
      <c r="J1009" s="9"/>
      <c r="K1009" s="21">
        <f>SUM(R1006:R1008)</f>
        <v>78.709999999999994</v>
      </c>
      <c r="L1009" s="21"/>
    </row>
    <row r="1010" spans="1:22" ht="14.25" x14ac:dyDescent="0.2">
      <c r="A1010" s="18"/>
      <c r="B1010" s="18"/>
      <c r="C1010" s="18"/>
      <c r="D1010" s="18" t="s">
        <v>1104</v>
      </c>
      <c r="E1010" s="19" t="s">
        <v>1103</v>
      </c>
      <c r="F1010" s="9">
        <f>Source!AU786</f>
        <v>10</v>
      </c>
      <c r="G1010" s="21"/>
      <c r="H1010" s="20"/>
      <c r="I1010" s="9"/>
      <c r="J1010" s="9"/>
      <c r="K1010" s="21">
        <f>SUM(T1006:T1009)</f>
        <v>11.24</v>
      </c>
      <c r="L1010" s="21"/>
    </row>
    <row r="1011" spans="1:22" ht="14.25" x14ac:dyDescent="0.2">
      <c r="A1011" s="18"/>
      <c r="B1011" s="18"/>
      <c r="C1011" s="18"/>
      <c r="D1011" s="18" t="s">
        <v>1105</v>
      </c>
      <c r="E1011" s="19" t="s">
        <v>1106</v>
      </c>
      <c r="F1011" s="9">
        <f>Source!AQ786</f>
        <v>0.2</v>
      </c>
      <c r="G1011" s="21"/>
      <c r="H1011" s="20" t="str">
        <f>Source!DI786</f>
        <v/>
      </c>
      <c r="I1011" s="9">
        <f>Source!AV786</f>
        <v>1</v>
      </c>
      <c r="J1011" s="9"/>
      <c r="K1011" s="21"/>
      <c r="L1011" s="21">
        <f>Source!U786</f>
        <v>0.2</v>
      </c>
    </row>
    <row r="1012" spans="1:22" ht="15" x14ac:dyDescent="0.25">
      <c r="A1012" s="23"/>
      <c r="B1012" s="23"/>
      <c r="C1012" s="23"/>
      <c r="D1012" s="23"/>
      <c r="E1012" s="23"/>
      <c r="F1012" s="23"/>
      <c r="G1012" s="23"/>
      <c r="H1012" s="23"/>
      <c r="I1012" s="23"/>
      <c r="J1012" s="44">
        <f>K1007+K1008+K1009+K1010</f>
        <v>208.69</v>
      </c>
      <c r="K1012" s="44"/>
      <c r="L1012" s="24">
        <f>IF(Source!I786&lt;&gt;0, ROUND(J1012/Source!I786, 2), 0)</f>
        <v>208.69</v>
      </c>
      <c r="P1012" s="22">
        <f>J1012</f>
        <v>208.69</v>
      </c>
    </row>
    <row r="1013" spans="1:22" ht="57" x14ac:dyDescent="0.2">
      <c r="A1013" s="18">
        <v>110</v>
      </c>
      <c r="B1013" s="18">
        <v>110</v>
      </c>
      <c r="C1013" s="18" t="str">
        <f>Source!F790</f>
        <v>1.21-2103-9-3/1</v>
      </c>
      <c r="D1013" s="18" t="str">
        <f>Source!G790</f>
        <v>Техническое обслуживание силовых сетей, проложенных по кирпичным и бетонным основаниям, провод сечением 4х1,5-6 мм2 / 10х2,5</v>
      </c>
      <c r="E1013" s="19" t="str">
        <f>Source!H790</f>
        <v>100 м</v>
      </c>
      <c r="F1013" s="9">
        <f>Source!I790</f>
        <v>6.0000000000000001E-3</v>
      </c>
      <c r="G1013" s="21"/>
      <c r="H1013" s="20"/>
      <c r="I1013" s="9"/>
      <c r="J1013" s="9"/>
      <c r="K1013" s="21"/>
      <c r="L1013" s="21"/>
      <c r="Q1013">
        <f>ROUND((Source!BZ790/100)*ROUND((Source!AF790*Source!AV790)*Source!I790, 2), 2)</f>
        <v>25.23</v>
      </c>
      <c r="R1013">
        <f>Source!X790</f>
        <v>25.23</v>
      </c>
      <c r="S1013">
        <f>ROUND((Source!CA790/100)*ROUND((Source!AF790*Source!AV790)*Source!I790, 2), 2)</f>
        <v>3.6</v>
      </c>
      <c r="T1013">
        <f>Source!Y790</f>
        <v>3.6</v>
      </c>
      <c r="U1013">
        <f>ROUND((175/100)*ROUND((Source!AE790*Source!AV790)*Source!I790, 2), 2)</f>
        <v>0</v>
      </c>
      <c r="V1013">
        <f>ROUND((108/100)*ROUND(Source!CS790*Source!I790, 2), 2)</f>
        <v>0</v>
      </c>
    </row>
    <row r="1014" spans="1:22" x14ac:dyDescent="0.2">
      <c r="D1014" s="28" t="str">
        <f>"Объем: "&amp;Source!I790&amp;"=(10+"&amp;"10+"&amp;"10)*"&amp;"0,2*"&amp;"0,1/"&amp;"100"</f>
        <v>Объем: 0,006=(10+10+10)*0,2*0,1/100</v>
      </c>
    </row>
    <row r="1015" spans="1:22" ht="14.25" x14ac:dyDescent="0.2">
      <c r="A1015" s="18"/>
      <c r="B1015" s="18"/>
      <c r="C1015" s="18"/>
      <c r="D1015" s="18" t="s">
        <v>1100</v>
      </c>
      <c r="E1015" s="19"/>
      <c r="F1015" s="9"/>
      <c r="G1015" s="21">
        <f>Source!AO790</f>
        <v>6006.24</v>
      </c>
      <c r="H1015" s="20" t="str">
        <f>Source!DG790</f>
        <v/>
      </c>
      <c r="I1015" s="9">
        <f>Source!AV790</f>
        <v>1</v>
      </c>
      <c r="J1015" s="9">
        <f>IF(Source!BA790&lt;&gt; 0, Source!BA790, 1)</f>
        <v>1</v>
      </c>
      <c r="K1015" s="21">
        <f>Source!S790</f>
        <v>36.04</v>
      </c>
      <c r="L1015" s="21"/>
    </row>
    <row r="1016" spans="1:22" ht="14.25" x14ac:dyDescent="0.2">
      <c r="A1016" s="18"/>
      <c r="B1016" s="18"/>
      <c r="C1016" s="18"/>
      <c r="D1016" s="18" t="s">
        <v>1101</v>
      </c>
      <c r="E1016" s="19"/>
      <c r="F1016" s="9"/>
      <c r="G1016" s="21">
        <f>Source!AL790</f>
        <v>14.63</v>
      </c>
      <c r="H1016" s="20" t="str">
        <f>Source!DD790</f>
        <v/>
      </c>
      <c r="I1016" s="9">
        <f>Source!AW790</f>
        <v>1</v>
      </c>
      <c r="J1016" s="9">
        <f>IF(Source!BC790&lt;&gt; 0, Source!BC790, 1)</f>
        <v>1</v>
      </c>
      <c r="K1016" s="21">
        <f>Source!P790</f>
        <v>0.09</v>
      </c>
      <c r="L1016" s="21"/>
    </row>
    <row r="1017" spans="1:22" ht="14.25" x14ac:dyDescent="0.2">
      <c r="A1017" s="18"/>
      <c r="B1017" s="18"/>
      <c r="C1017" s="18"/>
      <c r="D1017" s="18" t="s">
        <v>1102</v>
      </c>
      <c r="E1017" s="19" t="s">
        <v>1103</v>
      </c>
      <c r="F1017" s="9">
        <f>Source!AT790</f>
        <v>70</v>
      </c>
      <c r="G1017" s="21"/>
      <c r="H1017" s="20"/>
      <c r="I1017" s="9"/>
      <c r="J1017" s="9"/>
      <c r="K1017" s="21">
        <f>SUM(R1013:R1016)</f>
        <v>25.23</v>
      </c>
      <c r="L1017" s="21"/>
    </row>
    <row r="1018" spans="1:22" ht="14.25" x14ac:dyDescent="0.2">
      <c r="A1018" s="18"/>
      <c r="B1018" s="18"/>
      <c r="C1018" s="18"/>
      <c r="D1018" s="18" t="s">
        <v>1104</v>
      </c>
      <c r="E1018" s="19" t="s">
        <v>1103</v>
      </c>
      <c r="F1018" s="9">
        <f>Source!AU790</f>
        <v>10</v>
      </c>
      <c r="G1018" s="21"/>
      <c r="H1018" s="20"/>
      <c r="I1018" s="9"/>
      <c r="J1018" s="9"/>
      <c r="K1018" s="21">
        <f>SUM(T1013:T1017)</f>
        <v>3.6</v>
      </c>
      <c r="L1018" s="21"/>
    </row>
    <row r="1019" spans="1:22" ht="14.25" x14ac:dyDescent="0.2">
      <c r="A1019" s="18"/>
      <c r="B1019" s="18"/>
      <c r="C1019" s="18"/>
      <c r="D1019" s="18" t="s">
        <v>1105</v>
      </c>
      <c r="E1019" s="19" t="s">
        <v>1106</v>
      </c>
      <c r="F1019" s="9">
        <f>Source!AQ790</f>
        <v>11.22</v>
      </c>
      <c r="G1019" s="21"/>
      <c r="H1019" s="20" t="str">
        <f>Source!DI790</f>
        <v/>
      </c>
      <c r="I1019" s="9">
        <f>Source!AV790</f>
        <v>1</v>
      </c>
      <c r="J1019" s="9"/>
      <c r="K1019" s="21"/>
      <c r="L1019" s="21">
        <f>Source!U790</f>
        <v>6.7320000000000005E-2</v>
      </c>
    </row>
    <row r="1020" spans="1:22" ht="15" x14ac:dyDescent="0.25">
      <c r="A1020" s="23"/>
      <c r="B1020" s="23"/>
      <c r="C1020" s="23"/>
      <c r="D1020" s="23"/>
      <c r="E1020" s="23"/>
      <c r="F1020" s="23"/>
      <c r="G1020" s="23"/>
      <c r="H1020" s="23"/>
      <c r="I1020" s="23"/>
      <c r="J1020" s="44">
        <f>K1015+K1016+K1017+K1018</f>
        <v>64.959999999999994</v>
      </c>
      <c r="K1020" s="44"/>
      <c r="L1020" s="24">
        <f>IF(Source!I790&lt;&gt;0, ROUND(J1020/Source!I790, 2), 0)</f>
        <v>10826.67</v>
      </c>
      <c r="P1020" s="22">
        <f>J1020</f>
        <v>64.959999999999994</v>
      </c>
    </row>
    <row r="1021" spans="1:22" ht="71.25" x14ac:dyDescent="0.2">
      <c r="A1021" s="18">
        <v>111</v>
      </c>
      <c r="B1021" s="18">
        <v>111</v>
      </c>
      <c r="C1021" s="18" t="str">
        <f>Source!F791</f>
        <v>1.21-2103-9-4/1</v>
      </c>
      <c r="D1021" s="18" t="str">
        <f>Source!G791</f>
        <v>Техническое обслуживание силовых сетей, проложенных по кирпичным и бетонным основаниям, добавлять на каждый следующий провод к поз. 21-2103-9-3</v>
      </c>
      <c r="E1021" s="19" t="str">
        <f>Source!H791</f>
        <v>100 м</v>
      </c>
      <c r="F1021" s="9">
        <f>Source!I791</f>
        <v>6.0000000000000001E-3</v>
      </c>
      <c r="G1021" s="21"/>
      <c r="H1021" s="20"/>
      <c r="I1021" s="9"/>
      <c r="J1021" s="9"/>
      <c r="K1021" s="21"/>
      <c r="L1021" s="21"/>
      <c r="Q1021">
        <f>ROUND((Source!BZ791/100)*ROUND((Source!AF791*Source!AV791)*Source!I791, 2), 2)</f>
        <v>4.59</v>
      </c>
      <c r="R1021">
        <f>Source!X791</f>
        <v>4.59</v>
      </c>
      <c r="S1021">
        <f>ROUND((Source!CA791/100)*ROUND((Source!AF791*Source!AV791)*Source!I791, 2), 2)</f>
        <v>0.66</v>
      </c>
      <c r="T1021">
        <f>Source!Y791</f>
        <v>0.66</v>
      </c>
      <c r="U1021">
        <f>ROUND((175/100)*ROUND((Source!AE791*Source!AV791)*Source!I791, 2), 2)</f>
        <v>0</v>
      </c>
      <c r="V1021">
        <f>ROUND((108/100)*ROUND(Source!CS791*Source!I791, 2), 2)</f>
        <v>0</v>
      </c>
    </row>
    <row r="1022" spans="1:22" x14ac:dyDescent="0.2">
      <c r="D1022" s="28" t="str">
        <f>"Объем: "&amp;Source!I791&amp;"=(10+"&amp;"10+"&amp;"10)*"&amp;"0,2*"&amp;"0,1/"&amp;"100"</f>
        <v>Объем: 0,006=(10+10+10)*0,2*0,1/100</v>
      </c>
    </row>
    <row r="1023" spans="1:22" ht="14.25" x14ac:dyDescent="0.2">
      <c r="A1023" s="18"/>
      <c r="B1023" s="18"/>
      <c r="C1023" s="18"/>
      <c r="D1023" s="18" t="s">
        <v>1100</v>
      </c>
      <c r="E1023" s="19"/>
      <c r="F1023" s="9"/>
      <c r="G1023" s="21">
        <f>Source!AO791</f>
        <v>1092.04</v>
      </c>
      <c r="H1023" s="20" t="str">
        <f>Source!DG791</f>
        <v/>
      </c>
      <c r="I1023" s="9">
        <f>Source!AV791</f>
        <v>1</v>
      </c>
      <c r="J1023" s="9">
        <f>IF(Source!BA791&lt;&gt; 0, Source!BA791, 1)</f>
        <v>1</v>
      </c>
      <c r="K1023" s="21">
        <f>Source!S791</f>
        <v>6.55</v>
      </c>
      <c r="L1023" s="21"/>
    </row>
    <row r="1024" spans="1:22" ht="14.25" x14ac:dyDescent="0.2">
      <c r="A1024" s="18"/>
      <c r="B1024" s="18"/>
      <c r="C1024" s="18"/>
      <c r="D1024" s="18" t="s">
        <v>1102</v>
      </c>
      <c r="E1024" s="19" t="s">
        <v>1103</v>
      </c>
      <c r="F1024" s="9">
        <f>Source!AT791</f>
        <v>70</v>
      </c>
      <c r="G1024" s="21"/>
      <c r="H1024" s="20"/>
      <c r="I1024" s="9"/>
      <c r="J1024" s="9"/>
      <c r="K1024" s="21">
        <f>SUM(R1021:R1023)</f>
        <v>4.59</v>
      </c>
      <c r="L1024" s="21"/>
    </row>
    <row r="1025" spans="1:22" ht="14.25" x14ac:dyDescent="0.2">
      <c r="A1025" s="18"/>
      <c r="B1025" s="18"/>
      <c r="C1025" s="18"/>
      <c r="D1025" s="18" t="s">
        <v>1104</v>
      </c>
      <c r="E1025" s="19" t="s">
        <v>1103</v>
      </c>
      <c r="F1025" s="9">
        <f>Source!AU791</f>
        <v>10</v>
      </c>
      <c r="G1025" s="21"/>
      <c r="H1025" s="20"/>
      <c r="I1025" s="9"/>
      <c r="J1025" s="9"/>
      <c r="K1025" s="21">
        <f>SUM(T1021:T1024)</f>
        <v>0.66</v>
      </c>
      <c r="L1025" s="21"/>
    </row>
    <row r="1026" spans="1:22" ht="14.25" x14ac:dyDescent="0.2">
      <c r="A1026" s="18"/>
      <c r="B1026" s="18"/>
      <c r="C1026" s="18"/>
      <c r="D1026" s="18" t="s">
        <v>1105</v>
      </c>
      <c r="E1026" s="19" t="s">
        <v>1106</v>
      </c>
      <c r="F1026" s="9">
        <f>Source!AQ791</f>
        <v>2.04</v>
      </c>
      <c r="G1026" s="21"/>
      <c r="H1026" s="20" t="str">
        <f>Source!DI791</f>
        <v/>
      </c>
      <c r="I1026" s="9">
        <f>Source!AV791</f>
        <v>1</v>
      </c>
      <c r="J1026" s="9"/>
      <c r="K1026" s="21"/>
      <c r="L1026" s="21">
        <f>Source!U791</f>
        <v>1.2240000000000001E-2</v>
      </c>
    </row>
    <row r="1027" spans="1:22" ht="15" x14ac:dyDescent="0.25">
      <c r="A1027" s="23"/>
      <c r="B1027" s="23"/>
      <c r="C1027" s="23"/>
      <c r="D1027" s="23"/>
      <c r="E1027" s="23"/>
      <c r="F1027" s="23"/>
      <c r="G1027" s="23"/>
      <c r="H1027" s="23"/>
      <c r="I1027" s="23"/>
      <c r="J1027" s="44">
        <f>K1023+K1024+K1025</f>
        <v>11.8</v>
      </c>
      <c r="K1027" s="44"/>
      <c r="L1027" s="24">
        <f>IF(Source!I791&lt;&gt;0, ROUND(J1027/Source!I791, 2), 0)</f>
        <v>1966.67</v>
      </c>
      <c r="P1027" s="22">
        <f>J1027</f>
        <v>11.8</v>
      </c>
    </row>
    <row r="1028" spans="1:22" ht="85.5" x14ac:dyDescent="0.2">
      <c r="A1028" s="18">
        <v>112</v>
      </c>
      <c r="B1028" s="18">
        <v>112</v>
      </c>
      <c r="C1028" s="18" t="str">
        <f>Source!F792</f>
        <v>1.21-2203-37-1/1</v>
      </c>
      <c r="D1028" s="18" t="str">
        <f>Source!G792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1028" s="19" t="str">
        <f>Source!H792</f>
        <v>шт.</v>
      </c>
      <c r="F1028" s="9">
        <f>Source!I792</f>
        <v>2</v>
      </c>
      <c r="G1028" s="21"/>
      <c r="H1028" s="20"/>
      <c r="I1028" s="9"/>
      <c r="J1028" s="9"/>
      <c r="K1028" s="21"/>
      <c r="L1028" s="21"/>
      <c r="Q1028">
        <f>ROUND((Source!BZ792/100)*ROUND((Source!AF792*Source!AV792)*Source!I792, 2), 2)</f>
        <v>472.23</v>
      </c>
      <c r="R1028">
        <f>Source!X792</f>
        <v>472.23</v>
      </c>
      <c r="S1028">
        <f>ROUND((Source!CA792/100)*ROUND((Source!AF792*Source!AV792)*Source!I792, 2), 2)</f>
        <v>67.459999999999994</v>
      </c>
      <c r="T1028">
        <f>Source!Y792</f>
        <v>67.459999999999994</v>
      </c>
      <c r="U1028">
        <f>ROUND((175/100)*ROUND((Source!AE792*Source!AV792)*Source!I792, 2), 2)</f>
        <v>0</v>
      </c>
      <c r="V1028">
        <f>ROUND((108/100)*ROUND(Source!CS792*Source!I792, 2), 2)</f>
        <v>0</v>
      </c>
    </row>
    <row r="1029" spans="1:22" ht="14.25" x14ac:dyDescent="0.2">
      <c r="A1029" s="18"/>
      <c r="B1029" s="18"/>
      <c r="C1029" s="18"/>
      <c r="D1029" s="18" t="s">
        <v>1100</v>
      </c>
      <c r="E1029" s="19"/>
      <c r="F1029" s="9"/>
      <c r="G1029" s="21">
        <f>Source!AO792</f>
        <v>337.31</v>
      </c>
      <c r="H1029" s="20" t="str">
        <f>Source!DG792</f>
        <v/>
      </c>
      <c r="I1029" s="9">
        <f>Source!AV792</f>
        <v>1</v>
      </c>
      <c r="J1029" s="9">
        <f>IF(Source!BA792&lt;&gt; 0, Source!BA792, 1)</f>
        <v>1</v>
      </c>
      <c r="K1029" s="21">
        <f>Source!S792</f>
        <v>674.62</v>
      </c>
      <c r="L1029" s="21"/>
    </row>
    <row r="1030" spans="1:22" ht="14.25" x14ac:dyDescent="0.2">
      <c r="A1030" s="18"/>
      <c r="B1030" s="18"/>
      <c r="C1030" s="18"/>
      <c r="D1030" s="18" t="s">
        <v>1101</v>
      </c>
      <c r="E1030" s="19"/>
      <c r="F1030" s="9"/>
      <c r="G1030" s="21">
        <f>Source!AL792</f>
        <v>1.57</v>
      </c>
      <c r="H1030" s="20" t="str">
        <f>Source!DD792</f>
        <v/>
      </c>
      <c r="I1030" s="9">
        <f>Source!AW792</f>
        <v>1</v>
      </c>
      <c r="J1030" s="9">
        <f>IF(Source!BC792&lt;&gt; 0, Source!BC792, 1)</f>
        <v>1</v>
      </c>
      <c r="K1030" s="21">
        <f>Source!P792</f>
        <v>3.14</v>
      </c>
      <c r="L1030" s="21"/>
    </row>
    <row r="1031" spans="1:22" ht="14.25" x14ac:dyDescent="0.2">
      <c r="A1031" s="18"/>
      <c r="B1031" s="18"/>
      <c r="C1031" s="18"/>
      <c r="D1031" s="18" t="s">
        <v>1102</v>
      </c>
      <c r="E1031" s="19" t="s">
        <v>1103</v>
      </c>
      <c r="F1031" s="9">
        <f>Source!AT792</f>
        <v>70</v>
      </c>
      <c r="G1031" s="21"/>
      <c r="H1031" s="20"/>
      <c r="I1031" s="9"/>
      <c r="J1031" s="9"/>
      <c r="K1031" s="21">
        <f>SUM(R1028:R1030)</f>
        <v>472.23</v>
      </c>
      <c r="L1031" s="21"/>
    </row>
    <row r="1032" spans="1:22" ht="14.25" x14ac:dyDescent="0.2">
      <c r="A1032" s="18"/>
      <c r="B1032" s="18"/>
      <c r="C1032" s="18"/>
      <c r="D1032" s="18" t="s">
        <v>1104</v>
      </c>
      <c r="E1032" s="19" t="s">
        <v>1103</v>
      </c>
      <c r="F1032" s="9">
        <f>Source!AU792</f>
        <v>10</v>
      </c>
      <c r="G1032" s="21"/>
      <c r="H1032" s="20"/>
      <c r="I1032" s="9"/>
      <c r="J1032" s="9"/>
      <c r="K1032" s="21">
        <f>SUM(T1028:T1031)</f>
        <v>67.459999999999994</v>
      </c>
      <c r="L1032" s="21"/>
    </row>
    <row r="1033" spans="1:22" ht="14.25" x14ac:dyDescent="0.2">
      <c r="A1033" s="18"/>
      <c r="B1033" s="18"/>
      <c r="C1033" s="18"/>
      <c r="D1033" s="18" t="s">
        <v>1105</v>
      </c>
      <c r="E1033" s="19" t="s">
        <v>1106</v>
      </c>
      <c r="F1033" s="9">
        <f>Source!AQ792</f>
        <v>0.6</v>
      </c>
      <c r="G1033" s="21"/>
      <c r="H1033" s="20" t="str">
        <f>Source!DI792</f>
        <v/>
      </c>
      <c r="I1033" s="9">
        <f>Source!AV792</f>
        <v>1</v>
      </c>
      <c r="J1033" s="9"/>
      <c r="K1033" s="21"/>
      <c r="L1033" s="21">
        <f>Source!U792</f>
        <v>1.2</v>
      </c>
    </row>
    <row r="1034" spans="1:22" ht="15" x14ac:dyDescent="0.25">
      <c r="A1034" s="23"/>
      <c r="B1034" s="23"/>
      <c r="C1034" s="23"/>
      <c r="D1034" s="23"/>
      <c r="E1034" s="23"/>
      <c r="F1034" s="23"/>
      <c r="G1034" s="23"/>
      <c r="H1034" s="23"/>
      <c r="I1034" s="23"/>
      <c r="J1034" s="44">
        <f>K1029+K1030+K1031+K1032</f>
        <v>1217.45</v>
      </c>
      <c r="K1034" s="44"/>
      <c r="L1034" s="24">
        <f>IF(Source!I792&lt;&gt;0, ROUND(J1034/Source!I792, 2), 0)</f>
        <v>608.73</v>
      </c>
      <c r="P1034" s="22">
        <f>J1034</f>
        <v>1217.45</v>
      </c>
    </row>
    <row r="1035" spans="1:22" ht="42.75" x14ac:dyDescent="0.2">
      <c r="A1035" s="18">
        <v>113</v>
      </c>
      <c r="B1035" s="18">
        <v>113</v>
      </c>
      <c r="C1035" s="18" t="str">
        <f>Source!F795</f>
        <v>1.21-2203-14-1/1</v>
      </c>
      <c r="D1035" s="18" t="str">
        <f>Source!G795</f>
        <v>Техническое обслуживание шкафа учета электроэнергии, с количеством счетчиков 1</v>
      </c>
      <c r="E1035" s="19" t="str">
        <f>Source!H795</f>
        <v>шт.</v>
      </c>
      <c r="F1035" s="9">
        <f>Source!I795</f>
        <v>2</v>
      </c>
      <c r="G1035" s="21"/>
      <c r="H1035" s="20"/>
      <c r="I1035" s="9"/>
      <c r="J1035" s="9"/>
      <c r="K1035" s="21"/>
      <c r="L1035" s="21"/>
      <c r="Q1035">
        <f>ROUND((Source!BZ795/100)*ROUND((Source!AF795*Source!AV795)*Source!I795, 2), 2)</f>
        <v>186.21</v>
      </c>
      <c r="R1035">
        <f>Source!X795</f>
        <v>186.21</v>
      </c>
      <c r="S1035">
        <f>ROUND((Source!CA795/100)*ROUND((Source!AF795*Source!AV795)*Source!I795, 2), 2)</f>
        <v>26.6</v>
      </c>
      <c r="T1035">
        <f>Source!Y795</f>
        <v>26.6</v>
      </c>
      <c r="U1035">
        <f>ROUND((175/100)*ROUND((Source!AE795*Source!AV795)*Source!I795, 2), 2)</f>
        <v>37.590000000000003</v>
      </c>
      <c r="V1035">
        <f>ROUND((108/100)*ROUND(Source!CS795*Source!I795, 2), 2)</f>
        <v>23.2</v>
      </c>
    </row>
    <row r="1036" spans="1:22" ht="14.25" x14ac:dyDescent="0.2">
      <c r="A1036" s="18"/>
      <c r="B1036" s="18"/>
      <c r="C1036" s="18"/>
      <c r="D1036" s="18" t="s">
        <v>1100</v>
      </c>
      <c r="E1036" s="19"/>
      <c r="F1036" s="9"/>
      <c r="G1036" s="21">
        <f>Source!AO795</f>
        <v>133.01</v>
      </c>
      <c r="H1036" s="20" t="str">
        <f>Source!DG795</f>
        <v/>
      </c>
      <c r="I1036" s="9">
        <f>Source!AV795</f>
        <v>1</v>
      </c>
      <c r="J1036" s="9">
        <f>IF(Source!BA795&lt;&gt; 0, Source!BA795, 1)</f>
        <v>1</v>
      </c>
      <c r="K1036" s="21">
        <f>Source!S795</f>
        <v>266.02</v>
      </c>
      <c r="L1036" s="21"/>
    </row>
    <row r="1037" spans="1:22" ht="14.25" x14ac:dyDescent="0.2">
      <c r="A1037" s="18"/>
      <c r="B1037" s="18"/>
      <c r="C1037" s="18"/>
      <c r="D1037" s="18" t="s">
        <v>1107</v>
      </c>
      <c r="E1037" s="19"/>
      <c r="F1037" s="9"/>
      <c r="G1037" s="21">
        <f>Source!AM795</f>
        <v>16.940000000000001</v>
      </c>
      <c r="H1037" s="20" t="str">
        <f>Source!DE795</f>
        <v/>
      </c>
      <c r="I1037" s="9">
        <f>Source!AV795</f>
        <v>1</v>
      </c>
      <c r="J1037" s="9">
        <f>IF(Source!BB795&lt;&gt; 0, Source!BB795, 1)</f>
        <v>1</v>
      </c>
      <c r="K1037" s="21">
        <f>Source!Q795</f>
        <v>33.880000000000003</v>
      </c>
      <c r="L1037" s="21"/>
    </row>
    <row r="1038" spans="1:22" ht="14.25" x14ac:dyDescent="0.2">
      <c r="A1038" s="18"/>
      <c r="B1038" s="18"/>
      <c r="C1038" s="18"/>
      <c r="D1038" s="18" t="s">
        <v>1108</v>
      </c>
      <c r="E1038" s="19"/>
      <c r="F1038" s="9"/>
      <c r="G1038" s="21">
        <f>Source!AN795</f>
        <v>10.74</v>
      </c>
      <c r="H1038" s="20" t="str">
        <f>Source!DF795</f>
        <v/>
      </c>
      <c r="I1038" s="9">
        <f>Source!AV795</f>
        <v>1</v>
      </c>
      <c r="J1038" s="9">
        <f>IF(Source!BS795&lt;&gt; 0, Source!BS795, 1)</f>
        <v>1</v>
      </c>
      <c r="K1038" s="25">
        <f>Source!R795</f>
        <v>21.48</v>
      </c>
      <c r="L1038" s="21"/>
    </row>
    <row r="1039" spans="1:22" ht="14.25" x14ac:dyDescent="0.2">
      <c r="A1039" s="18"/>
      <c r="B1039" s="18"/>
      <c r="C1039" s="18"/>
      <c r="D1039" s="18" t="s">
        <v>1101</v>
      </c>
      <c r="E1039" s="19"/>
      <c r="F1039" s="9"/>
      <c r="G1039" s="21">
        <f>Source!AL795</f>
        <v>0.06</v>
      </c>
      <c r="H1039" s="20" t="str">
        <f>Source!DD795</f>
        <v/>
      </c>
      <c r="I1039" s="9">
        <f>Source!AW795</f>
        <v>1</v>
      </c>
      <c r="J1039" s="9">
        <f>IF(Source!BC795&lt;&gt; 0, Source!BC795, 1)</f>
        <v>1</v>
      </c>
      <c r="K1039" s="21">
        <f>Source!P795</f>
        <v>0.12</v>
      </c>
      <c r="L1039" s="21"/>
    </row>
    <row r="1040" spans="1:22" ht="14.25" x14ac:dyDescent="0.2">
      <c r="A1040" s="18"/>
      <c r="B1040" s="18"/>
      <c r="C1040" s="18"/>
      <c r="D1040" s="18" t="s">
        <v>1102</v>
      </c>
      <c r="E1040" s="19" t="s">
        <v>1103</v>
      </c>
      <c r="F1040" s="9">
        <f>Source!AT795</f>
        <v>70</v>
      </c>
      <c r="G1040" s="21"/>
      <c r="H1040" s="20"/>
      <c r="I1040" s="9"/>
      <c r="J1040" s="9"/>
      <c r="K1040" s="21">
        <f>SUM(R1035:R1039)</f>
        <v>186.21</v>
      </c>
      <c r="L1040" s="21"/>
    </row>
    <row r="1041" spans="1:22" ht="14.25" x14ac:dyDescent="0.2">
      <c r="A1041" s="18"/>
      <c r="B1041" s="18"/>
      <c r="C1041" s="18"/>
      <c r="D1041" s="18" t="s">
        <v>1104</v>
      </c>
      <c r="E1041" s="19" t="s">
        <v>1103</v>
      </c>
      <c r="F1041" s="9">
        <f>Source!AU795</f>
        <v>10</v>
      </c>
      <c r="G1041" s="21"/>
      <c r="H1041" s="20"/>
      <c r="I1041" s="9"/>
      <c r="J1041" s="9"/>
      <c r="K1041" s="21">
        <f>SUM(T1035:T1040)</f>
        <v>26.6</v>
      </c>
      <c r="L1041" s="21"/>
    </row>
    <row r="1042" spans="1:22" ht="14.25" x14ac:dyDescent="0.2">
      <c r="A1042" s="18"/>
      <c r="B1042" s="18"/>
      <c r="C1042" s="18"/>
      <c r="D1042" s="18" t="s">
        <v>1109</v>
      </c>
      <c r="E1042" s="19" t="s">
        <v>1103</v>
      </c>
      <c r="F1042" s="9">
        <f>108</f>
        <v>108</v>
      </c>
      <c r="G1042" s="21"/>
      <c r="H1042" s="20"/>
      <c r="I1042" s="9"/>
      <c r="J1042" s="9"/>
      <c r="K1042" s="21">
        <f>SUM(V1035:V1041)</f>
        <v>23.2</v>
      </c>
      <c r="L1042" s="21"/>
    </row>
    <row r="1043" spans="1:22" ht="14.25" x14ac:dyDescent="0.2">
      <c r="A1043" s="18"/>
      <c r="B1043" s="18"/>
      <c r="C1043" s="18"/>
      <c r="D1043" s="18" t="s">
        <v>1105</v>
      </c>
      <c r="E1043" s="19" t="s">
        <v>1106</v>
      </c>
      <c r="F1043" s="9">
        <f>Source!AQ795</f>
        <v>0.25</v>
      </c>
      <c r="G1043" s="21"/>
      <c r="H1043" s="20" t="str">
        <f>Source!DI795</f>
        <v/>
      </c>
      <c r="I1043" s="9">
        <f>Source!AV795</f>
        <v>1</v>
      </c>
      <c r="J1043" s="9"/>
      <c r="K1043" s="21"/>
      <c r="L1043" s="21">
        <f>Source!U795</f>
        <v>0.5</v>
      </c>
    </row>
    <row r="1044" spans="1:22" ht="15" x14ac:dyDescent="0.25">
      <c r="A1044" s="23"/>
      <c r="B1044" s="23"/>
      <c r="C1044" s="23"/>
      <c r="D1044" s="23"/>
      <c r="E1044" s="23"/>
      <c r="F1044" s="23"/>
      <c r="G1044" s="23"/>
      <c r="H1044" s="23"/>
      <c r="I1044" s="23"/>
      <c r="J1044" s="44">
        <f>K1036+K1037+K1039+K1040+K1041+K1042</f>
        <v>536.03000000000009</v>
      </c>
      <c r="K1044" s="44"/>
      <c r="L1044" s="24">
        <f>IF(Source!I795&lt;&gt;0, ROUND(J1044/Source!I795, 2), 0)</f>
        <v>268.02</v>
      </c>
      <c r="P1044" s="22">
        <f>J1044</f>
        <v>536.03000000000009</v>
      </c>
    </row>
    <row r="1046" spans="1:22" ht="15" x14ac:dyDescent="0.25">
      <c r="C1046" s="47" t="str">
        <f>Source!G796</f>
        <v>ВРУ-4</v>
      </c>
      <c r="D1046" s="47"/>
      <c r="E1046" s="47"/>
      <c r="F1046" s="47"/>
      <c r="G1046" s="47"/>
      <c r="H1046" s="47"/>
      <c r="I1046" s="47"/>
      <c r="J1046" s="47"/>
      <c r="K1046" s="47"/>
    </row>
    <row r="1047" spans="1:22" ht="57" x14ac:dyDescent="0.2">
      <c r="A1047" s="18">
        <v>114</v>
      </c>
      <c r="B1047" s="18">
        <v>114</v>
      </c>
      <c r="C1047" s="18" t="str">
        <f>Source!F797</f>
        <v>1.21-2203-8-2/1</v>
      </c>
      <c r="D1047" s="18" t="str">
        <f>Source!G797</f>
        <v>Техническое обслуживание ящика ввода распределительного с рубильником и предохранителями, номинальный ток 600 А (ВП4)</v>
      </c>
      <c r="E1047" s="19" t="str">
        <f>Source!H797</f>
        <v>шт.</v>
      </c>
      <c r="F1047" s="9">
        <f>Source!I797</f>
        <v>1</v>
      </c>
      <c r="G1047" s="21"/>
      <c r="H1047" s="20"/>
      <c r="I1047" s="9"/>
      <c r="J1047" s="9"/>
      <c r="K1047" s="21"/>
      <c r="L1047" s="21"/>
      <c r="Q1047">
        <f>ROUND((Source!BZ797/100)*ROUND((Source!AF797*Source!AV797)*Source!I797, 2), 2)</f>
        <v>3890.19</v>
      </c>
      <c r="R1047">
        <f>Source!X797</f>
        <v>3890.19</v>
      </c>
      <c r="S1047">
        <f>ROUND((Source!CA797/100)*ROUND((Source!AF797*Source!AV797)*Source!I797, 2), 2)</f>
        <v>555.74</v>
      </c>
      <c r="T1047">
        <f>Source!Y797</f>
        <v>555.74</v>
      </c>
      <c r="U1047">
        <f>ROUND((175/100)*ROUND((Source!AE797*Source!AV797)*Source!I797, 2), 2)</f>
        <v>0</v>
      </c>
      <c r="V1047">
        <f>ROUND((108/100)*ROUND(Source!CS797*Source!I797, 2), 2)</f>
        <v>0</v>
      </c>
    </row>
    <row r="1048" spans="1:22" ht="14.25" x14ac:dyDescent="0.2">
      <c r="A1048" s="18"/>
      <c r="B1048" s="18"/>
      <c r="C1048" s="18"/>
      <c r="D1048" s="18" t="s">
        <v>1100</v>
      </c>
      <c r="E1048" s="19"/>
      <c r="F1048" s="9"/>
      <c r="G1048" s="21">
        <f>Source!AO797</f>
        <v>5557.41</v>
      </c>
      <c r="H1048" s="20" t="str">
        <f>Source!DG797</f>
        <v/>
      </c>
      <c r="I1048" s="9">
        <f>Source!AV797</f>
        <v>1</v>
      </c>
      <c r="J1048" s="9">
        <f>IF(Source!BA797&lt;&gt; 0, Source!BA797, 1)</f>
        <v>1</v>
      </c>
      <c r="K1048" s="21">
        <f>Source!S797</f>
        <v>5557.41</v>
      </c>
      <c r="L1048" s="21"/>
    </row>
    <row r="1049" spans="1:22" ht="14.25" x14ac:dyDescent="0.2">
      <c r="A1049" s="18"/>
      <c r="B1049" s="18"/>
      <c r="C1049" s="18"/>
      <c r="D1049" s="18" t="s">
        <v>1101</v>
      </c>
      <c r="E1049" s="19"/>
      <c r="F1049" s="9"/>
      <c r="G1049" s="21">
        <f>Source!AL797</f>
        <v>77.08</v>
      </c>
      <c r="H1049" s="20" t="str">
        <f>Source!DD797</f>
        <v/>
      </c>
      <c r="I1049" s="9">
        <f>Source!AW797</f>
        <v>1</v>
      </c>
      <c r="J1049" s="9">
        <f>IF(Source!BC797&lt;&gt; 0, Source!BC797, 1)</f>
        <v>1</v>
      </c>
      <c r="K1049" s="21">
        <f>Source!P797</f>
        <v>77.08</v>
      </c>
      <c r="L1049" s="21"/>
    </row>
    <row r="1050" spans="1:22" ht="14.25" x14ac:dyDescent="0.2">
      <c r="A1050" s="18"/>
      <c r="B1050" s="18"/>
      <c r="C1050" s="18"/>
      <c r="D1050" s="18" t="s">
        <v>1102</v>
      </c>
      <c r="E1050" s="19" t="s">
        <v>1103</v>
      </c>
      <c r="F1050" s="9">
        <f>Source!AT797</f>
        <v>70</v>
      </c>
      <c r="G1050" s="21"/>
      <c r="H1050" s="20"/>
      <c r="I1050" s="9"/>
      <c r="J1050" s="9"/>
      <c r="K1050" s="21">
        <f>SUM(R1047:R1049)</f>
        <v>3890.19</v>
      </c>
      <c r="L1050" s="21"/>
    </row>
    <row r="1051" spans="1:22" ht="14.25" x14ac:dyDescent="0.2">
      <c r="A1051" s="18"/>
      <c r="B1051" s="18"/>
      <c r="C1051" s="18"/>
      <c r="D1051" s="18" t="s">
        <v>1104</v>
      </c>
      <c r="E1051" s="19" t="s">
        <v>1103</v>
      </c>
      <c r="F1051" s="9">
        <f>Source!AU797</f>
        <v>10</v>
      </c>
      <c r="G1051" s="21"/>
      <c r="H1051" s="20"/>
      <c r="I1051" s="9"/>
      <c r="J1051" s="9"/>
      <c r="K1051" s="21">
        <f>SUM(T1047:T1050)</f>
        <v>555.74</v>
      </c>
      <c r="L1051" s="21"/>
    </row>
    <row r="1052" spans="1:22" ht="14.25" x14ac:dyDescent="0.2">
      <c r="A1052" s="18"/>
      <c r="B1052" s="18"/>
      <c r="C1052" s="18"/>
      <c r="D1052" s="18" t="s">
        <v>1105</v>
      </c>
      <c r="E1052" s="19" t="s">
        <v>1106</v>
      </c>
      <c r="F1052" s="9">
        <f>Source!AQ797</f>
        <v>9</v>
      </c>
      <c r="G1052" s="21"/>
      <c r="H1052" s="20" t="str">
        <f>Source!DI797</f>
        <v/>
      </c>
      <c r="I1052" s="9">
        <f>Source!AV797</f>
        <v>1</v>
      </c>
      <c r="J1052" s="9"/>
      <c r="K1052" s="21"/>
      <c r="L1052" s="21">
        <f>Source!U797</f>
        <v>9</v>
      </c>
    </row>
    <row r="1053" spans="1:22" ht="15" x14ac:dyDescent="0.25">
      <c r="A1053" s="23"/>
      <c r="B1053" s="23"/>
      <c r="C1053" s="23"/>
      <c r="D1053" s="23"/>
      <c r="E1053" s="23"/>
      <c r="F1053" s="23"/>
      <c r="G1053" s="23"/>
      <c r="H1053" s="23"/>
      <c r="I1053" s="23"/>
      <c r="J1053" s="44">
        <f>K1048+K1049+K1050+K1051</f>
        <v>10080.42</v>
      </c>
      <c r="K1053" s="44"/>
      <c r="L1053" s="24">
        <f>IF(Source!I797&lt;&gt;0, ROUND(J1053/Source!I797, 2), 0)</f>
        <v>10080.42</v>
      </c>
      <c r="P1053" s="22">
        <f>J1053</f>
        <v>10080.42</v>
      </c>
    </row>
    <row r="1054" spans="1:22" ht="71.25" x14ac:dyDescent="0.2">
      <c r="A1054" s="18">
        <v>115</v>
      </c>
      <c r="B1054" s="18">
        <v>115</v>
      </c>
      <c r="C1054" s="18" t="str">
        <f>Source!F801</f>
        <v>1.21-2303-40-1/1</v>
      </c>
      <c r="D1054" s="18" t="str">
        <f>Source!G801</f>
        <v>Техническое обслуживание измерителя мощности типа PM710MG на лицевой панели распределительного устройства - полугодовое</v>
      </c>
      <c r="E1054" s="19" t="str">
        <f>Source!H801</f>
        <v>шт.</v>
      </c>
      <c r="F1054" s="9">
        <f>Source!I801</f>
        <v>1</v>
      </c>
      <c r="G1054" s="21"/>
      <c r="H1054" s="20"/>
      <c r="I1054" s="9"/>
      <c r="J1054" s="9"/>
      <c r="K1054" s="21"/>
      <c r="L1054" s="21"/>
      <c r="Q1054">
        <f>ROUND((Source!BZ801/100)*ROUND((Source!AF801*Source!AV801)*Source!I801, 2), 2)</f>
        <v>78.709999999999994</v>
      </c>
      <c r="R1054">
        <f>Source!X801</f>
        <v>78.709999999999994</v>
      </c>
      <c r="S1054">
        <f>ROUND((Source!CA801/100)*ROUND((Source!AF801*Source!AV801)*Source!I801, 2), 2)</f>
        <v>11.24</v>
      </c>
      <c r="T1054">
        <f>Source!Y801</f>
        <v>11.24</v>
      </c>
      <c r="U1054">
        <f>ROUND((175/100)*ROUND((Source!AE801*Source!AV801)*Source!I801, 2), 2)</f>
        <v>0</v>
      </c>
      <c r="V1054">
        <f>ROUND((108/100)*ROUND(Source!CS801*Source!I801, 2), 2)</f>
        <v>0</v>
      </c>
    </row>
    <row r="1055" spans="1:22" ht="14.25" x14ac:dyDescent="0.2">
      <c r="A1055" s="18"/>
      <c r="B1055" s="18"/>
      <c r="C1055" s="18"/>
      <c r="D1055" s="18" t="s">
        <v>1100</v>
      </c>
      <c r="E1055" s="19"/>
      <c r="F1055" s="9"/>
      <c r="G1055" s="21">
        <f>Source!AO801</f>
        <v>112.44</v>
      </c>
      <c r="H1055" s="20" t="str">
        <f>Source!DG801</f>
        <v/>
      </c>
      <c r="I1055" s="9">
        <f>Source!AV801</f>
        <v>1</v>
      </c>
      <c r="J1055" s="9">
        <f>IF(Source!BA801&lt;&gt; 0, Source!BA801, 1)</f>
        <v>1</v>
      </c>
      <c r="K1055" s="21">
        <f>Source!S801</f>
        <v>112.44</v>
      </c>
      <c r="L1055" s="21"/>
    </row>
    <row r="1056" spans="1:22" ht="14.25" x14ac:dyDescent="0.2">
      <c r="A1056" s="18"/>
      <c r="B1056" s="18"/>
      <c r="C1056" s="18"/>
      <c r="D1056" s="18" t="s">
        <v>1101</v>
      </c>
      <c r="E1056" s="19"/>
      <c r="F1056" s="9"/>
      <c r="G1056" s="21">
        <f>Source!AL801</f>
        <v>6.3</v>
      </c>
      <c r="H1056" s="20" t="str">
        <f>Source!DD801</f>
        <v/>
      </c>
      <c r="I1056" s="9">
        <f>Source!AW801</f>
        <v>1</v>
      </c>
      <c r="J1056" s="9">
        <f>IF(Source!BC801&lt;&gt; 0, Source!BC801, 1)</f>
        <v>1</v>
      </c>
      <c r="K1056" s="21">
        <f>Source!P801</f>
        <v>6.3</v>
      </c>
      <c r="L1056" s="21"/>
    </row>
    <row r="1057" spans="1:22" ht="14.25" x14ac:dyDescent="0.2">
      <c r="A1057" s="18"/>
      <c r="B1057" s="18"/>
      <c r="C1057" s="18"/>
      <c r="D1057" s="18" t="s">
        <v>1102</v>
      </c>
      <c r="E1057" s="19" t="s">
        <v>1103</v>
      </c>
      <c r="F1057" s="9">
        <f>Source!AT801</f>
        <v>70</v>
      </c>
      <c r="G1057" s="21"/>
      <c r="H1057" s="20"/>
      <c r="I1057" s="9"/>
      <c r="J1057" s="9"/>
      <c r="K1057" s="21">
        <f>SUM(R1054:R1056)</f>
        <v>78.709999999999994</v>
      </c>
      <c r="L1057" s="21"/>
    </row>
    <row r="1058" spans="1:22" ht="14.25" x14ac:dyDescent="0.2">
      <c r="A1058" s="18"/>
      <c r="B1058" s="18"/>
      <c r="C1058" s="18"/>
      <c r="D1058" s="18" t="s">
        <v>1104</v>
      </c>
      <c r="E1058" s="19" t="s">
        <v>1103</v>
      </c>
      <c r="F1058" s="9">
        <f>Source!AU801</f>
        <v>10</v>
      </c>
      <c r="G1058" s="21"/>
      <c r="H1058" s="20"/>
      <c r="I1058" s="9"/>
      <c r="J1058" s="9"/>
      <c r="K1058" s="21">
        <f>SUM(T1054:T1057)</f>
        <v>11.24</v>
      </c>
      <c r="L1058" s="21"/>
    </row>
    <row r="1059" spans="1:22" ht="14.25" x14ac:dyDescent="0.2">
      <c r="A1059" s="18"/>
      <c r="B1059" s="18"/>
      <c r="C1059" s="18"/>
      <c r="D1059" s="18" t="s">
        <v>1105</v>
      </c>
      <c r="E1059" s="19" t="s">
        <v>1106</v>
      </c>
      <c r="F1059" s="9">
        <f>Source!AQ801</f>
        <v>0.2</v>
      </c>
      <c r="G1059" s="21"/>
      <c r="H1059" s="20" t="str">
        <f>Source!DI801</f>
        <v/>
      </c>
      <c r="I1059" s="9">
        <f>Source!AV801</f>
        <v>1</v>
      </c>
      <c r="J1059" s="9"/>
      <c r="K1059" s="21"/>
      <c r="L1059" s="21">
        <f>Source!U801</f>
        <v>0.2</v>
      </c>
    </row>
    <row r="1060" spans="1:22" ht="15" x14ac:dyDescent="0.25">
      <c r="A1060" s="23"/>
      <c r="B1060" s="23"/>
      <c r="C1060" s="23"/>
      <c r="D1060" s="23"/>
      <c r="E1060" s="23"/>
      <c r="F1060" s="23"/>
      <c r="G1060" s="23"/>
      <c r="H1060" s="23"/>
      <c r="I1060" s="23"/>
      <c r="J1060" s="44">
        <f>K1055+K1056+K1057+K1058</f>
        <v>208.69</v>
      </c>
      <c r="K1060" s="44"/>
      <c r="L1060" s="24">
        <f>IF(Source!I801&lt;&gt;0, ROUND(J1060/Source!I801, 2), 0)</f>
        <v>208.69</v>
      </c>
      <c r="P1060" s="22">
        <f>J1060</f>
        <v>208.69</v>
      </c>
    </row>
    <row r="1061" spans="1:22" ht="57" x14ac:dyDescent="0.2">
      <c r="A1061" s="18">
        <v>116</v>
      </c>
      <c r="B1061" s="18">
        <v>116</v>
      </c>
      <c r="C1061" s="18" t="str">
        <f>Source!F805</f>
        <v>1.21-2103-9-3/1</v>
      </c>
      <c r="D1061" s="18" t="str">
        <f>Source!G805</f>
        <v>Техническое обслуживание силовых сетей, проложенных по кирпичным и бетонным основаниям, провод сечением 4х1,5-6 мм2 / 10х2,5</v>
      </c>
      <c r="E1061" s="19" t="str">
        <f>Source!H805</f>
        <v>100 м</v>
      </c>
      <c r="F1061" s="9">
        <f>Source!I805</f>
        <v>2E-3</v>
      </c>
      <c r="G1061" s="21"/>
      <c r="H1061" s="20"/>
      <c r="I1061" s="9"/>
      <c r="J1061" s="9"/>
      <c r="K1061" s="21"/>
      <c r="L1061" s="21"/>
      <c r="Q1061">
        <f>ROUND((Source!BZ805/100)*ROUND((Source!AF805*Source!AV805)*Source!I805, 2), 2)</f>
        <v>8.41</v>
      </c>
      <c r="R1061">
        <f>Source!X805</f>
        <v>8.41</v>
      </c>
      <c r="S1061">
        <f>ROUND((Source!CA805/100)*ROUND((Source!AF805*Source!AV805)*Source!I805, 2), 2)</f>
        <v>1.2</v>
      </c>
      <c r="T1061">
        <f>Source!Y805</f>
        <v>1.2</v>
      </c>
      <c r="U1061">
        <f>ROUND((175/100)*ROUND((Source!AE805*Source!AV805)*Source!I805, 2), 2)</f>
        <v>0</v>
      </c>
      <c r="V1061">
        <f>ROUND((108/100)*ROUND(Source!CS805*Source!I805, 2), 2)</f>
        <v>0</v>
      </c>
    </row>
    <row r="1062" spans="1:22" x14ac:dyDescent="0.2">
      <c r="D1062" s="28" t="str">
        <f>"Объем: "&amp;Source!I805&amp;"=10*"&amp;"0,2*"&amp;"0,1/"&amp;"100"</f>
        <v>Объем: 0,002=10*0,2*0,1/100</v>
      </c>
    </row>
    <row r="1063" spans="1:22" ht="14.25" x14ac:dyDescent="0.2">
      <c r="A1063" s="18"/>
      <c r="B1063" s="18"/>
      <c r="C1063" s="18"/>
      <c r="D1063" s="18" t="s">
        <v>1100</v>
      </c>
      <c r="E1063" s="19"/>
      <c r="F1063" s="9"/>
      <c r="G1063" s="21">
        <f>Source!AO805</f>
        <v>6006.24</v>
      </c>
      <c r="H1063" s="20" t="str">
        <f>Source!DG805</f>
        <v/>
      </c>
      <c r="I1063" s="9">
        <f>Source!AV805</f>
        <v>1</v>
      </c>
      <c r="J1063" s="9">
        <f>IF(Source!BA805&lt;&gt; 0, Source!BA805, 1)</f>
        <v>1</v>
      </c>
      <c r="K1063" s="21">
        <f>Source!S805</f>
        <v>12.01</v>
      </c>
      <c r="L1063" s="21"/>
    </row>
    <row r="1064" spans="1:22" ht="14.25" x14ac:dyDescent="0.2">
      <c r="A1064" s="18"/>
      <c r="B1064" s="18"/>
      <c r="C1064" s="18"/>
      <c r="D1064" s="18" t="s">
        <v>1101</v>
      </c>
      <c r="E1064" s="19"/>
      <c r="F1064" s="9"/>
      <c r="G1064" s="21">
        <f>Source!AL805</f>
        <v>14.63</v>
      </c>
      <c r="H1064" s="20" t="str">
        <f>Source!DD805</f>
        <v/>
      </c>
      <c r="I1064" s="9">
        <f>Source!AW805</f>
        <v>1</v>
      </c>
      <c r="J1064" s="9">
        <f>IF(Source!BC805&lt;&gt; 0, Source!BC805, 1)</f>
        <v>1</v>
      </c>
      <c r="K1064" s="21">
        <f>Source!P805</f>
        <v>0.03</v>
      </c>
      <c r="L1064" s="21"/>
    </row>
    <row r="1065" spans="1:22" ht="14.25" x14ac:dyDescent="0.2">
      <c r="A1065" s="18"/>
      <c r="B1065" s="18"/>
      <c r="C1065" s="18"/>
      <c r="D1065" s="18" t="s">
        <v>1102</v>
      </c>
      <c r="E1065" s="19" t="s">
        <v>1103</v>
      </c>
      <c r="F1065" s="9">
        <f>Source!AT805</f>
        <v>70</v>
      </c>
      <c r="G1065" s="21"/>
      <c r="H1065" s="20"/>
      <c r="I1065" s="9"/>
      <c r="J1065" s="9"/>
      <c r="K1065" s="21">
        <f>SUM(R1061:R1064)</f>
        <v>8.41</v>
      </c>
      <c r="L1065" s="21"/>
    </row>
    <row r="1066" spans="1:22" ht="14.25" x14ac:dyDescent="0.2">
      <c r="A1066" s="18"/>
      <c r="B1066" s="18"/>
      <c r="C1066" s="18"/>
      <c r="D1066" s="18" t="s">
        <v>1104</v>
      </c>
      <c r="E1066" s="19" t="s">
        <v>1103</v>
      </c>
      <c r="F1066" s="9">
        <f>Source!AU805</f>
        <v>10</v>
      </c>
      <c r="G1066" s="21"/>
      <c r="H1066" s="20"/>
      <c r="I1066" s="9"/>
      <c r="J1066" s="9"/>
      <c r="K1066" s="21">
        <f>SUM(T1061:T1065)</f>
        <v>1.2</v>
      </c>
      <c r="L1066" s="21"/>
    </row>
    <row r="1067" spans="1:22" ht="14.25" x14ac:dyDescent="0.2">
      <c r="A1067" s="18"/>
      <c r="B1067" s="18"/>
      <c r="C1067" s="18"/>
      <c r="D1067" s="18" t="s">
        <v>1105</v>
      </c>
      <c r="E1067" s="19" t="s">
        <v>1106</v>
      </c>
      <c r="F1067" s="9">
        <f>Source!AQ805</f>
        <v>11.22</v>
      </c>
      <c r="G1067" s="21"/>
      <c r="H1067" s="20" t="str">
        <f>Source!DI805</f>
        <v/>
      </c>
      <c r="I1067" s="9">
        <f>Source!AV805</f>
        <v>1</v>
      </c>
      <c r="J1067" s="9"/>
      <c r="K1067" s="21"/>
      <c r="L1067" s="21">
        <f>Source!U805</f>
        <v>2.2440000000000002E-2</v>
      </c>
    </row>
    <row r="1068" spans="1:22" ht="15" x14ac:dyDescent="0.25">
      <c r="A1068" s="23"/>
      <c r="B1068" s="23"/>
      <c r="C1068" s="23"/>
      <c r="D1068" s="23"/>
      <c r="E1068" s="23"/>
      <c r="F1068" s="23"/>
      <c r="G1068" s="23"/>
      <c r="H1068" s="23"/>
      <c r="I1068" s="23"/>
      <c r="J1068" s="44">
        <f>K1063+K1064+K1065+K1066</f>
        <v>21.65</v>
      </c>
      <c r="K1068" s="44"/>
      <c r="L1068" s="24">
        <f>IF(Source!I805&lt;&gt;0, ROUND(J1068/Source!I805, 2), 0)</f>
        <v>10825</v>
      </c>
      <c r="P1068" s="22">
        <f>J1068</f>
        <v>21.65</v>
      </c>
    </row>
    <row r="1069" spans="1:22" ht="71.25" x14ac:dyDescent="0.2">
      <c r="A1069" s="18">
        <v>117</v>
      </c>
      <c r="B1069" s="18">
        <v>117</v>
      </c>
      <c r="C1069" s="18" t="str">
        <f>Source!F806</f>
        <v>1.21-2103-9-4/1</v>
      </c>
      <c r="D1069" s="18" t="str">
        <f>Source!G806</f>
        <v>Техническое обслуживание силовых сетей, проложенных по кирпичным и бетонным основаниям, добавлять на каждый следующий провод к поз. 21-2103-9-3</v>
      </c>
      <c r="E1069" s="19" t="str">
        <f>Source!H806</f>
        <v>100 м</v>
      </c>
      <c r="F1069" s="9">
        <f>Source!I806</f>
        <v>2E-3</v>
      </c>
      <c r="G1069" s="21"/>
      <c r="H1069" s="20"/>
      <c r="I1069" s="9"/>
      <c r="J1069" s="9"/>
      <c r="K1069" s="21"/>
      <c r="L1069" s="21"/>
      <c r="Q1069">
        <f>ROUND((Source!BZ806/100)*ROUND((Source!AF806*Source!AV806)*Source!I806, 2), 2)</f>
        <v>1.53</v>
      </c>
      <c r="R1069">
        <f>Source!X806</f>
        <v>1.53</v>
      </c>
      <c r="S1069">
        <f>ROUND((Source!CA806/100)*ROUND((Source!AF806*Source!AV806)*Source!I806, 2), 2)</f>
        <v>0.22</v>
      </c>
      <c r="T1069">
        <f>Source!Y806</f>
        <v>0.22</v>
      </c>
      <c r="U1069">
        <f>ROUND((175/100)*ROUND((Source!AE806*Source!AV806)*Source!I806, 2), 2)</f>
        <v>0</v>
      </c>
      <c r="V1069">
        <f>ROUND((108/100)*ROUND(Source!CS806*Source!I806, 2), 2)</f>
        <v>0</v>
      </c>
    </row>
    <row r="1070" spans="1:22" x14ac:dyDescent="0.2">
      <c r="D1070" s="28" t="str">
        <f>"Объем: "&amp;Source!I806&amp;"=10*"&amp;"0,2*"&amp;"0,1/"&amp;"100"</f>
        <v>Объем: 0,002=10*0,2*0,1/100</v>
      </c>
    </row>
    <row r="1071" spans="1:22" ht="14.25" x14ac:dyDescent="0.2">
      <c r="A1071" s="18"/>
      <c r="B1071" s="18"/>
      <c r="C1071" s="18"/>
      <c r="D1071" s="18" t="s">
        <v>1100</v>
      </c>
      <c r="E1071" s="19"/>
      <c r="F1071" s="9"/>
      <c r="G1071" s="21">
        <f>Source!AO806</f>
        <v>1092.04</v>
      </c>
      <c r="H1071" s="20" t="str">
        <f>Source!DG806</f>
        <v/>
      </c>
      <c r="I1071" s="9">
        <f>Source!AV806</f>
        <v>1</v>
      </c>
      <c r="J1071" s="9">
        <f>IF(Source!BA806&lt;&gt; 0, Source!BA806, 1)</f>
        <v>1</v>
      </c>
      <c r="K1071" s="21">
        <f>Source!S806</f>
        <v>2.1800000000000002</v>
      </c>
      <c r="L1071" s="21"/>
    </row>
    <row r="1072" spans="1:22" ht="14.25" x14ac:dyDescent="0.2">
      <c r="A1072" s="18"/>
      <c r="B1072" s="18"/>
      <c r="C1072" s="18"/>
      <c r="D1072" s="18" t="s">
        <v>1102</v>
      </c>
      <c r="E1072" s="19" t="s">
        <v>1103</v>
      </c>
      <c r="F1072" s="9">
        <f>Source!AT806</f>
        <v>70</v>
      </c>
      <c r="G1072" s="21"/>
      <c r="H1072" s="20"/>
      <c r="I1072" s="9"/>
      <c r="J1072" s="9"/>
      <c r="K1072" s="21">
        <f>SUM(R1069:R1071)</f>
        <v>1.53</v>
      </c>
      <c r="L1072" s="21"/>
    </row>
    <row r="1073" spans="1:22" ht="14.25" x14ac:dyDescent="0.2">
      <c r="A1073" s="18"/>
      <c r="B1073" s="18"/>
      <c r="C1073" s="18"/>
      <c r="D1073" s="18" t="s">
        <v>1104</v>
      </c>
      <c r="E1073" s="19" t="s">
        <v>1103</v>
      </c>
      <c r="F1073" s="9">
        <f>Source!AU806</f>
        <v>10</v>
      </c>
      <c r="G1073" s="21"/>
      <c r="H1073" s="20"/>
      <c r="I1073" s="9"/>
      <c r="J1073" s="9"/>
      <c r="K1073" s="21">
        <f>SUM(T1069:T1072)</f>
        <v>0.22</v>
      </c>
      <c r="L1073" s="21"/>
    </row>
    <row r="1074" spans="1:22" ht="14.25" x14ac:dyDescent="0.2">
      <c r="A1074" s="18"/>
      <c r="B1074" s="18"/>
      <c r="C1074" s="18"/>
      <c r="D1074" s="18" t="s">
        <v>1105</v>
      </c>
      <c r="E1074" s="19" t="s">
        <v>1106</v>
      </c>
      <c r="F1074" s="9">
        <f>Source!AQ806</f>
        <v>2.04</v>
      </c>
      <c r="G1074" s="21"/>
      <c r="H1074" s="20" t="str">
        <f>Source!DI806</f>
        <v/>
      </c>
      <c r="I1074" s="9">
        <f>Source!AV806</f>
        <v>1</v>
      </c>
      <c r="J1074" s="9"/>
      <c r="K1074" s="21"/>
      <c r="L1074" s="21">
        <f>Source!U806</f>
        <v>4.0800000000000003E-3</v>
      </c>
    </row>
    <row r="1075" spans="1:22" ht="15" x14ac:dyDescent="0.25">
      <c r="A1075" s="23"/>
      <c r="B1075" s="23"/>
      <c r="C1075" s="23"/>
      <c r="D1075" s="23"/>
      <c r="E1075" s="23"/>
      <c r="F1075" s="23"/>
      <c r="G1075" s="23"/>
      <c r="H1075" s="23"/>
      <c r="I1075" s="23"/>
      <c r="J1075" s="44">
        <f>K1071+K1072+K1073</f>
        <v>3.93</v>
      </c>
      <c r="K1075" s="44"/>
      <c r="L1075" s="24">
        <f>IF(Source!I806&lt;&gt;0, ROUND(J1075/Source!I806, 2), 0)</f>
        <v>1965</v>
      </c>
      <c r="P1075" s="22">
        <f>J1075</f>
        <v>3.93</v>
      </c>
    </row>
    <row r="1076" spans="1:22" ht="85.5" x14ac:dyDescent="0.2">
      <c r="A1076" s="18">
        <v>118</v>
      </c>
      <c r="B1076" s="18">
        <v>118</v>
      </c>
      <c r="C1076" s="18" t="str">
        <f>Source!F807</f>
        <v>1.21-2203-37-1/1</v>
      </c>
      <c r="D1076" s="18" t="str">
        <f>Source!G807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1076" s="19" t="str">
        <f>Source!H807</f>
        <v>шт.</v>
      </c>
      <c r="F1076" s="9">
        <f>Source!I807</f>
        <v>1</v>
      </c>
      <c r="G1076" s="21"/>
      <c r="H1076" s="20"/>
      <c r="I1076" s="9"/>
      <c r="J1076" s="9"/>
      <c r="K1076" s="21"/>
      <c r="L1076" s="21"/>
      <c r="Q1076">
        <f>ROUND((Source!BZ807/100)*ROUND((Source!AF807*Source!AV807)*Source!I807, 2), 2)</f>
        <v>236.12</v>
      </c>
      <c r="R1076">
        <f>Source!X807</f>
        <v>236.12</v>
      </c>
      <c r="S1076">
        <f>ROUND((Source!CA807/100)*ROUND((Source!AF807*Source!AV807)*Source!I807, 2), 2)</f>
        <v>33.729999999999997</v>
      </c>
      <c r="T1076">
        <f>Source!Y807</f>
        <v>33.729999999999997</v>
      </c>
      <c r="U1076">
        <f>ROUND((175/100)*ROUND((Source!AE807*Source!AV807)*Source!I807, 2), 2)</f>
        <v>0</v>
      </c>
      <c r="V1076">
        <f>ROUND((108/100)*ROUND(Source!CS807*Source!I807, 2), 2)</f>
        <v>0</v>
      </c>
    </row>
    <row r="1077" spans="1:22" ht="14.25" x14ac:dyDescent="0.2">
      <c r="A1077" s="18"/>
      <c r="B1077" s="18"/>
      <c r="C1077" s="18"/>
      <c r="D1077" s="18" t="s">
        <v>1100</v>
      </c>
      <c r="E1077" s="19"/>
      <c r="F1077" s="9"/>
      <c r="G1077" s="21">
        <f>Source!AO807</f>
        <v>337.31</v>
      </c>
      <c r="H1077" s="20" t="str">
        <f>Source!DG807</f>
        <v/>
      </c>
      <c r="I1077" s="9">
        <f>Source!AV807</f>
        <v>1</v>
      </c>
      <c r="J1077" s="9">
        <f>IF(Source!BA807&lt;&gt; 0, Source!BA807, 1)</f>
        <v>1</v>
      </c>
      <c r="K1077" s="21">
        <f>Source!S807</f>
        <v>337.31</v>
      </c>
      <c r="L1077" s="21"/>
    </row>
    <row r="1078" spans="1:22" ht="14.25" x14ac:dyDescent="0.2">
      <c r="A1078" s="18"/>
      <c r="B1078" s="18"/>
      <c r="C1078" s="18"/>
      <c r="D1078" s="18" t="s">
        <v>1101</v>
      </c>
      <c r="E1078" s="19"/>
      <c r="F1078" s="9"/>
      <c r="G1078" s="21">
        <f>Source!AL807</f>
        <v>1.57</v>
      </c>
      <c r="H1078" s="20" t="str">
        <f>Source!DD807</f>
        <v/>
      </c>
      <c r="I1078" s="9">
        <f>Source!AW807</f>
        <v>1</v>
      </c>
      <c r="J1078" s="9">
        <f>IF(Source!BC807&lt;&gt; 0, Source!BC807, 1)</f>
        <v>1</v>
      </c>
      <c r="K1078" s="21">
        <f>Source!P807</f>
        <v>1.57</v>
      </c>
      <c r="L1078" s="21"/>
    </row>
    <row r="1079" spans="1:22" ht="14.25" x14ac:dyDescent="0.2">
      <c r="A1079" s="18"/>
      <c r="B1079" s="18"/>
      <c r="C1079" s="18"/>
      <c r="D1079" s="18" t="s">
        <v>1102</v>
      </c>
      <c r="E1079" s="19" t="s">
        <v>1103</v>
      </c>
      <c r="F1079" s="9">
        <f>Source!AT807</f>
        <v>70</v>
      </c>
      <c r="G1079" s="21"/>
      <c r="H1079" s="20"/>
      <c r="I1079" s="9"/>
      <c r="J1079" s="9"/>
      <c r="K1079" s="21">
        <f>SUM(R1076:R1078)</f>
        <v>236.12</v>
      </c>
      <c r="L1079" s="21"/>
    </row>
    <row r="1080" spans="1:22" ht="14.25" x14ac:dyDescent="0.2">
      <c r="A1080" s="18"/>
      <c r="B1080" s="18"/>
      <c r="C1080" s="18"/>
      <c r="D1080" s="18" t="s">
        <v>1104</v>
      </c>
      <c r="E1080" s="19" t="s">
        <v>1103</v>
      </c>
      <c r="F1080" s="9">
        <f>Source!AU807</f>
        <v>10</v>
      </c>
      <c r="G1080" s="21"/>
      <c r="H1080" s="20"/>
      <c r="I1080" s="9"/>
      <c r="J1080" s="9"/>
      <c r="K1080" s="21">
        <f>SUM(T1076:T1079)</f>
        <v>33.729999999999997</v>
      </c>
      <c r="L1080" s="21"/>
    </row>
    <row r="1081" spans="1:22" ht="14.25" x14ac:dyDescent="0.2">
      <c r="A1081" s="18"/>
      <c r="B1081" s="18"/>
      <c r="C1081" s="18"/>
      <c r="D1081" s="18" t="s">
        <v>1105</v>
      </c>
      <c r="E1081" s="19" t="s">
        <v>1106</v>
      </c>
      <c r="F1081" s="9">
        <f>Source!AQ807</f>
        <v>0.6</v>
      </c>
      <c r="G1081" s="21"/>
      <c r="H1081" s="20" t="str">
        <f>Source!DI807</f>
        <v/>
      </c>
      <c r="I1081" s="9">
        <f>Source!AV807</f>
        <v>1</v>
      </c>
      <c r="J1081" s="9"/>
      <c r="K1081" s="21"/>
      <c r="L1081" s="21">
        <f>Source!U807</f>
        <v>0.6</v>
      </c>
    </row>
    <row r="1082" spans="1:22" ht="15" x14ac:dyDescent="0.25">
      <c r="A1082" s="23"/>
      <c r="B1082" s="23"/>
      <c r="C1082" s="23"/>
      <c r="D1082" s="23"/>
      <c r="E1082" s="23"/>
      <c r="F1082" s="23"/>
      <c r="G1082" s="23"/>
      <c r="H1082" s="23"/>
      <c r="I1082" s="23"/>
      <c r="J1082" s="44">
        <f>K1077+K1078+K1079+K1080</f>
        <v>608.73</v>
      </c>
      <c r="K1082" s="44"/>
      <c r="L1082" s="24">
        <f>IF(Source!I807&lt;&gt;0, ROUND(J1082/Source!I807, 2), 0)</f>
        <v>608.73</v>
      </c>
      <c r="P1082" s="22">
        <f>J1082</f>
        <v>608.73</v>
      </c>
    </row>
    <row r="1083" spans="1:22" ht="42.75" x14ac:dyDescent="0.2">
      <c r="A1083" s="18">
        <v>119</v>
      </c>
      <c r="B1083" s="18">
        <v>119</v>
      </c>
      <c r="C1083" s="18" t="str">
        <f>Source!F810</f>
        <v>1.21-2203-14-1/1</v>
      </c>
      <c r="D1083" s="18" t="str">
        <f>Source!G810</f>
        <v>Техническое обслуживание шкафа учета электроэнергии, с количеством счетчиков 2</v>
      </c>
      <c r="E1083" s="19" t="str">
        <f>Source!H810</f>
        <v>шт.</v>
      </c>
      <c r="F1083" s="9">
        <f>Source!I810</f>
        <v>1</v>
      </c>
      <c r="G1083" s="21"/>
      <c r="H1083" s="20"/>
      <c r="I1083" s="9"/>
      <c r="J1083" s="9"/>
      <c r="K1083" s="21"/>
      <c r="L1083" s="21"/>
      <c r="Q1083">
        <f>ROUND((Source!BZ810/100)*ROUND((Source!AF810*Source!AV810)*Source!I810, 2), 2)</f>
        <v>93.11</v>
      </c>
      <c r="R1083">
        <f>Source!X810</f>
        <v>93.11</v>
      </c>
      <c r="S1083">
        <f>ROUND((Source!CA810/100)*ROUND((Source!AF810*Source!AV810)*Source!I810, 2), 2)</f>
        <v>13.3</v>
      </c>
      <c r="T1083">
        <f>Source!Y810</f>
        <v>13.3</v>
      </c>
      <c r="U1083">
        <f>ROUND((175/100)*ROUND((Source!AE810*Source!AV810)*Source!I810, 2), 2)</f>
        <v>18.8</v>
      </c>
      <c r="V1083">
        <f>ROUND((108/100)*ROUND(Source!CS810*Source!I810, 2), 2)</f>
        <v>11.6</v>
      </c>
    </row>
    <row r="1084" spans="1:22" ht="14.25" x14ac:dyDescent="0.2">
      <c r="A1084" s="18"/>
      <c r="B1084" s="18"/>
      <c r="C1084" s="18"/>
      <c r="D1084" s="18" t="s">
        <v>1100</v>
      </c>
      <c r="E1084" s="19"/>
      <c r="F1084" s="9"/>
      <c r="G1084" s="21">
        <f>Source!AO810</f>
        <v>133.01</v>
      </c>
      <c r="H1084" s="20" t="str">
        <f>Source!DG810</f>
        <v/>
      </c>
      <c r="I1084" s="9">
        <f>Source!AV810</f>
        <v>1</v>
      </c>
      <c r="J1084" s="9">
        <f>IF(Source!BA810&lt;&gt; 0, Source!BA810, 1)</f>
        <v>1</v>
      </c>
      <c r="K1084" s="21">
        <f>Source!S810</f>
        <v>133.01</v>
      </c>
      <c r="L1084" s="21"/>
    </row>
    <row r="1085" spans="1:22" ht="14.25" x14ac:dyDescent="0.2">
      <c r="A1085" s="18"/>
      <c r="B1085" s="18"/>
      <c r="C1085" s="18"/>
      <c r="D1085" s="18" t="s">
        <v>1107</v>
      </c>
      <c r="E1085" s="19"/>
      <c r="F1085" s="9"/>
      <c r="G1085" s="21">
        <f>Source!AM810</f>
        <v>16.940000000000001</v>
      </c>
      <c r="H1085" s="20" t="str">
        <f>Source!DE810</f>
        <v/>
      </c>
      <c r="I1085" s="9">
        <f>Source!AV810</f>
        <v>1</v>
      </c>
      <c r="J1085" s="9">
        <f>IF(Source!BB810&lt;&gt; 0, Source!BB810, 1)</f>
        <v>1</v>
      </c>
      <c r="K1085" s="21">
        <f>Source!Q810</f>
        <v>16.940000000000001</v>
      </c>
      <c r="L1085" s="21"/>
    </row>
    <row r="1086" spans="1:22" ht="14.25" x14ac:dyDescent="0.2">
      <c r="A1086" s="18"/>
      <c r="B1086" s="18"/>
      <c r="C1086" s="18"/>
      <c r="D1086" s="18" t="s">
        <v>1108</v>
      </c>
      <c r="E1086" s="19"/>
      <c r="F1086" s="9"/>
      <c r="G1086" s="21">
        <f>Source!AN810</f>
        <v>10.74</v>
      </c>
      <c r="H1086" s="20" t="str">
        <f>Source!DF810</f>
        <v/>
      </c>
      <c r="I1086" s="9">
        <f>Source!AV810</f>
        <v>1</v>
      </c>
      <c r="J1086" s="9">
        <f>IF(Source!BS810&lt;&gt; 0, Source!BS810, 1)</f>
        <v>1</v>
      </c>
      <c r="K1086" s="25">
        <f>Source!R810</f>
        <v>10.74</v>
      </c>
      <c r="L1086" s="21"/>
    </row>
    <row r="1087" spans="1:22" ht="14.25" x14ac:dyDescent="0.2">
      <c r="A1087" s="18"/>
      <c r="B1087" s="18"/>
      <c r="C1087" s="18"/>
      <c r="D1087" s="18" t="s">
        <v>1101</v>
      </c>
      <c r="E1087" s="19"/>
      <c r="F1087" s="9"/>
      <c r="G1087" s="21">
        <f>Source!AL810</f>
        <v>0.06</v>
      </c>
      <c r="H1087" s="20" t="str">
        <f>Source!DD810</f>
        <v/>
      </c>
      <c r="I1087" s="9">
        <f>Source!AW810</f>
        <v>1</v>
      </c>
      <c r="J1087" s="9">
        <f>IF(Source!BC810&lt;&gt; 0, Source!BC810, 1)</f>
        <v>1</v>
      </c>
      <c r="K1087" s="21">
        <f>Source!P810</f>
        <v>0.06</v>
      </c>
      <c r="L1087" s="21"/>
    </row>
    <row r="1088" spans="1:22" ht="14.25" x14ac:dyDescent="0.2">
      <c r="A1088" s="18"/>
      <c r="B1088" s="18"/>
      <c r="C1088" s="18"/>
      <c r="D1088" s="18" t="s">
        <v>1102</v>
      </c>
      <c r="E1088" s="19" t="s">
        <v>1103</v>
      </c>
      <c r="F1088" s="9">
        <f>Source!AT810</f>
        <v>70</v>
      </c>
      <c r="G1088" s="21"/>
      <c r="H1088" s="20"/>
      <c r="I1088" s="9"/>
      <c r="J1088" s="9"/>
      <c r="K1088" s="21">
        <f>SUM(R1083:R1087)</f>
        <v>93.11</v>
      </c>
      <c r="L1088" s="21"/>
    </row>
    <row r="1089" spans="1:22" ht="14.25" x14ac:dyDescent="0.2">
      <c r="A1089" s="18"/>
      <c r="B1089" s="18"/>
      <c r="C1089" s="18"/>
      <c r="D1089" s="18" t="s">
        <v>1104</v>
      </c>
      <c r="E1089" s="19" t="s">
        <v>1103</v>
      </c>
      <c r="F1089" s="9">
        <f>Source!AU810</f>
        <v>10</v>
      </c>
      <c r="G1089" s="21"/>
      <c r="H1089" s="20"/>
      <c r="I1089" s="9"/>
      <c r="J1089" s="9"/>
      <c r="K1089" s="21">
        <f>SUM(T1083:T1088)</f>
        <v>13.3</v>
      </c>
      <c r="L1089" s="21"/>
    </row>
    <row r="1090" spans="1:22" ht="14.25" x14ac:dyDescent="0.2">
      <c r="A1090" s="18"/>
      <c r="B1090" s="18"/>
      <c r="C1090" s="18"/>
      <c r="D1090" s="18" t="s">
        <v>1109</v>
      </c>
      <c r="E1090" s="19" t="s">
        <v>1103</v>
      </c>
      <c r="F1090" s="9">
        <f>108</f>
        <v>108</v>
      </c>
      <c r="G1090" s="21"/>
      <c r="H1090" s="20"/>
      <c r="I1090" s="9"/>
      <c r="J1090" s="9"/>
      <c r="K1090" s="21">
        <f>SUM(V1083:V1089)</f>
        <v>11.6</v>
      </c>
      <c r="L1090" s="21"/>
    </row>
    <row r="1091" spans="1:22" ht="14.25" x14ac:dyDescent="0.2">
      <c r="A1091" s="18"/>
      <c r="B1091" s="18"/>
      <c r="C1091" s="18"/>
      <c r="D1091" s="18" t="s">
        <v>1105</v>
      </c>
      <c r="E1091" s="19" t="s">
        <v>1106</v>
      </c>
      <c r="F1091" s="9">
        <f>Source!AQ810</f>
        <v>0.25</v>
      </c>
      <c r="G1091" s="21"/>
      <c r="H1091" s="20" t="str">
        <f>Source!DI810</f>
        <v/>
      </c>
      <c r="I1091" s="9">
        <f>Source!AV810</f>
        <v>1</v>
      </c>
      <c r="J1091" s="9"/>
      <c r="K1091" s="21"/>
      <c r="L1091" s="21">
        <f>Source!U810</f>
        <v>0.25</v>
      </c>
    </row>
    <row r="1092" spans="1:22" ht="15" x14ac:dyDescent="0.25">
      <c r="A1092" s="23"/>
      <c r="B1092" s="23"/>
      <c r="C1092" s="23"/>
      <c r="D1092" s="23"/>
      <c r="E1092" s="23"/>
      <c r="F1092" s="23"/>
      <c r="G1092" s="23"/>
      <c r="H1092" s="23"/>
      <c r="I1092" s="23"/>
      <c r="J1092" s="44">
        <f>K1084+K1085+K1087+K1088+K1089+K1090</f>
        <v>268.02000000000004</v>
      </c>
      <c r="K1092" s="44"/>
      <c r="L1092" s="24">
        <f>IF(Source!I810&lt;&gt;0, ROUND(J1092/Source!I810, 2), 0)</f>
        <v>268.02</v>
      </c>
      <c r="P1092" s="22">
        <f>J1092</f>
        <v>268.02000000000004</v>
      </c>
    </row>
    <row r="1094" spans="1:22" ht="15" x14ac:dyDescent="0.25">
      <c r="C1094" s="47" t="str">
        <f>Source!G811</f>
        <v>Щитовое оборудование</v>
      </c>
      <c r="D1094" s="47"/>
      <c r="E1094" s="47"/>
      <c r="F1094" s="47"/>
      <c r="G1094" s="47"/>
      <c r="H1094" s="47"/>
      <c r="I1094" s="47"/>
      <c r="J1094" s="47"/>
      <c r="K1094" s="47"/>
    </row>
    <row r="1095" spans="1:22" ht="57" x14ac:dyDescent="0.2">
      <c r="A1095" s="18">
        <v>120</v>
      </c>
      <c r="B1095" s="18">
        <v>120</v>
      </c>
      <c r="C1095" s="18" t="str">
        <f>Source!F812</f>
        <v>1.20-2203-1-1/1</v>
      </c>
      <c r="D1095" s="18" t="str">
        <f>Source!G812</f>
        <v>Техническое обслуживание щита осветительного группового с установочными автоматами, число групп 2 / ЩАО2-4</v>
      </c>
      <c r="E1095" s="19" t="str">
        <f>Source!H812</f>
        <v>шт.</v>
      </c>
      <c r="F1095" s="9">
        <f>Source!I812</f>
        <v>1</v>
      </c>
      <c r="G1095" s="21"/>
      <c r="H1095" s="20"/>
      <c r="I1095" s="9"/>
      <c r="J1095" s="9"/>
      <c r="K1095" s="21"/>
      <c r="L1095" s="21"/>
      <c r="Q1095">
        <f>ROUND((Source!BZ812/100)*ROUND((Source!AF812*Source!AV812)*Source!I812, 2), 2)</f>
        <v>1296.73</v>
      </c>
      <c r="R1095">
        <f>Source!X812</f>
        <v>1296.73</v>
      </c>
      <c r="S1095">
        <f>ROUND((Source!CA812/100)*ROUND((Source!AF812*Source!AV812)*Source!I812, 2), 2)</f>
        <v>185.25</v>
      </c>
      <c r="T1095">
        <f>Source!Y812</f>
        <v>185.25</v>
      </c>
      <c r="U1095">
        <f>ROUND((175/100)*ROUND((Source!AE812*Source!AV812)*Source!I812, 2), 2)</f>
        <v>0</v>
      </c>
      <c r="V1095">
        <f>ROUND((108/100)*ROUND(Source!CS812*Source!I812, 2), 2)</f>
        <v>0</v>
      </c>
    </row>
    <row r="1096" spans="1:22" ht="14.25" x14ac:dyDescent="0.2">
      <c r="A1096" s="18"/>
      <c r="B1096" s="18"/>
      <c r="C1096" s="18"/>
      <c r="D1096" s="18" t="s">
        <v>1100</v>
      </c>
      <c r="E1096" s="19"/>
      <c r="F1096" s="9"/>
      <c r="G1096" s="21">
        <f>Source!AO812</f>
        <v>1852.47</v>
      </c>
      <c r="H1096" s="20" t="str">
        <f>Source!DG812</f>
        <v/>
      </c>
      <c r="I1096" s="9">
        <f>Source!AV812</f>
        <v>1</v>
      </c>
      <c r="J1096" s="9">
        <f>IF(Source!BA812&lt;&gt; 0, Source!BA812, 1)</f>
        <v>1</v>
      </c>
      <c r="K1096" s="21">
        <f>Source!S812</f>
        <v>1852.47</v>
      </c>
      <c r="L1096" s="21"/>
    </row>
    <row r="1097" spans="1:22" ht="14.25" x14ac:dyDescent="0.2">
      <c r="A1097" s="18"/>
      <c r="B1097" s="18"/>
      <c r="C1097" s="18"/>
      <c r="D1097" s="18" t="s">
        <v>1101</v>
      </c>
      <c r="E1097" s="19"/>
      <c r="F1097" s="9"/>
      <c r="G1097" s="21">
        <f>Source!AL812</f>
        <v>27.91</v>
      </c>
      <c r="H1097" s="20" t="str">
        <f>Source!DD812</f>
        <v/>
      </c>
      <c r="I1097" s="9">
        <f>Source!AW812</f>
        <v>1</v>
      </c>
      <c r="J1097" s="9">
        <f>IF(Source!BC812&lt;&gt; 0, Source!BC812, 1)</f>
        <v>1</v>
      </c>
      <c r="K1097" s="21">
        <f>Source!P812</f>
        <v>27.91</v>
      </c>
      <c r="L1097" s="21"/>
    </row>
    <row r="1098" spans="1:22" ht="14.25" x14ac:dyDescent="0.2">
      <c r="A1098" s="18"/>
      <c r="B1098" s="18"/>
      <c r="C1098" s="18"/>
      <c r="D1098" s="18" t="s">
        <v>1102</v>
      </c>
      <c r="E1098" s="19" t="s">
        <v>1103</v>
      </c>
      <c r="F1098" s="9">
        <f>Source!AT812</f>
        <v>70</v>
      </c>
      <c r="G1098" s="21"/>
      <c r="H1098" s="20"/>
      <c r="I1098" s="9"/>
      <c r="J1098" s="9"/>
      <c r="K1098" s="21">
        <f>SUM(R1095:R1097)</f>
        <v>1296.73</v>
      </c>
      <c r="L1098" s="21"/>
    </row>
    <row r="1099" spans="1:22" ht="14.25" x14ac:dyDescent="0.2">
      <c r="A1099" s="18"/>
      <c r="B1099" s="18"/>
      <c r="C1099" s="18"/>
      <c r="D1099" s="18" t="s">
        <v>1104</v>
      </c>
      <c r="E1099" s="19" t="s">
        <v>1103</v>
      </c>
      <c r="F1099" s="9">
        <f>Source!AU812</f>
        <v>10</v>
      </c>
      <c r="G1099" s="21"/>
      <c r="H1099" s="20"/>
      <c r="I1099" s="9"/>
      <c r="J1099" s="9"/>
      <c r="K1099" s="21">
        <f>SUM(T1095:T1098)</f>
        <v>185.25</v>
      </c>
      <c r="L1099" s="21"/>
    </row>
    <row r="1100" spans="1:22" ht="14.25" x14ac:dyDescent="0.2">
      <c r="A1100" s="18"/>
      <c r="B1100" s="18"/>
      <c r="C1100" s="18"/>
      <c r="D1100" s="18" t="s">
        <v>1105</v>
      </c>
      <c r="E1100" s="19" t="s">
        <v>1106</v>
      </c>
      <c r="F1100" s="9">
        <f>Source!AQ812</f>
        <v>3</v>
      </c>
      <c r="G1100" s="21"/>
      <c r="H1100" s="20" t="str">
        <f>Source!DI812</f>
        <v/>
      </c>
      <c r="I1100" s="9">
        <f>Source!AV812</f>
        <v>1</v>
      </c>
      <c r="J1100" s="9"/>
      <c r="K1100" s="21"/>
      <c r="L1100" s="21">
        <f>Source!U812</f>
        <v>3</v>
      </c>
    </row>
    <row r="1101" spans="1:22" ht="15" x14ac:dyDescent="0.25">
      <c r="A1101" s="23"/>
      <c r="B1101" s="23"/>
      <c r="C1101" s="23"/>
      <c r="D1101" s="23"/>
      <c r="E1101" s="23"/>
      <c r="F1101" s="23"/>
      <c r="G1101" s="23"/>
      <c r="H1101" s="23"/>
      <c r="I1101" s="23"/>
      <c r="J1101" s="44">
        <f>K1096+K1097+K1098+K1099</f>
        <v>3362.36</v>
      </c>
      <c r="K1101" s="44"/>
      <c r="L1101" s="24">
        <f>IF(Source!I812&lt;&gt;0, ROUND(J1101/Source!I812, 2), 0)</f>
        <v>3362.36</v>
      </c>
      <c r="P1101" s="22">
        <f>J1101</f>
        <v>3362.36</v>
      </c>
    </row>
    <row r="1102" spans="1:22" ht="71.25" x14ac:dyDescent="0.2">
      <c r="A1102" s="18">
        <v>121</v>
      </c>
      <c r="B1102" s="18">
        <v>121</v>
      </c>
      <c r="C1102" s="18" t="str">
        <f>Source!F814</f>
        <v>1.20-2203-1-2/1</v>
      </c>
      <c r="D1102" s="18" t="str">
        <f>Source!G814</f>
        <v>Техническое обслуживание щита осветительного группового с установочными автоматами, число групп 4 / ЩО1-2, ЩО2-1, ЩО2-4, ЩАО1-2, ЩАО1-3, ЩАО2-1</v>
      </c>
      <c r="E1102" s="19" t="str">
        <f>Source!H814</f>
        <v>шт.</v>
      </c>
      <c r="F1102" s="9">
        <f>Source!I814</f>
        <v>6</v>
      </c>
      <c r="G1102" s="21"/>
      <c r="H1102" s="20"/>
      <c r="I1102" s="9"/>
      <c r="J1102" s="9"/>
      <c r="K1102" s="21"/>
      <c r="L1102" s="21"/>
      <c r="Q1102">
        <f>ROUND((Source!BZ814/100)*ROUND((Source!AF814*Source!AV814)*Source!I814, 2), 2)</f>
        <v>11670.54</v>
      </c>
      <c r="R1102">
        <f>Source!X814</f>
        <v>11670.54</v>
      </c>
      <c r="S1102">
        <f>ROUND((Source!CA814/100)*ROUND((Source!AF814*Source!AV814)*Source!I814, 2), 2)</f>
        <v>1667.22</v>
      </c>
      <c r="T1102">
        <f>Source!Y814</f>
        <v>1667.22</v>
      </c>
      <c r="U1102">
        <f>ROUND((175/100)*ROUND((Source!AE814*Source!AV814)*Source!I814, 2), 2)</f>
        <v>0</v>
      </c>
      <c r="V1102">
        <f>ROUND((108/100)*ROUND(Source!CS814*Source!I814, 2), 2)</f>
        <v>0</v>
      </c>
    </row>
    <row r="1103" spans="1:22" ht="14.25" x14ac:dyDescent="0.2">
      <c r="A1103" s="18"/>
      <c r="B1103" s="18"/>
      <c r="C1103" s="18"/>
      <c r="D1103" s="18" t="s">
        <v>1100</v>
      </c>
      <c r="E1103" s="19"/>
      <c r="F1103" s="9"/>
      <c r="G1103" s="21">
        <f>Source!AO814</f>
        <v>2778.7</v>
      </c>
      <c r="H1103" s="20" t="str">
        <f>Source!DG814</f>
        <v/>
      </c>
      <c r="I1103" s="9">
        <f>Source!AV814</f>
        <v>1</v>
      </c>
      <c r="J1103" s="9">
        <f>IF(Source!BA814&lt;&gt; 0, Source!BA814, 1)</f>
        <v>1</v>
      </c>
      <c r="K1103" s="21">
        <f>Source!S814</f>
        <v>16672.2</v>
      </c>
      <c r="L1103" s="21"/>
    </row>
    <row r="1104" spans="1:22" ht="14.25" x14ac:dyDescent="0.2">
      <c r="A1104" s="18"/>
      <c r="B1104" s="18"/>
      <c r="C1104" s="18"/>
      <c r="D1104" s="18" t="s">
        <v>1101</v>
      </c>
      <c r="E1104" s="19"/>
      <c r="F1104" s="9"/>
      <c r="G1104" s="21">
        <f>Source!AL814</f>
        <v>42.02</v>
      </c>
      <c r="H1104" s="20" t="str">
        <f>Source!DD814</f>
        <v/>
      </c>
      <c r="I1104" s="9">
        <f>Source!AW814</f>
        <v>1</v>
      </c>
      <c r="J1104" s="9">
        <f>IF(Source!BC814&lt;&gt; 0, Source!BC814, 1)</f>
        <v>1</v>
      </c>
      <c r="K1104" s="21">
        <f>Source!P814</f>
        <v>252.12</v>
      </c>
      <c r="L1104" s="21"/>
    </row>
    <row r="1105" spans="1:22" ht="14.25" x14ac:dyDescent="0.2">
      <c r="A1105" s="18"/>
      <c r="B1105" s="18"/>
      <c r="C1105" s="18"/>
      <c r="D1105" s="18" t="s">
        <v>1102</v>
      </c>
      <c r="E1105" s="19" t="s">
        <v>1103</v>
      </c>
      <c r="F1105" s="9">
        <f>Source!AT814</f>
        <v>70</v>
      </c>
      <c r="G1105" s="21"/>
      <c r="H1105" s="20"/>
      <c r="I1105" s="9"/>
      <c r="J1105" s="9"/>
      <c r="K1105" s="21">
        <f>SUM(R1102:R1104)</f>
        <v>11670.54</v>
      </c>
      <c r="L1105" s="21"/>
    </row>
    <row r="1106" spans="1:22" ht="14.25" x14ac:dyDescent="0.2">
      <c r="A1106" s="18"/>
      <c r="B1106" s="18"/>
      <c r="C1106" s="18"/>
      <c r="D1106" s="18" t="s">
        <v>1104</v>
      </c>
      <c r="E1106" s="19" t="s">
        <v>1103</v>
      </c>
      <c r="F1106" s="9">
        <f>Source!AU814</f>
        <v>10</v>
      </c>
      <c r="G1106" s="21"/>
      <c r="H1106" s="20"/>
      <c r="I1106" s="9"/>
      <c r="J1106" s="9"/>
      <c r="K1106" s="21">
        <f>SUM(T1102:T1105)</f>
        <v>1667.22</v>
      </c>
      <c r="L1106" s="21"/>
    </row>
    <row r="1107" spans="1:22" ht="14.25" x14ac:dyDescent="0.2">
      <c r="A1107" s="18"/>
      <c r="B1107" s="18"/>
      <c r="C1107" s="18"/>
      <c r="D1107" s="18" t="s">
        <v>1105</v>
      </c>
      <c r="E1107" s="19" t="s">
        <v>1106</v>
      </c>
      <c r="F1107" s="9">
        <f>Source!AQ814</f>
        <v>4.5</v>
      </c>
      <c r="G1107" s="21"/>
      <c r="H1107" s="20" t="str">
        <f>Source!DI814</f>
        <v/>
      </c>
      <c r="I1107" s="9">
        <f>Source!AV814</f>
        <v>1</v>
      </c>
      <c r="J1107" s="9"/>
      <c r="K1107" s="21"/>
      <c r="L1107" s="21">
        <f>Source!U814</f>
        <v>27</v>
      </c>
    </row>
    <row r="1108" spans="1:22" ht="15" x14ac:dyDescent="0.25">
      <c r="A1108" s="23"/>
      <c r="B1108" s="23"/>
      <c r="C1108" s="23"/>
      <c r="D1108" s="23"/>
      <c r="E1108" s="23"/>
      <c r="F1108" s="23"/>
      <c r="G1108" s="23"/>
      <c r="H1108" s="23"/>
      <c r="I1108" s="23"/>
      <c r="J1108" s="44">
        <f>K1103+K1104+K1105+K1106</f>
        <v>30262.080000000002</v>
      </c>
      <c r="K1108" s="44"/>
      <c r="L1108" s="24">
        <f>IF(Source!I814&lt;&gt;0, ROUND(J1108/Source!I814, 2), 0)</f>
        <v>5043.68</v>
      </c>
      <c r="P1108" s="22">
        <f>J1108</f>
        <v>30262.080000000002</v>
      </c>
    </row>
    <row r="1109" spans="1:22" ht="71.25" x14ac:dyDescent="0.2">
      <c r="A1109" s="18">
        <v>122</v>
      </c>
      <c r="B1109" s="18">
        <v>122</v>
      </c>
      <c r="C1109" s="18" t="str">
        <f>Source!F816</f>
        <v>1.20-2203-1-3/1</v>
      </c>
      <c r="D1109" s="18" t="str">
        <f>Source!G816</f>
        <v>Техническое обслуживание щита осветительного группового с установочными автоматами, число групп 6 / ЩО1-1, ЩО1-3, ЩО2-2, ЩО2-3, ЩАО1-1, ЩАО1-4, ЩАО2-2, ЩАО2-3</v>
      </c>
      <c r="E1109" s="19" t="str">
        <f>Source!H816</f>
        <v>шт.</v>
      </c>
      <c r="F1109" s="9">
        <f>Source!I816</f>
        <v>8</v>
      </c>
      <c r="G1109" s="21"/>
      <c r="H1109" s="20"/>
      <c r="I1109" s="9"/>
      <c r="J1109" s="9"/>
      <c r="K1109" s="21"/>
      <c r="L1109" s="21"/>
      <c r="Q1109">
        <f>ROUND((Source!BZ816/100)*ROUND((Source!AF816*Source!AV816)*Source!I816, 2), 2)</f>
        <v>20747.66</v>
      </c>
      <c r="R1109">
        <f>Source!X816</f>
        <v>20747.66</v>
      </c>
      <c r="S1109">
        <f>ROUND((Source!CA816/100)*ROUND((Source!AF816*Source!AV816)*Source!I816, 2), 2)</f>
        <v>2963.95</v>
      </c>
      <c r="T1109">
        <f>Source!Y816</f>
        <v>2963.95</v>
      </c>
      <c r="U1109">
        <f>ROUND((175/100)*ROUND((Source!AE816*Source!AV816)*Source!I816, 2), 2)</f>
        <v>0</v>
      </c>
      <c r="V1109">
        <f>ROUND((108/100)*ROUND(Source!CS816*Source!I816, 2), 2)</f>
        <v>0</v>
      </c>
    </row>
    <row r="1110" spans="1:22" ht="14.25" x14ac:dyDescent="0.2">
      <c r="A1110" s="18"/>
      <c r="B1110" s="18"/>
      <c r="C1110" s="18"/>
      <c r="D1110" s="18" t="s">
        <v>1100</v>
      </c>
      <c r="E1110" s="19"/>
      <c r="F1110" s="9"/>
      <c r="G1110" s="21">
        <f>Source!AO816</f>
        <v>3704.94</v>
      </c>
      <c r="H1110" s="20" t="str">
        <f>Source!DG816</f>
        <v/>
      </c>
      <c r="I1110" s="9">
        <f>Source!AV816</f>
        <v>1</v>
      </c>
      <c r="J1110" s="9">
        <f>IF(Source!BA816&lt;&gt; 0, Source!BA816, 1)</f>
        <v>1</v>
      </c>
      <c r="K1110" s="21">
        <f>Source!S816</f>
        <v>29639.52</v>
      </c>
      <c r="L1110" s="21"/>
    </row>
    <row r="1111" spans="1:22" ht="14.25" x14ac:dyDescent="0.2">
      <c r="A1111" s="18"/>
      <c r="B1111" s="18"/>
      <c r="C1111" s="18"/>
      <c r="D1111" s="18" t="s">
        <v>1101</v>
      </c>
      <c r="E1111" s="19"/>
      <c r="F1111" s="9"/>
      <c r="G1111" s="21">
        <f>Source!AL816</f>
        <v>55.07</v>
      </c>
      <c r="H1111" s="20" t="str">
        <f>Source!DD816</f>
        <v/>
      </c>
      <c r="I1111" s="9">
        <f>Source!AW816</f>
        <v>1</v>
      </c>
      <c r="J1111" s="9">
        <f>IF(Source!BC816&lt;&gt; 0, Source!BC816, 1)</f>
        <v>1</v>
      </c>
      <c r="K1111" s="21">
        <f>Source!P816</f>
        <v>440.56</v>
      </c>
      <c r="L1111" s="21"/>
    </row>
    <row r="1112" spans="1:22" ht="14.25" x14ac:dyDescent="0.2">
      <c r="A1112" s="18"/>
      <c r="B1112" s="18"/>
      <c r="C1112" s="18"/>
      <c r="D1112" s="18" t="s">
        <v>1102</v>
      </c>
      <c r="E1112" s="19" t="s">
        <v>1103</v>
      </c>
      <c r="F1112" s="9">
        <f>Source!AT816</f>
        <v>70</v>
      </c>
      <c r="G1112" s="21"/>
      <c r="H1112" s="20"/>
      <c r="I1112" s="9"/>
      <c r="J1112" s="9"/>
      <c r="K1112" s="21">
        <f>SUM(R1109:R1111)</f>
        <v>20747.66</v>
      </c>
      <c r="L1112" s="21"/>
    </row>
    <row r="1113" spans="1:22" ht="14.25" x14ac:dyDescent="0.2">
      <c r="A1113" s="18"/>
      <c r="B1113" s="18"/>
      <c r="C1113" s="18"/>
      <c r="D1113" s="18" t="s">
        <v>1104</v>
      </c>
      <c r="E1113" s="19" t="s">
        <v>1103</v>
      </c>
      <c r="F1113" s="9">
        <f>Source!AU816</f>
        <v>10</v>
      </c>
      <c r="G1113" s="21"/>
      <c r="H1113" s="20"/>
      <c r="I1113" s="9"/>
      <c r="J1113" s="9"/>
      <c r="K1113" s="21">
        <f>SUM(T1109:T1112)</f>
        <v>2963.95</v>
      </c>
      <c r="L1113" s="21"/>
    </row>
    <row r="1114" spans="1:22" ht="14.25" x14ac:dyDescent="0.2">
      <c r="A1114" s="18"/>
      <c r="B1114" s="18"/>
      <c r="C1114" s="18"/>
      <c r="D1114" s="18" t="s">
        <v>1105</v>
      </c>
      <c r="E1114" s="19" t="s">
        <v>1106</v>
      </c>
      <c r="F1114" s="9">
        <f>Source!AQ816</f>
        <v>6</v>
      </c>
      <c r="G1114" s="21"/>
      <c r="H1114" s="20" t="str">
        <f>Source!DI816</f>
        <v/>
      </c>
      <c r="I1114" s="9">
        <f>Source!AV816</f>
        <v>1</v>
      </c>
      <c r="J1114" s="9"/>
      <c r="K1114" s="21"/>
      <c r="L1114" s="21">
        <f>Source!U816</f>
        <v>48</v>
      </c>
    </row>
    <row r="1115" spans="1:22" ht="15" x14ac:dyDescent="0.25">
      <c r="A1115" s="23"/>
      <c r="B1115" s="23"/>
      <c r="C1115" s="23"/>
      <c r="D1115" s="23"/>
      <c r="E1115" s="23"/>
      <c r="F1115" s="23"/>
      <c r="G1115" s="23"/>
      <c r="H1115" s="23"/>
      <c r="I1115" s="23"/>
      <c r="J1115" s="44">
        <f>K1110+K1111+K1112+K1113</f>
        <v>53791.69</v>
      </c>
      <c r="K1115" s="44"/>
      <c r="L1115" s="24">
        <f>IF(Source!I816&lt;&gt;0, ROUND(J1115/Source!I816, 2), 0)</f>
        <v>6723.96</v>
      </c>
      <c r="P1115" s="22">
        <f>J1115</f>
        <v>53791.69</v>
      </c>
    </row>
    <row r="1116" spans="1:22" ht="57" x14ac:dyDescent="0.2">
      <c r="A1116" s="18">
        <v>123</v>
      </c>
      <c r="B1116" s="18">
        <v>123</v>
      </c>
      <c r="C1116" s="18" t="str">
        <f>Source!F818</f>
        <v>1.20-2203-1-4/1</v>
      </c>
      <c r="D1116" s="18" t="str">
        <f>Source!G818</f>
        <v>Техническое обслуживание щита осветительного группового с установочными автоматами, число групп 8 / ЩО1-4, ЩАО1-5</v>
      </c>
      <c r="E1116" s="19" t="str">
        <f>Source!H818</f>
        <v>шт.</v>
      </c>
      <c r="F1116" s="9">
        <f>Source!I818</f>
        <v>2</v>
      </c>
      <c r="G1116" s="21"/>
      <c r="H1116" s="20"/>
      <c r="I1116" s="9"/>
      <c r="J1116" s="9"/>
      <c r="K1116" s="21"/>
      <c r="L1116" s="21"/>
      <c r="Q1116">
        <f>ROUND((Source!BZ818/100)*ROUND((Source!AF818*Source!AV818)*Source!I818, 2), 2)</f>
        <v>6483.64</v>
      </c>
      <c r="R1116">
        <f>Source!X818</f>
        <v>6483.64</v>
      </c>
      <c r="S1116">
        <f>ROUND((Source!CA818/100)*ROUND((Source!AF818*Source!AV818)*Source!I818, 2), 2)</f>
        <v>926.23</v>
      </c>
      <c r="T1116">
        <f>Source!Y818</f>
        <v>926.23</v>
      </c>
      <c r="U1116">
        <f>ROUND((175/100)*ROUND((Source!AE818*Source!AV818)*Source!I818, 2), 2)</f>
        <v>0</v>
      </c>
      <c r="V1116">
        <f>ROUND((108/100)*ROUND(Source!CS818*Source!I818, 2), 2)</f>
        <v>0</v>
      </c>
    </row>
    <row r="1117" spans="1:22" ht="14.25" x14ac:dyDescent="0.2">
      <c r="A1117" s="18"/>
      <c r="B1117" s="18"/>
      <c r="C1117" s="18"/>
      <c r="D1117" s="18" t="s">
        <v>1100</v>
      </c>
      <c r="E1117" s="19"/>
      <c r="F1117" s="9"/>
      <c r="G1117" s="21">
        <f>Source!AO818</f>
        <v>4631.17</v>
      </c>
      <c r="H1117" s="20" t="str">
        <f>Source!DG818</f>
        <v/>
      </c>
      <c r="I1117" s="9">
        <f>Source!AV818</f>
        <v>1</v>
      </c>
      <c r="J1117" s="9">
        <f>IF(Source!BA818&lt;&gt; 0, Source!BA818, 1)</f>
        <v>1</v>
      </c>
      <c r="K1117" s="21">
        <f>Source!S818</f>
        <v>9262.34</v>
      </c>
      <c r="L1117" s="21"/>
    </row>
    <row r="1118" spans="1:22" ht="14.25" x14ac:dyDescent="0.2">
      <c r="A1118" s="18"/>
      <c r="B1118" s="18"/>
      <c r="C1118" s="18"/>
      <c r="D1118" s="18" t="s">
        <v>1101</v>
      </c>
      <c r="E1118" s="19"/>
      <c r="F1118" s="9"/>
      <c r="G1118" s="21">
        <f>Source!AL818</f>
        <v>69.19</v>
      </c>
      <c r="H1118" s="20" t="str">
        <f>Source!DD818</f>
        <v/>
      </c>
      <c r="I1118" s="9">
        <f>Source!AW818</f>
        <v>1</v>
      </c>
      <c r="J1118" s="9">
        <f>IF(Source!BC818&lt;&gt; 0, Source!BC818, 1)</f>
        <v>1</v>
      </c>
      <c r="K1118" s="21">
        <f>Source!P818</f>
        <v>138.38</v>
      </c>
      <c r="L1118" s="21"/>
    </row>
    <row r="1119" spans="1:22" ht="14.25" x14ac:dyDescent="0.2">
      <c r="A1119" s="18"/>
      <c r="B1119" s="18"/>
      <c r="C1119" s="18"/>
      <c r="D1119" s="18" t="s">
        <v>1102</v>
      </c>
      <c r="E1119" s="19" t="s">
        <v>1103</v>
      </c>
      <c r="F1119" s="9">
        <f>Source!AT818</f>
        <v>70</v>
      </c>
      <c r="G1119" s="21"/>
      <c r="H1119" s="20"/>
      <c r="I1119" s="9"/>
      <c r="J1119" s="9"/>
      <c r="K1119" s="21">
        <f>SUM(R1116:R1118)</f>
        <v>6483.64</v>
      </c>
      <c r="L1119" s="21"/>
    </row>
    <row r="1120" spans="1:22" ht="14.25" x14ac:dyDescent="0.2">
      <c r="A1120" s="18"/>
      <c r="B1120" s="18"/>
      <c r="C1120" s="18"/>
      <c r="D1120" s="18" t="s">
        <v>1104</v>
      </c>
      <c r="E1120" s="19" t="s">
        <v>1103</v>
      </c>
      <c r="F1120" s="9">
        <f>Source!AU818</f>
        <v>10</v>
      </c>
      <c r="G1120" s="21"/>
      <c r="H1120" s="20"/>
      <c r="I1120" s="9"/>
      <c r="J1120" s="9"/>
      <c r="K1120" s="21">
        <f>SUM(T1116:T1119)</f>
        <v>926.23</v>
      </c>
      <c r="L1120" s="21"/>
    </row>
    <row r="1121" spans="1:22" ht="14.25" x14ac:dyDescent="0.2">
      <c r="A1121" s="18"/>
      <c r="B1121" s="18"/>
      <c r="C1121" s="18"/>
      <c r="D1121" s="18" t="s">
        <v>1105</v>
      </c>
      <c r="E1121" s="19" t="s">
        <v>1106</v>
      </c>
      <c r="F1121" s="9">
        <f>Source!AQ818</f>
        <v>7.5</v>
      </c>
      <c r="G1121" s="21"/>
      <c r="H1121" s="20" t="str">
        <f>Source!DI818</f>
        <v/>
      </c>
      <c r="I1121" s="9">
        <f>Source!AV818</f>
        <v>1</v>
      </c>
      <c r="J1121" s="9"/>
      <c r="K1121" s="21"/>
      <c r="L1121" s="21">
        <f>Source!U818</f>
        <v>15</v>
      </c>
    </row>
    <row r="1122" spans="1:22" ht="15" x14ac:dyDescent="0.25">
      <c r="A1122" s="23"/>
      <c r="B1122" s="23"/>
      <c r="C1122" s="23"/>
      <c r="D1122" s="23"/>
      <c r="E1122" s="23"/>
      <c r="F1122" s="23"/>
      <c r="G1122" s="23"/>
      <c r="H1122" s="23"/>
      <c r="I1122" s="23"/>
      <c r="J1122" s="44">
        <f>K1117+K1118+K1119+K1120</f>
        <v>16810.59</v>
      </c>
      <c r="K1122" s="44"/>
      <c r="L1122" s="24">
        <f>IF(Source!I818&lt;&gt;0, ROUND(J1122/Source!I818, 2), 0)</f>
        <v>8405.2999999999993</v>
      </c>
      <c r="P1122" s="22">
        <f>J1122</f>
        <v>16810.59</v>
      </c>
    </row>
    <row r="1123" spans="1:22" ht="57" x14ac:dyDescent="0.2">
      <c r="A1123" s="18">
        <v>124</v>
      </c>
      <c r="B1123" s="18">
        <v>124</v>
      </c>
      <c r="C1123" s="18" t="str">
        <f>Source!F820</f>
        <v>1.20-2203-1-5/1</v>
      </c>
      <c r="D1123" s="18" t="str">
        <f>Source!G820</f>
        <v>Техническое обслуживание щита осветительного группового с установочными автоматами, число групп 10 / ЩАО1-5</v>
      </c>
      <c r="E1123" s="19" t="str">
        <f>Source!H820</f>
        <v>шт.</v>
      </c>
      <c r="F1123" s="9">
        <f>Source!I820</f>
        <v>1</v>
      </c>
      <c r="G1123" s="21"/>
      <c r="H1123" s="20"/>
      <c r="I1123" s="9"/>
      <c r="J1123" s="9"/>
      <c r="K1123" s="21"/>
      <c r="L1123" s="21"/>
      <c r="Q1123">
        <f>ROUND((Source!BZ820/100)*ROUND((Source!AF820*Source!AV820)*Source!I820, 2), 2)</f>
        <v>3890.19</v>
      </c>
      <c r="R1123">
        <f>Source!X820</f>
        <v>3890.19</v>
      </c>
      <c r="S1123">
        <f>ROUND((Source!CA820/100)*ROUND((Source!AF820*Source!AV820)*Source!I820, 2), 2)</f>
        <v>555.74</v>
      </c>
      <c r="T1123">
        <f>Source!Y820</f>
        <v>555.74</v>
      </c>
      <c r="U1123">
        <f>ROUND((175/100)*ROUND((Source!AE820*Source!AV820)*Source!I820, 2), 2)</f>
        <v>0</v>
      </c>
      <c r="V1123">
        <f>ROUND((108/100)*ROUND(Source!CS820*Source!I820, 2), 2)</f>
        <v>0</v>
      </c>
    </row>
    <row r="1124" spans="1:22" ht="14.25" x14ac:dyDescent="0.2">
      <c r="A1124" s="18"/>
      <c r="B1124" s="18"/>
      <c r="C1124" s="18"/>
      <c r="D1124" s="18" t="s">
        <v>1100</v>
      </c>
      <c r="E1124" s="19"/>
      <c r="F1124" s="9"/>
      <c r="G1124" s="21">
        <f>Source!AO820</f>
        <v>5557.41</v>
      </c>
      <c r="H1124" s="20" t="str">
        <f>Source!DG820</f>
        <v/>
      </c>
      <c r="I1124" s="9">
        <f>Source!AV820</f>
        <v>1</v>
      </c>
      <c r="J1124" s="9">
        <f>IF(Source!BA820&lt;&gt; 0, Source!BA820, 1)</f>
        <v>1</v>
      </c>
      <c r="K1124" s="21">
        <f>Source!S820</f>
        <v>5557.41</v>
      </c>
      <c r="L1124" s="21"/>
    </row>
    <row r="1125" spans="1:22" ht="14.25" x14ac:dyDescent="0.2">
      <c r="A1125" s="18"/>
      <c r="B1125" s="18"/>
      <c r="C1125" s="18"/>
      <c r="D1125" s="18" t="s">
        <v>1101</v>
      </c>
      <c r="E1125" s="19"/>
      <c r="F1125" s="9"/>
      <c r="G1125" s="21">
        <f>Source!AL820</f>
        <v>83.73</v>
      </c>
      <c r="H1125" s="20" t="str">
        <f>Source!DD820</f>
        <v/>
      </c>
      <c r="I1125" s="9">
        <f>Source!AW820</f>
        <v>1</v>
      </c>
      <c r="J1125" s="9">
        <f>IF(Source!BC820&lt;&gt; 0, Source!BC820, 1)</f>
        <v>1</v>
      </c>
      <c r="K1125" s="21">
        <f>Source!P820</f>
        <v>83.73</v>
      </c>
      <c r="L1125" s="21"/>
    </row>
    <row r="1126" spans="1:22" ht="14.25" x14ac:dyDescent="0.2">
      <c r="A1126" s="18"/>
      <c r="B1126" s="18"/>
      <c r="C1126" s="18"/>
      <c r="D1126" s="18" t="s">
        <v>1102</v>
      </c>
      <c r="E1126" s="19" t="s">
        <v>1103</v>
      </c>
      <c r="F1126" s="9">
        <f>Source!AT820</f>
        <v>70</v>
      </c>
      <c r="G1126" s="21"/>
      <c r="H1126" s="20"/>
      <c r="I1126" s="9"/>
      <c r="J1126" s="9"/>
      <c r="K1126" s="21">
        <f>SUM(R1123:R1125)</f>
        <v>3890.19</v>
      </c>
      <c r="L1126" s="21"/>
    </row>
    <row r="1127" spans="1:22" ht="14.25" x14ac:dyDescent="0.2">
      <c r="A1127" s="18"/>
      <c r="B1127" s="18"/>
      <c r="C1127" s="18"/>
      <c r="D1127" s="18" t="s">
        <v>1104</v>
      </c>
      <c r="E1127" s="19" t="s">
        <v>1103</v>
      </c>
      <c r="F1127" s="9">
        <f>Source!AU820</f>
        <v>10</v>
      </c>
      <c r="G1127" s="21"/>
      <c r="H1127" s="20"/>
      <c r="I1127" s="9"/>
      <c r="J1127" s="9"/>
      <c r="K1127" s="21">
        <f>SUM(T1123:T1126)</f>
        <v>555.74</v>
      </c>
      <c r="L1127" s="21"/>
    </row>
    <row r="1128" spans="1:22" ht="14.25" x14ac:dyDescent="0.2">
      <c r="A1128" s="18"/>
      <c r="B1128" s="18"/>
      <c r="C1128" s="18"/>
      <c r="D1128" s="18" t="s">
        <v>1105</v>
      </c>
      <c r="E1128" s="19" t="s">
        <v>1106</v>
      </c>
      <c r="F1128" s="9">
        <f>Source!AQ820</f>
        <v>9</v>
      </c>
      <c r="G1128" s="21"/>
      <c r="H1128" s="20" t="str">
        <f>Source!DI820</f>
        <v/>
      </c>
      <c r="I1128" s="9">
        <f>Source!AV820</f>
        <v>1</v>
      </c>
      <c r="J1128" s="9"/>
      <c r="K1128" s="21"/>
      <c r="L1128" s="21">
        <f>Source!U820</f>
        <v>9</v>
      </c>
    </row>
    <row r="1129" spans="1:22" ht="15" x14ac:dyDescent="0.25">
      <c r="A1129" s="23"/>
      <c r="B1129" s="23"/>
      <c r="C1129" s="23"/>
      <c r="D1129" s="23"/>
      <c r="E1129" s="23"/>
      <c r="F1129" s="23"/>
      <c r="G1129" s="23"/>
      <c r="H1129" s="23"/>
      <c r="I1129" s="23"/>
      <c r="J1129" s="44">
        <f>K1124+K1125+K1126+K1127</f>
        <v>10087.07</v>
      </c>
      <c r="K1129" s="44"/>
      <c r="L1129" s="24">
        <f>IF(Source!I820&lt;&gt;0, ROUND(J1129/Source!I820, 2), 0)</f>
        <v>10087.07</v>
      </c>
      <c r="P1129" s="22">
        <f>J1129</f>
        <v>10087.07</v>
      </c>
    </row>
    <row r="1130" spans="1:22" ht="71.25" x14ac:dyDescent="0.2">
      <c r="A1130" s="18">
        <v>125</v>
      </c>
      <c r="B1130" s="18">
        <v>125</v>
      </c>
      <c r="C1130" s="18" t="str">
        <f>Source!F822</f>
        <v>1.21-2203-2-1/1</v>
      </c>
      <c r="D1130" s="18" t="str">
        <f>Source!G822</f>
        <v>Техническое обслуживание силового распределительного пункта с установочными автоматами, число групп 4 / ЩТ-1, ЩТ-2, ЩТ-3, ЩВ-1, ЩВ-3, ЩВ-4</v>
      </c>
      <c r="E1130" s="19" t="str">
        <f>Source!H822</f>
        <v>шт.</v>
      </c>
      <c r="F1130" s="9">
        <f>Source!I822</f>
        <v>6</v>
      </c>
      <c r="G1130" s="21"/>
      <c r="H1130" s="20"/>
      <c r="I1130" s="9"/>
      <c r="J1130" s="9"/>
      <c r="K1130" s="21"/>
      <c r="L1130" s="21"/>
      <c r="Q1130">
        <f>ROUND((Source!BZ822/100)*ROUND((Source!AF822*Source!AV822)*Source!I822, 2), 2)</f>
        <v>23341.119999999999</v>
      </c>
      <c r="R1130">
        <f>Source!X822</f>
        <v>23341.119999999999</v>
      </c>
      <c r="S1130">
        <f>ROUND((Source!CA822/100)*ROUND((Source!AF822*Source!AV822)*Source!I822, 2), 2)</f>
        <v>3334.45</v>
      </c>
      <c r="T1130">
        <f>Source!Y822</f>
        <v>3334.45</v>
      </c>
      <c r="U1130">
        <f>ROUND((175/100)*ROUND((Source!AE822*Source!AV822)*Source!I822, 2), 2)</f>
        <v>0</v>
      </c>
      <c r="V1130">
        <f>ROUND((108/100)*ROUND(Source!CS822*Source!I822, 2), 2)</f>
        <v>0</v>
      </c>
    </row>
    <row r="1131" spans="1:22" ht="14.25" x14ac:dyDescent="0.2">
      <c r="A1131" s="18"/>
      <c r="B1131" s="18"/>
      <c r="C1131" s="18"/>
      <c r="D1131" s="18" t="s">
        <v>1100</v>
      </c>
      <c r="E1131" s="19"/>
      <c r="F1131" s="9"/>
      <c r="G1131" s="21">
        <f>Source!AO822</f>
        <v>5557.41</v>
      </c>
      <c r="H1131" s="20" t="str">
        <f>Source!DG822</f>
        <v/>
      </c>
      <c r="I1131" s="9">
        <f>Source!AV822</f>
        <v>1</v>
      </c>
      <c r="J1131" s="9">
        <f>IF(Source!BA822&lt;&gt; 0, Source!BA822, 1)</f>
        <v>1</v>
      </c>
      <c r="K1131" s="21">
        <f>Source!S822</f>
        <v>33344.46</v>
      </c>
      <c r="L1131" s="21"/>
    </row>
    <row r="1132" spans="1:22" ht="14.25" x14ac:dyDescent="0.2">
      <c r="A1132" s="18"/>
      <c r="B1132" s="18"/>
      <c r="C1132" s="18"/>
      <c r="D1132" s="18" t="s">
        <v>1101</v>
      </c>
      <c r="E1132" s="19"/>
      <c r="F1132" s="9"/>
      <c r="G1132" s="21">
        <f>Source!AL822</f>
        <v>77.08</v>
      </c>
      <c r="H1132" s="20" t="str">
        <f>Source!DD822</f>
        <v/>
      </c>
      <c r="I1132" s="9">
        <f>Source!AW822</f>
        <v>1</v>
      </c>
      <c r="J1132" s="9">
        <f>IF(Source!BC822&lt;&gt; 0, Source!BC822, 1)</f>
        <v>1</v>
      </c>
      <c r="K1132" s="21">
        <f>Source!P822</f>
        <v>462.48</v>
      </c>
      <c r="L1132" s="21"/>
    </row>
    <row r="1133" spans="1:22" ht="14.25" x14ac:dyDescent="0.2">
      <c r="A1133" s="18"/>
      <c r="B1133" s="18"/>
      <c r="C1133" s="18"/>
      <c r="D1133" s="18" t="s">
        <v>1102</v>
      </c>
      <c r="E1133" s="19" t="s">
        <v>1103</v>
      </c>
      <c r="F1133" s="9">
        <f>Source!AT822</f>
        <v>70</v>
      </c>
      <c r="G1133" s="21"/>
      <c r="H1133" s="20"/>
      <c r="I1133" s="9"/>
      <c r="J1133" s="9"/>
      <c r="K1133" s="21">
        <f>SUM(R1130:R1132)</f>
        <v>23341.119999999999</v>
      </c>
      <c r="L1133" s="21"/>
    </row>
    <row r="1134" spans="1:22" ht="14.25" x14ac:dyDescent="0.2">
      <c r="A1134" s="18"/>
      <c r="B1134" s="18"/>
      <c r="C1134" s="18"/>
      <c r="D1134" s="18" t="s">
        <v>1104</v>
      </c>
      <c r="E1134" s="19" t="s">
        <v>1103</v>
      </c>
      <c r="F1134" s="9">
        <f>Source!AU822</f>
        <v>10</v>
      </c>
      <c r="G1134" s="21"/>
      <c r="H1134" s="20"/>
      <c r="I1134" s="9"/>
      <c r="J1134" s="9"/>
      <c r="K1134" s="21">
        <f>SUM(T1130:T1133)</f>
        <v>3334.45</v>
      </c>
      <c r="L1134" s="21"/>
    </row>
    <row r="1135" spans="1:22" ht="14.25" x14ac:dyDescent="0.2">
      <c r="A1135" s="18"/>
      <c r="B1135" s="18"/>
      <c r="C1135" s="18"/>
      <c r="D1135" s="18" t="s">
        <v>1105</v>
      </c>
      <c r="E1135" s="19" t="s">
        <v>1106</v>
      </c>
      <c r="F1135" s="9">
        <f>Source!AQ822</f>
        <v>9</v>
      </c>
      <c r="G1135" s="21"/>
      <c r="H1135" s="20" t="str">
        <f>Source!DI822</f>
        <v/>
      </c>
      <c r="I1135" s="9">
        <f>Source!AV822</f>
        <v>1</v>
      </c>
      <c r="J1135" s="9"/>
      <c r="K1135" s="21"/>
      <c r="L1135" s="21">
        <f>Source!U822</f>
        <v>54</v>
      </c>
    </row>
    <row r="1136" spans="1:22" ht="15" x14ac:dyDescent="0.25">
      <c r="A1136" s="23"/>
      <c r="B1136" s="23"/>
      <c r="C1136" s="23"/>
      <c r="D1136" s="23"/>
      <c r="E1136" s="23"/>
      <c r="F1136" s="23"/>
      <c r="G1136" s="23"/>
      <c r="H1136" s="23"/>
      <c r="I1136" s="23"/>
      <c r="J1136" s="44">
        <f>K1131+K1132+K1133+K1134</f>
        <v>60482.509999999995</v>
      </c>
      <c r="K1136" s="44"/>
      <c r="L1136" s="24">
        <f>IF(Source!I822&lt;&gt;0, ROUND(J1136/Source!I822, 2), 0)</f>
        <v>10080.42</v>
      </c>
      <c r="P1136" s="22">
        <f>J1136</f>
        <v>60482.509999999995</v>
      </c>
    </row>
    <row r="1137" spans="1:22" ht="71.25" x14ac:dyDescent="0.2">
      <c r="A1137" s="18">
        <v>126</v>
      </c>
      <c r="B1137" s="18">
        <v>126</v>
      </c>
      <c r="C1137" s="18" t="str">
        <f>Source!F824</f>
        <v>1.21-2203-2-2/1</v>
      </c>
      <c r="D1137" s="18" t="str">
        <f>Source!G824</f>
        <v>Техническое обслуживание силового распределительного пункта с установочными автоматами, число групп 6 / ЩС2-1, ЩС2-2, ЩС2-3, ЩК1-1,  ЩК2-1, ЩК2-2, ЩК2-3</v>
      </c>
      <c r="E1137" s="19" t="str">
        <f>Source!H824</f>
        <v>шт.</v>
      </c>
      <c r="F1137" s="9">
        <f>Source!I824</f>
        <v>9</v>
      </c>
      <c r="G1137" s="21"/>
      <c r="H1137" s="20"/>
      <c r="I1137" s="9"/>
      <c r="J1137" s="9"/>
      <c r="K1137" s="21"/>
      <c r="L1137" s="21"/>
      <c r="Q1137">
        <f>ROUND((Source!BZ824/100)*ROUND((Source!AF824*Source!AV824)*Source!I824, 2), 2)</f>
        <v>46682.239999999998</v>
      </c>
      <c r="R1137">
        <f>Source!X824</f>
        <v>46682.239999999998</v>
      </c>
      <c r="S1137">
        <f>ROUND((Source!CA824/100)*ROUND((Source!AF824*Source!AV824)*Source!I824, 2), 2)</f>
        <v>6668.89</v>
      </c>
      <c r="T1137">
        <f>Source!Y824</f>
        <v>6668.89</v>
      </c>
      <c r="U1137">
        <f>ROUND((175/100)*ROUND((Source!AE824*Source!AV824)*Source!I824, 2), 2)</f>
        <v>0</v>
      </c>
      <c r="V1137">
        <f>ROUND((108/100)*ROUND(Source!CS824*Source!I824, 2), 2)</f>
        <v>0</v>
      </c>
    </row>
    <row r="1138" spans="1:22" ht="14.25" x14ac:dyDescent="0.2">
      <c r="A1138" s="18"/>
      <c r="B1138" s="18"/>
      <c r="C1138" s="18"/>
      <c r="D1138" s="18" t="s">
        <v>1100</v>
      </c>
      <c r="E1138" s="19"/>
      <c r="F1138" s="9"/>
      <c r="G1138" s="21">
        <f>Source!AO824</f>
        <v>7409.88</v>
      </c>
      <c r="H1138" s="20" t="str">
        <f>Source!DG824</f>
        <v/>
      </c>
      <c r="I1138" s="9">
        <f>Source!AV824</f>
        <v>1</v>
      </c>
      <c r="J1138" s="9">
        <f>IF(Source!BA824&lt;&gt; 0, Source!BA824, 1)</f>
        <v>1</v>
      </c>
      <c r="K1138" s="21">
        <f>Source!S824</f>
        <v>66688.92</v>
      </c>
      <c r="L1138" s="21"/>
    </row>
    <row r="1139" spans="1:22" ht="14.25" x14ac:dyDescent="0.2">
      <c r="A1139" s="18"/>
      <c r="B1139" s="18"/>
      <c r="C1139" s="18"/>
      <c r="D1139" s="18" t="s">
        <v>1101</v>
      </c>
      <c r="E1139" s="19"/>
      <c r="F1139" s="9"/>
      <c r="G1139" s="21">
        <f>Source!AL824</f>
        <v>102.76</v>
      </c>
      <c r="H1139" s="20" t="str">
        <f>Source!DD824</f>
        <v/>
      </c>
      <c r="I1139" s="9">
        <f>Source!AW824</f>
        <v>1</v>
      </c>
      <c r="J1139" s="9">
        <f>IF(Source!BC824&lt;&gt; 0, Source!BC824, 1)</f>
        <v>1</v>
      </c>
      <c r="K1139" s="21">
        <f>Source!P824</f>
        <v>924.84</v>
      </c>
      <c r="L1139" s="21"/>
    </row>
    <row r="1140" spans="1:22" ht="14.25" x14ac:dyDescent="0.2">
      <c r="A1140" s="18"/>
      <c r="B1140" s="18"/>
      <c r="C1140" s="18"/>
      <c r="D1140" s="18" t="s">
        <v>1102</v>
      </c>
      <c r="E1140" s="19" t="s">
        <v>1103</v>
      </c>
      <c r="F1140" s="9">
        <f>Source!AT824</f>
        <v>70</v>
      </c>
      <c r="G1140" s="21"/>
      <c r="H1140" s="20"/>
      <c r="I1140" s="9"/>
      <c r="J1140" s="9"/>
      <c r="K1140" s="21">
        <f>SUM(R1137:R1139)</f>
        <v>46682.239999999998</v>
      </c>
      <c r="L1140" s="21"/>
    </row>
    <row r="1141" spans="1:22" ht="14.25" x14ac:dyDescent="0.2">
      <c r="A1141" s="18"/>
      <c r="B1141" s="18"/>
      <c r="C1141" s="18"/>
      <c r="D1141" s="18" t="s">
        <v>1104</v>
      </c>
      <c r="E1141" s="19" t="s">
        <v>1103</v>
      </c>
      <c r="F1141" s="9">
        <f>Source!AU824</f>
        <v>10</v>
      </c>
      <c r="G1141" s="21"/>
      <c r="H1141" s="20"/>
      <c r="I1141" s="9"/>
      <c r="J1141" s="9"/>
      <c r="K1141" s="21">
        <f>SUM(T1137:T1140)</f>
        <v>6668.89</v>
      </c>
      <c r="L1141" s="21"/>
    </row>
    <row r="1142" spans="1:22" ht="14.25" x14ac:dyDescent="0.2">
      <c r="A1142" s="18"/>
      <c r="B1142" s="18"/>
      <c r="C1142" s="18"/>
      <c r="D1142" s="18" t="s">
        <v>1105</v>
      </c>
      <c r="E1142" s="19" t="s">
        <v>1106</v>
      </c>
      <c r="F1142" s="9">
        <f>Source!AQ824</f>
        <v>12</v>
      </c>
      <c r="G1142" s="21"/>
      <c r="H1142" s="20" t="str">
        <f>Source!DI824</f>
        <v/>
      </c>
      <c r="I1142" s="9">
        <f>Source!AV824</f>
        <v>1</v>
      </c>
      <c r="J1142" s="9"/>
      <c r="K1142" s="21"/>
      <c r="L1142" s="21">
        <f>Source!U824</f>
        <v>108</v>
      </c>
    </row>
    <row r="1143" spans="1:22" ht="15" x14ac:dyDescent="0.25">
      <c r="A1143" s="23"/>
      <c r="B1143" s="23"/>
      <c r="C1143" s="23"/>
      <c r="D1143" s="23"/>
      <c r="E1143" s="23"/>
      <c r="F1143" s="23"/>
      <c r="G1143" s="23"/>
      <c r="H1143" s="23"/>
      <c r="I1143" s="23"/>
      <c r="J1143" s="44">
        <f>K1138+K1139+K1140+K1141</f>
        <v>120964.89</v>
      </c>
      <c r="K1143" s="44"/>
      <c r="L1143" s="24">
        <f>IF(Source!I824&lt;&gt;0, ROUND(J1143/Source!I824, 2), 0)</f>
        <v>13440.54</v>
      </c>
      <c r="P1143" s="22">
        <f>J1143</f>
        <v>120964.89</v>
      </c>
    </row>
    <row r="1144" spans="1:22" ht="71.25" x14ac:dyDescent="0.2">
      <c r="A1144" s="18">
        <v>127</v>
      </c>
      <c r="B1144" s="18">
        <v>127</v>
      </c>
      <c r="C1144" s="18" t="str">
        <f>Source!F826</f>
        <v>1.21-2203-2-3/1</v>
      </c>
      <c r="D1144" s="18" t="str">
        <f>Source!G826</f>
        <v>Техническое обслуживание силового распределительного пункта с установочными автоматами, число групп 8 / ЩК1-2, ЩК1-4, ЩК1-5, ЩСерв-1,  ЩСерв-3</v>
      </c>
      <c r="E1144" s="19" t="str">
        <f>Source!H826</f>
        <v>шт.</v>
      </c>
      <c r="F1144" s="9">
        <f>Source!I826</f>
        <v>5</v>
      </c>
      <c r="G1144" s="21"/>
      <c r="H1144" s="20"/>
      <c r="I1144" s="9"/>
      <c r="J1144" s="9"/>
      <c r="K1144" s="21"/>
      <c r="L1144" s="21"/>
      <c r="Q1144">
        <f>ROUND((Source!BZ826/100)*ROUND((Source!AF826*Source!AV826)*Source!I826, 2), 2)</f>
        <v>32418.23</v>
      </c>
      <c r="R1144">
        <f>Source!X826</f>
        <v>32418.23</v>
      </c>
      <c r="S1144">
        <f>ROUND((Source!CA826/100)*ROUND((Source!AF826*Source!AV826)*Source!I826, 2), 2)</f>
        <v>4631.18</v>
      </c>
      <c r="T1144">
        <f>Source!Y826</f>
        <v>4631.18</v>
      </c>
      <c r="U1144">
        <f>ROUND((175/100)*ROUND((Source!AE826*Source!AV826)*Source!I826, 2), 2)</f>
        <v>0</v>
      </c>
      <c r="V1144">
        <f>ROUND((108/100)*ROUND(Source!CS826*Source!I826, 2), 2)</f>
        <v>0</v>
      </c>
    </row>
    <row r="1145" spans="1:22" ht="14.25" x14ac:dyDescent="0.2">
      <c r="A1145" s="18"/>
      <c r="B1145" s="18"/>
      <c r="C1145" s="18"/>
      <c r="D1145" s="18" t="s">
        <v>1100</v>
      </c>
      <c r="E1145" s="19"/>
      <c r="F1145" s="9"/>
      <c r="G1145" s="21">
        <f>Source!AO826</f>
        <v>9262.35</v>
      </c>
      <c r="H1145" s="20" t="str">
        <f>Source!DG826</f>
        <v/>
      </c>
      <c r="I1145" s="9">
        <f>Source!AV826</f>
        <v>1</v>
      </c>
      <c r="J1145" s="9">
        <f>IF(Source!BA826&lt;&gt; 0, Source!BA826, 1)</f>
        <v>1</v>
      </c>
      <c r="K1145" s="21">
        <f>Source!S826</f>
        <v>46311.75</v>
      </c>
      <c r="L1145" s="21"/>
    </row>
    <row r="1146" spans="1:22" ht="14.25" x14ac:dyDescent="0.2">
      <c r="A1146" s="18"/>
      <c r="B1146" s="18"/>
      <c r="C1146" s="18"/>
      <c r="D1146" s="18" t="s">
        <v>1101</v>
      </c>
      <c r="E1146" s="19"/>
      <c r="F1146" s="9"/>
      <c r="G1146" s="21">
        <f>Source!AL826</f>
        <v>128.44999999999999</v>
      </c>
      <c r="H1146" s="20" t="str">
        <f>Source!DD826</f>
        <v/>
      </c>
      <c r="I1146" s="9">
        <f>Source!AW826</f>
        <v>1</v>
      </c>
      <c r="J1146" s="9">
        <f>IF(Source!BC826&lt;&gt; 0, Source!BC826, 1)</f>
        <v>1</v>
      </c>
      <c r="K1146" s="21">
        <f>Source!P826</f>
        <v>642.25</v>
      </c>
      <c r="L1146" s="21"/>
    </row>
    <row r="1147" spans="1:22" ht="14.25" x14ac:dyDescent="0.2">
      <c r="A1147" s="18"/>
      <c r="B1147" s="18"/>
      <c r="C1147" s="18"/>
      <c r="D1147" s="18" t="s">
        <v>1102</v>
      </c>
      <c r="E1147" s="19" t="s">
        <v>1103</v>
      </c>
      <c r="F1147" s="9">
        <f>Source!AT826</f>
        <v>70</v>
      </c>
      <c r="G1147" s="21"/>
      <c r="H1147" s="20"/>
      <c r="I1147" s="9"/>
      <c r="J1147" s="9"/>
      <c r="K1147" s="21">
        <f>SUM(R1144:R1146)</f>
        <v>32418.23</v>
      </c>
      <c r="L1147" s="21"/>
    </row>
    <row r="1148" spans="1:22" ht="14.25" x14ac:dyDescent="0.2">
      <c r="A1148" s="18"/>
      <c r="B1148" s="18"/>
      <c r="C1148" s="18"/>
      <c r="D1148" s="18" t="s">
        <v>1104</v>
      </c>
      <c r="E1148" s="19" t="s">
        <v>1103</v>
      </c>
      <c r="F1148" s="9">
        <f>Source!AU826</f>
        <v>10</v>
      </c>
      <c r="G1148" s="21"/>
      <c r="H1148" s="20"/>
      <c r="I1148" s="9"/>
      <c r="J1148" s="9"/>
      <c r="K1148" s="21">
        <f>SUM(T1144:T1147)</f>
        <v>4631.18</v>
      </c>
      <c r="L1148" s="21"/>
    </row>
    <row r="1149" spans="1:22" ht="14.25" x14ac:dyDescent="0.2">
      <c r="A1149" s="18"/>
      <c r="B1149" s="18"/>
      <c r="C1149" s="18"/>
      <c r="D1149" s="18" t="s">
        <v>1105</v>
      </c>
      <c r="E1149" s="19" t="s">
        <v>1106</v>
      </c>
      <c r="F1149" s="9">
        <f>Source!AQ826</f>
        <v>15</v>
      </c>
      <c r="G1149" s="21"/>
      <c r="H1149" s="20" t="str">
        <f>Source!DI826</f>
        <v/>
      </c>
      <c r="I1149" s="9">
        <f>Source!AV826</f>
        <v>1</v>
      </c>
      <c r="J1149" s="9"/>
      <c r="K1149" s="21"/>
      <c r="L1149" s="21">
        <f>Source!U826</f>
        <v>75</v>
      </c>
    </row>
    <row r="1150" spans="1:22" ht="15" x14ac:dyDescent="0.25">
      <c r="A1150" s="23"/>
      <c r="B1150" s="23"/>
      <c r="C1150" s="23"/>
      <c r="D1150" s="23"/>
      <c r="E1150" s="23"/>
      <c r="F1150" s="23"/>
      <c r="G1150" s="23"/>
      <c r="H1150" s="23"/>
      <c r="I1150" s="23"/>
      <c r="J1150" s="44">
        <f>K1145+K1146+K1147+K1148</f>
        <v>84003.41</v>
      </c>
      <c r="K1150" s="44"/>
      <c r="L1150" s="24">
        <f>IF(Source!I826&lt;&gt;0, ROUND(J1150/Source!I826, 2), 0)</f>
        <v>16800.68</v>
      </c>
      <c r="P1150" s="22">
        <f>J1150</f>
        <v>84003.41</v>
      </c>
    </row>
    <row r="1151" spans="1:22" ht="57" x14ac:dyDescent="0.2">
      <c r="A1151" s="18">
        <v>128</v>
      </c>
      <c r="B1151" s="18">
        <v>128</v>
      </c>
      <c r="C1151" s="18" t="str">
        <f>Source!F828</f>
        <v>1.21-2203-2-4/1</v>
      </c>
      <c r="D1151" s="18" t="str">
        <f>Source!G828</f>
        <v>Техническое обслуживание силового распределительного пункта с установочными автоматами, число групп 10 / ЩК1-3, ЩВ-2, ЩОВ</v>
      </c>
      <c r="E1151" s="19" t="str">
        <f>Source!H828</f>
        <v>шт.</v>
      </c>
      <c r="F1151" s="9">
        <f>Source!I828</f>
        <v>3</v>
      </c>
      <c r="G1151" s="21"/>
      <c r="H1151" s="20"/>
      <c r="I1151" s="9"/>
      <c r="J1151" s="9"/>
      <c r="K1151" s="21"/>
      <c r="L1151" s="21"/>
      <c r="Q1151">
        <f>ROUND((Source!BZ828/100)*ROUND((Source!AF828*Source!AV828)*Source!I828, 2), 2)</f>
        <v>23341.119999999999</v>
      </c>
      <c r="R1151">
        <f>Source!X828</f>
        <v>23341.119999999999</v>
      </c>
      <c r="S1151">
        <f>ROUND((Source!CA828/100)*ROUND((Source!AF828*Source!AV828)*Source!I828, 2), 2)</f>
        <v>3334.45</v>
      </c>
      <c r="T1151">
        <f>Source!Y828</f>
        <v>3334.45</v>
      </c>
      <c r="U1151">
        <f>ROUND((175/100)*ROUND((Source!AE828*Source!AV828)*Source!I828, 2), 2)</f>
        <v>0</v>
      </c>
      <c r="V1151">
        <f>ROUND((108/100)*ROUND(Source!CS828*Source!I828, 2), 2)</f>
        <v>0</v>
      </c>
    </row>
    <row r="1152" spans="1:22" ht="14.25" x14ac:dyDescent="0.2">
      <c r="A1152" s="18"/>
      <c r="B1152" s="18"/>
      <c r="C1152" s="18"/>
      <c r="D1152" s="18" t="s">
        <v>1100</v>
      </c>
      <c r="E1152" s="19"/>
      <c r="F1152" s="9"/>
      <c r="G1152" s="21">
        <f>Source!AO828</f>
        <v>11114.82</v>
      </c>
      <c r="H1152" s="20" t="str">
        <f>Source!DG828</f>
        <v/>
      </c>
      <c r="I1152" s="9">
        <f>Source!AV828</f>
        <v>1</v>
      </c>
      <c r="J1152" s="9">
        <f>IF(Source!BA828&lt;&gt; 0, Source!BA828, 1)</f>
        <v>1</v>
      </c>
      <c r="K1152" s="21">
        <f>Source!S828</f>
        <v>33344.46</v>
      </c>
      <c r="L1152" s="21"/>
    </row>
    <row r="1153" spans="1:22" ht="14.25" x14ac:dyDescent="0.2">
      <c r="A1153" s="18"/>
      <c r="B1153" s="18"/>
      <c r="C1153" s="18"/>
      <c r="D1153" s="18" t="s">
        <v>1101</v>
      </c>
      <c r="E1153" s="19"/>
      <c r="F1153" s="9"/>
      <c r="G1153" s="21">
        <f>Source!AL828</f>
        <v>154.13999999999999</v>
      </c>
      <c r="H1153" s="20" t="str">
        <f>Source!DD828</f>
        <v/>
      </c>
      <c r="I1153" s="9">
        <f>Source!AW828</f>
        <v>1</v>
      </c>
      <c r="J1153" s="9">
        <f>IF(Source!BC828&lt;&gt; 0, Source!BC828, 1)</f>
        <v>1</v>
      </c>
      <c r="K1153" s="21">
        <f>Source!P828</f>
        <v>462.42</v>
      </c>
      <c r="L1153" s="21"/>
    </row>
    <row r="1154" spans="1:22" ht="14.25" x14ac:dyDescent="0.2">
      <c r="A1154" s="18"/>
      <c r="B1154" s="18"/>
      <c r="C1154" s="18"/>
      <c r="D1154" s="18" t="s">
        <v>1102</v>
      </c>
      <c r="E1154" s="19" t="s">
        <v>1103</v>
      </c>
      <c r="F1154" s="9">
        <f>Source!AT828</f>
        <v>70</v>
      </c>
      <c r="G1154" s="21"/>
      <c r="H1154" s="20"/>
      <c r="I1154" s="9"/>
      <c r="J1154" s="9"/>
      <c r="K1154" s="21">
        <f>SUM(R1151:R1153)</f>
        <v>23341.119999999999</v>
      </c>
      <c r="L1154" s="21"/>
    </row>
    <row r="1155" spans="1:22" ht="14.25" x14ac:dyDescent="0.2">
      <c r="A1155" s="18"/>
      <c r="B1155" s="18"/>
      <c r="C1155" s="18"/>
      <c r="D1155" s="18" t="s">
        <v>1104</v>
      </c>
      <c r="E1155" s="19" t="s">
        <v>1103</v>
      </c>
      <c r="F1155" s="9">
        <f>Source!AU828</f>
        <v>10</v>
      </c>
      <c r="G1155" s="21"/>
      <c r="H1155" s="20"/>
      <c r="I1155" s="9"/>
      <c r="J1155" s="9"/>
      <c r="K1155" s="21">
        <f>SUM(T1151:T1154)</f>
        <v>3334.45</v>
      </c>
      <c r="L1155" s="21"/>
    </row>
    <row r="1156" spans="1:22" ht="14.25" x14ac:dyDescent="0.2">
      <c r="A1156" s="18"/>
      <c r="B1156" s="18"/>
      <c r="C1156" s="18"/>
      <c r="D1156" s="18" t="s">
        <v>1105</v>
      </c>
      <c r="E1156" s="19" t="s">
        <v>1106</v>
      </c>
      <c r="F1156" s="9">
        <f>Source!AQ828</f>
        <v>18</v>
      </c>
      <c r="G1156" s="21"/>
      <c r="H1156" s="20" t="str">
        <f>Source!DI828</f>
        <v/>
      </c>
      <c r="I1156" s="9">
        <f>Source!AV828</f>
        <v>1</v>
      </c>
      <c r="J1156" s="9"/>
      <c r="K1156" s="21"/>
      <c r="L1156" s="21">
        <f>Source!U828</f>
        <v>54</v>
      </c>
    </row>
    <row r="1157" spans="1:22" ht="15" x14ac:dyDescent="0.25">
      <c r="A1157" s="23"/>
      <c r="B1157" s="23"/>
      <c r="C1157" s="23"/>
      <c r="D1157" s="23"/>
      <c r="E1157" s="23"/>
      <c r="F1157" s="23"/>
      <c r="G1157" s="23"/>
      <c r="H1157" s="23"/>
      <c r="I1157" s="23"/>
      <c r="J1157" s="44">
        <f>K1152+K1153+K1154+K1155</f>
        <v>60482.45</v>
      </c>
      <c r="K1157" s="44"/>
      <c r="L1157" s="24">
        <f>IF(Source!I828&lt;&gt;0, ROUND(J1157/Source!I828, 2), 0)</f>
        <v>20160.82</v>
      </c>
      <c r="P1157" s="22">
        <f>J1157</f>
        <v>60482.45</v>
      </c>
    </row>
    <row r="1158" spans="1:22" ht="71.25" x14ac:dyDescent="0.2">
      <c r="A1158" s="18">
        <v>129</v>
      </c>
      <c r="B1158" s="18">
        <v>129</v>
      </c>
      <c r="C1158" s="18" t="str">
        <f>Source!F830</f>
        <v>1.21-2203-2-5/1</v>
      </c>
      <c r="D1158" s="18" t="str">
        <f>Source!G830</f>
        <v>Техническое обслуживание силового распределительного пункта с установочными автоматами, число групп 12 / ЩС1-1, ЩС1-2, ЩС1-3, ЩС1-4, ЩС1-5, ЩС2-4, ЩК2-4, ЩСерв-2</v>
      </c>
      <c r="E1158" s="19" t="str">
        <f>Source!H830</f>
        <v>шт.</v>
      </c>
      <c r="F1158" s="9">
        <f>Source!I830</f>
        <v>8</v>
      </c>
      <c r="G1158" s="21"/>
      <c r="H1158" s="20"/>
      <c r="I1158" s="9"/>
      <c r="J1158" s="9"/>
      <c r="K1158" s="21"/>
      <c r="L1158" s="21"/>
      <c r="Q1158">
        <f>ROUND((Source!BZ830/100)*ROUND((Source!AF830*Source!AV830)*Source!I830, 2), 2)</f>
        <v>82990.66</v>
      </c>
      <c r="R1158">
        <f>Source!X830</f>
        <v>82990.66</v>
      </c>
      <c r="S1158">
        <f>ROUND((Source!CA830/100)*ROUND((Source!AF830*Source!AV830)*Source!I830, 2), 2)</f>
        <v>11855.81</v>
      </c>
      <c r="T1158">
        <f>Source!Y830</f>
        <v>11855.81</v>
      </c>
      <c r="U1158">
        <f>ROUND((175/100)*ROUND((Source!AE830*Source!AV830)*Source!I830, 2), 2)</f>
        <v>0</v>
      </c>
      <c r="V1158">
        <f>ROUND((108/100)*ROUND(Source!CS830*Source!I830, 2), 2)</f>
        <v>0</v>
      </c>
    </row>
    <row r="1159" spans="1:22" ht="14.25" x14ac:dyDescent="0.2">
      <c r="A1159" s="18"/>
      <c r="B1159" s="18"/>
      <c r="C1159" s="18"/>
      <c r="D1159" s="18" t="s">
        <v>1100</v>
      </c>
      <c r="E1159" s="19"/>
      <c r="F1159" s="9"/>
      <c r="G1159" s="21">
        <f>Source!AO830</f>
        <v>14819.76</v>
      </c>
      <c r="H1159" s="20" t="str">
        <f>Source!DG830</f>
        <v/>
      </c>
      <c r="I1159" s="9">
        <f>Source!AV830</f>
        <v>1</v>
      </c>
      <c r="J1159" s="9">
        <f>IF(Source!BA830&lt;&gt; 0, Source!BA830, 1)</f>
        <v>1</v>
      </c>
      <c r="K1159" s="21">
        <f>Source!S830</f>
        <v>118558.08</v>
      </c>
      <c r="L1159" s="21"/>
    </row>
    <row r="1160" spans="1:22" ht="14.25" x14ac:dyDescent="0.2">
      <c r="A1160" s="18"/>
      <c r="B1160" s="18"/>
      <c r="C1160" s="18"/>
      <c r="D1160" s="18" t="s">
        <v>1101</v>
      </c>
      <c r="E1160" s="19"/>
      <c r="F1160" s="9"/>
      <c r="G1160" s="21">
        <f>Source!AL830</f>
        <v>205.53</v>
      </c>
      <c r="H1160" s="20" t="str">
        <f>Source!DD830</f>
        <v/>
      </c>
      <c r="I1160" s="9">
        <f>Source!AW830</f>
        <v>1</v>
      </c>
      <c r="J1160" s="9">
        <f>IF(Source!BC830&lt;&gt; 0, Source!BC830, 1)</f>
        <v>1</v>
      </c>
      <c r="K1160" s="21">
        <f>Source!P830</f>
        <v>1644.24</v>
      </c>
      <c r="L1160" s="21"/>
    </row>
    <row r="1161" spans="1:22" ht="14.25" x14ac:dyDescent="0.2">
      <c r="A1161" s="18"/>
      <c r="B1161" s="18"/>
      <c r="C1161" s="18"/>
      <c r="D1161" s="18" t="s">
        <v>1102</v>
      </c>
      <c r="E1161" s="19" t="s">
        <v>1103</v>
      </c>
      <c r="F1161" s="9">
        <f>Source!AT830</f>
        <v>70</v>
      </c>
      <c r="G1161" s="21"/>
      <c r="H1161" s="20"/>
      <c r="I1161" s="9"/>
      <c r="J1161" s="9"/>
      <c r="K1161" s="21">
        <f>SUM(R1158:R1160)</f>
        <v>82990.66</v>
      </c>
      <c r="L1161" s="21"/>
    </row>
    <row r="1162" spans="1:22" ht="14.25" x14ac:dyDescent="0.2">
      <c r="A1162" s="18"/>
      <c r="B1162" s="18"/>
      <c r="C1162" s="18"/>
      <c r="D1162" s="18" t="s">
        <v>1104</v>
      </c>
      <c r="E1162" s="19" t="s">
        <v>1103</v>
      </c>
      <c r="F1162" s="9">
        <f>Source!AU830</f>
        <v>10</v>
      </c>
      <c r="G1162" s="21"/>
      <c r="H1162" s="20"/>
      <c r="I1162" s="9"/>
      <c r="J1162" s="9"/>
      <c r="K1162" s="21">
        <f>SUM(T1158:T1161)</f>
        <v>11855.81</v>
      </c>
      <c r="L1162" s="21"/>
    </row>
    <row r="1163" spans="1:22" ht="14.25" x14ac:dyDescent="0.2">
      <c r="A1163" s="18"/>
      <c r="B1163" s="18"/>
      <c r="C1163" s="18"/>
      <c r="D1163" s="18" t="s">
        <v>1105</v>
      </c>
      <c r="E1163" s="19" t="s">
        <v>1106</v>
      </c>
      <c r="F1163" s="9">
        <f>Source!AQ830</f>
        <v>24</v>
      </c>
      <c r="G1163" s="21"/>
      <c r="H1163" s="20" t="str">
        <f>Source!DI830</f>
        <v/>
      </c>
      <c r="I1163" s="9">
        <f>Source!AV830</f>
        <v>1</v>
      </c>
      <c r="J1163" s="9"/>
      <c r="K1163" s="21"/>
      <c r="L1163" s="21">
        <f>Source!U830</f>
        <v>192</v>
      </c>
    </row>
    <row r="1164" spans="1:22" ht="15" x14ac:dyDescent="0.25">
      <c r="A1164" s="23"/>
      <c r="B1164" s="23"/>
      <c r="C1164" s="23"/>
      <c r="D1164" s="23"/>
      <c r="E1164" s="23"/>
      <c r="F1164" s="23"/>
      <c r="G1164" s="23"/>
      <c r="H1164" s="23"/>
      <c r="I1164" s="23"/>
      <c r="J1164" s="44">
        <f>K1159+K1160+K1161+K1162</f>
        <v>215048.79</v>
      </c>
      <c r="K1164" s="44"/>
      <c r="L1164" s="24">
        <f>IF(Source!I830&lt;&gt;0, ROUND(J1164/Source!I830, 2), 0)</f>
        <v>26881.1</v>
      </c>
      <c r="P1164" s="22">
        <f>J1164</f>
        <v>215048.79</v>
      </c>
    </row>
    <row r="1165" spans="1:22" ht="42.75" x14ac:dyDescent="0.2">
      <c r="A1165" s="18">
        <v>130</v>
      </c>
      <c r="B1165" s="18">
        <v>130</v>
      </c>
      <c r="C1165" s="18" t="str">
        <f>Source!F832</f>
        <v>1.23-2203-3-1/1</v>
      </c>
      <c r="D1165" s="18" t="str">
        <f>Source!G832</f>
        <v>Техническое обслуживание светосигнальной арматуры с лампой накаливания, светодиодом</v>
      </c>
      <c r="E1165" s="19" t="str">
        <f>Source!H832</f>
        <v>10 шт.</v>
      </c>
      <c r="F1165" s="9">
        <f>Source!I832</f>
        <v>0.2</v>
      </c>
      <c r="G1165" s="21"/>
      <c r="H1165" s="20"/>
      <c r="I1165" s="9"/>
      <c r="J1165" s="9"/>
      <c r="K1165" s="21"/>
      <c r="L1165" s="21"/>
      <c r="Q1165">
        <f>ROUND((Source!BZ832/100)*ROUND((Source!AF832*Source!AV832)*Source!I832, 2), 2)</f>
        <v>238.45</v>
      </c>
      <c r="R1165">
        <f>Source!X832</f>
        <v>238.45</v>
      </c>
      <c r="S1165">
        <f>ROUND((Source!CA832/100)*ROUND((Source!AF832*Source!AV832)*Source!I832, 2), 2)</f>
        <v>34.06</v>
      </c>
      <c r="T1165">
        <f>Source!Y832</f>
        <v>34.06</v>
      </c>
      <c r="U1165">
        <f>ROUND((175/100)*ROUND((Source!AE832*Source!AV832)*Source!I832, 2), 2)</f>
        <v>0</v>
      </c>
      <c r="V1165">
        <f>ROUND((108/100)*ROUND(Source!CS832*Source!I832, 2), 2)</f>
        <v>0</v>
      </c>
    </row>
    <row r="1166" spans="1:22" x14ac:dyDescent="0.2">
      <c r="D1166" s="28" t="str">
        <f>"Объем: "&amp;Source!I832&amp;"=2/"&amp;"10"</f>
        <v>Объем: 0,2=2/10</v>
      </c>
    </row>
    <row r="1167" spans="1:22" ht="14.25" x14ac:dyDescent="0.2">
      <c r="A1167" s="18"/>
      <c r="B1167" s="18"/>
      <c r="C1167" s="18"/>
      <c r="D1167" s="18" t="s">
        <v>1100</v>
      </c>
      <c r="E1167" s="19"/>
      <c r="F1167" s="9"/>
      <c r="G1167" s="21">
        <f>Source!AO832</f>
        <v>1703.18</v>
      </c>
      <c r="H1167" s="20" t="str">
        <f>Source!DG832</f>
        <v/>
      </c>
      <c r="I1167" s="9">
        <f>Source!AV832</f>
        <v>1</v>
      </c>
      <c r="J1167" s="9">
        <f>IF(Source!BA832&lt;&gt; 0, Source!BA832, 1)</f>
        <v>1</v>
      </c>
      <c r="K1167" s="21">
        <f>Source!S832</f>
        <v>340.64</v>
      </c>
      <c r="L1167" s="21"/>
    </row>
    <row r="1168" spans="1:22" ht="14.25" x14ac:dyDescent="0.2">
      <c r="A1168" s="18"/>
      <c r="B1168" s="18"/>
      <c r="C1168" s="18"/>
      <c r="D1168" s="18" t="s">
        <v>1101</v>
      </c>
      <c r="E1168" s="19"/>
      <c r="F1168" s="9"/>
      <c r="G1168" s="21">
        <f>Source!AL832</f>
        <v>80.67</v>
      </c>
      <c r="H1168" s="20" t="str">
        <f>Source!DD832</f>
        <v/>
      </c>
      <c r="I1168" s="9">
        <f>Source!AW832</f>
        <v>1</v>
      </c>
      <c r="J1168" s="9">
        <f>IF(Source!BC832&lt;&gt; 0, Source!BC832, 1)</f>
        <v>1</v>
      </c>
      <c r="K1168" s="21">
        <f>Source!P832</f>
        <v>16.13</v>
      </c>
      <c r="L1168" s="21"/>
    </row>
    <row r="1169" spans="1:22" ht="14.25" x14ac:dyDescent="0.2">
      <c r="A1169" s="18"/>
      <c r="B1169" s="18"/>
      <c r="C1169" s="18"/>
      <c r="D1169" s="18" t="s">
        <v>1102</v>
      </c>
      <c r="E1169" s="19" t="s">
        <v>1103</v>
      </c>
      <c r="F1169" s="9">
        <f>Source!AT832</f>
        <v>70</v>
      </c>
      <c r="G1169" s="21"/>
      <c r="H1169" s="20"/>
      <c r="I1169" s="9"/>
      <c r="J1169" s="9"/>
      <c r="K1169" s="21">
        <f>SUM(R1165:R1168)</f>
        <v>238.45</v>
      </c>
      <c r="L1169" s="21"/>
    </row>
    <row r="1170" spans="1:22" ht="14.25" x14ac:dyDescent="0.2">
      <c r="A1170" s="18"/>
      <c r="B1170" s="18"/>
      <c r="C1170" s="18"/>
      <c r="D1170" s="18" t="s">
        <v>1104</v>
      </c>
      <c r="E1170" s="19" t="s">
        <v>1103</v>
      </c>
      <c r="F1170" s="9">
        <f>Source!AU832</f>
        <v>10</v>
      </c>
      <c r="G1170" s="21"/>
      <c r="H1170" s="20"/>
      <c r="I1170" s="9"/>
      <c r="J1170" s="9"/>
      <c r="K1170" s="21">
        <f>SUM(T1165:T1169)</f>
        <v>34.06</v>
      </c>
      <c r="L1170" s="21"/>
    </row>
    <row r="1171" spans="1:22" ht="14.25" x14ac:dyDescent="0.2">
      <c r="A1171" s="18"/>
      <c r="B1171" s="18"/>
      <c r="C1171" s="18"/>
      <c r="D1171" s="18" t="s">
        <v>1105</v>
      </c>
      <c r="E1171" s="19" t="s">
        <v>1106</v>
      </c>
      <c r="F1171" s="9">
        <f>Source!AQ832</f>
        <v>2.4</v>
      </c>
      <c r="G1171" s="21"/>
      <c r="H1171" s="20" t="str">
        <f>Source!DI832</f>
        <v/>
      </c>
      <c r="I1171" s="9">
        <f>Source!AV832</f>
        <v>1</v>
      </c>
      <c r="J1171" s="9"/>
      <c r="K1171" s="21"/>
      <c r="L1171" s="21">
        <f>Source!U832</f>
        <v>0.48</v>
      </c>
    </row>
    <row r="1172" spans="1:22" ht="15" x14ac:dyDescent="0.25">
      <c r="A1172" s="23"/>
      <c r="B1172" s="23"/>
      <c r="C1172" s="23"/>
      <c r="D1172" s="23"/>
      <c r="E1172" s="23"/>
      <c r="F1172" s="23"/>
      <c r="G1172" s="23"/>
      <c r="H1172" s="23"/>
      <c r="I1172" s="23"/>
      <c r="J1172" s="44">
        <f>K1167+K1168+K1169+K1170</f>
        <v>629.28</v>
      </c>
      <c r="K1172" s="44"/>
      <c r="L1172" s="24">
        <f>IF(Source!I832&lt;&gt;0, ROUND(J1172/Source!I832, 2), 0)</f>
        <v>3146.4</v>
      </c>
      <c r="P1172" s="22">
        <f>J1172</f>
        <v>629.28</v>
      </c>
    </row>
    <row r="1173" spans="1:22" ht="128.25" x14ac:dyDescent="0.2">
      <c r="A1173" s="18">
        <v>131</v>
      </c>
      <c r="B1173" s="18">
        <v>131</v>
      </c>
      <c r="C1173" s="18" t="str">
        <f>Source!F833</f>
        <v>1.23-2303-5-1/1</v>
      </c>
      <c r="D1173" s="18" t="str">
        <f>Source!G833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Устройство управления в комплекте с датчиками температуры, влажности ETR/F-1447A «Electrolux»</v>
      </c>
      <c r="E1173" s="19" t="str">
        <f>Source!H833</f>
        <v>шт.</v>
      </c>
      <c r="F1173" s="9">
        <f>Source!I833</f>
        <v>1</v>
      </c>
      <c r="G1173" s="21"/>
      <c r="H1173" s="20"/>
      <c r="I1173" s="9"/>
      <c r="J1173" s="9"/>
      <c r="K1173" s="21"/>
      <c r="L1173" s="21"/>
      <c r="Q1173">
        <f>ROUND((Source!BZ833/100)*ROUND((Source!AF833*Source!AV833)*Source!I833, 2), 2)</f>
        <v>1142.04</v>
      </c>
      <c r="R1173">
        <f>Source!X833</f>
        <v>1142.04</v>
      </c>
      <c r="S1173">
        <f>ROUND((Source!CA833/100)*ROUND((Source!AF833*Source!AV833)*Source!I833, 2), 2)</f>
        <v>163.15</v>
      </c>
      <c r="T1173">
        <f>Source!Y833</f>
        <v>163.15</v>
      </c>
      <c r="U1173">
        <f>ROUND((175/100)*ROUND((Source!AE833*Source!AV833)*Source!I833, 2), 2)</f>
        <v>0</v>
      </c>
      <c r="V1173">
        <f>ROUND((108/100)*ROUND(Source!CS833*Source!I833, 2), 2)</f>
        <v>0</v>
      </c>
    </row>
    <row r="1174" spans="1:22" ht="14.25" x14ac:dyDescent="0.2">
      <c r="A1174" s="18"/>
      <c r="B1174" s="18"/>
      <c r="C1174" s="18"/>
      <c r="D1174" s="18" t="s">
        <v>1100</v>
      </c>
      <c r="E1174" s="19"/>
      <c r="F1174" s="9"/>
      <c r="G1174" s="21">
        <f>Source!AO833</f>
        <v>815.74</v>
      </c>
      <c r="H1174" s="20" t="str">
        <f>Source!DG833</f>
        <v>)*2</v>
      </c>
      <c r="I1174" s="9">
        <f>Source!AV833</f>
        <v>1</v>
      </c>
      <c r="J1174" s="9">
        <f>IF(Source!BA833&lt;&gt; 0, Source!BA833, 1)</f>
        <v>1</v>
      </c>
      <c r="K1174" s="21">
        <f>Source!S833</f>
        <v>1631.48</v>
      </c>
      <c r="L1174" s="21"/>
    </row>
    <row r="1175" spans="1:22" ht="14.25" x14ac:dyDescent="0.2">
      <c r="A1175" s="18"/>
      <c r="B1175" s="18"/>
      <c r="C1175" s="18"/>
      <c r="D1175" s="18" t="s">
        <v>1102</v>
      </c>
      <c r="E1175" s="19" t="s">
        <v>1103</v>
      </c>
      <c r="F1175" s="9">
        <f>Source!AT833</f>
        <v>70</v>
      </c>
      <c r="G1175" s="21"/>
      <c r="H1175" s="20"/>
      <c r="I1175" s="9"/>
      <c r="J1175" s="9"/>
      <c r="K1175" s="21">
        <f>SUM(R1173:R1174)</f>
        <v>1142.04</v>
      </c>
      <c r="L1175" s="21"/>
    </row>
    <row r="1176" spans="1:22" ht="14.25" x14ac:dyDescent="0.2">
      <c r="A1176" s="18"/>
      <c r="B1176" s="18"/>
      <c r="C1176" s="18"/>
      <c r="D1176" s="18" t="s">
        <v>1104</v>
      </c>
      <c r="E1176" s="19" t="s">
        <v>1103</v>
      </c>
      <c r="F1176" s="9">
        <f>Source!AU833</f>
        <v>10</v>
      </c>
      <c r="G1176" s="21"/>
      <c r="H1176" s="20"/>
      <c r="I1176" s="9"/>
      <c r="J1176" s="9"/>
      <c r="K1176" s="21">
        <f>SUM(T1173:T1175)</f>
        <v>163.15</v>
      </c>
      <c r="L1176" s="21"/>
    </row>
    <row r="1177" spans="1:22" ht="14.25" x14ac:dyDescent="0.2">
      <c r="A1177" s="18"/>
      <c r="B1177" s="18"/>
      <c r="C1177" s="18"/>
      <c r="D1177" s="18" t="s">
        <v>1105</v>
      </c>
      <c r="E1177" s="19" t="s">
        <v>1106</v>
      </c>
      <c r="F1177" s="9">
        <f>Source!AQ833</f>
        <v>1.06</v>
      </c>
      <c r="G1177" s="21"/>
      <c r="H1177" s="20" t="str">
        <f>Source!DI833</f>
        <v>)*2</v>
      </c>
      <c r="I1177" s="9">
        <f>Source!AV833</f>
        <v>1</v>
      </c>
      <c r="J1177" s="9"/>
      <c r="K1177" s="21"/>
      <c r="L1177" s="21">
        <f>Source!U833</f>
        <v>2.12</v>
      </c>
    </row>
    <row r="1178" spans="1:22" ht="15" x14ac:dyDescent="0.25">
      <c r="A1178" s="23"/>
      <c r="B1178" s="23"/>
      <c r="C1178" s="23"/>
      <c r="D1178" s="23"/>
      <c r="E1178" s="23"/>
      <c r="F1178" s="23"/>
      <c r="G1178" s="23"/>
      <c r="H1178" s="23"/>
      <c r="I1178" s="23"/>
      <c r="J1178" s="44">
        <f>K1174+K1175+K1176</f>
        <v>2936.67</v>
      </c>
      <c r="K1178" s="44"/>
      <c r="L1178" s="24">
        <f>IF(Source!I833&lt;&gt;0, ROUND(J1178/Source!I833, 2), 0)</f>
        <v>2936.67</v>
      </c>
      <c r="P1178" s="22">
        <f>J1178</f>
        <v>2936.67</v>
      </c>
    </row>
    <row r="1179" spans="1:22" ht="42.75" x14ac:dyDescent="0.2">
      <c r="A1179" s="18">
        <v>132</v>
      </c>
      <c r="B1179" s="18">
        <v>132</v>
      </c>
      <c r="C1179" s="18" t="str">
        <f>Source!F834</f>
        <v>1.21-2203-17-1/1</v>
      </c>
      <c r="D1179" s="18" t="str">
        <f>Source!G834</f>
        <v>Техническое обслуживание ящика с понижающим трансформатором типа ЯТП</v>
      </c>
      <c r="E1179" s="19" t="str">
        <f>Source!H834</f>
        <v>шт.</v>
      </c>
      <c r="F1179" s="9">
        <f>Source!I834</f>
        <v>4</v>
      </c>
      <c r="G1179" s="21"/>
      <c r="H1179" s="20"/>
      <c r="I1179" s="9"/>
      <c r="J1179" s="9"/>
      <c r="K1179" s="21"/>
      <c r="L1179" s="21"/>
      <c r="Q1179">
        <f>ROUND((Source!BZ834/100)*ROUND((Source!AF834*Source!AV834)*Source!I834, 2), 2)</f>
        <v>822.08</v>
      </c>
      <c r="R1179">
        <f>Source!X834</f>
        <v>822.08</v>
      </c>
      <c r="S1179">
        <f>ROUND((Source!CA834/100)*ROUND((Source!AF834*Source!AV834)*Source!I834, 2), 2)</f>
        <v>117.44</v>
      </c>
      <c r="T1179">
        <f>Source!Y834</f>
        <v>117.44</v>
      </c>
      <c r="U1179">
        <f>ROUND((175/100)*ROUND((Source!AE834*Source!AV834)*Source!I834, 2), 2)</f>
        <v>231.35</v>
      </c>
      <c r="V1179">
        <f>ROUND((108/100)*ROUND(Source!CS834*Source!I834, 2), 2)</f>
        <v>142.78</v>
      </c>
    </row>
    <row r="1180" spans="1:22" ht="14.25" x14ac:dyDescent="0.2">
      <c r="A1180" s="18"/>
      <c r="B1180" s="18"/>
      <c r="C1180" s="18"/>
      <c r="D1180" s="18" t="s">
        <v>1100</v>
      </c>
      <c r="E1180" s="19"/>
      <c r="F1180" s="9"/>
      <c r="G1180" s="21">
        <f>Source!AO834</f>
        <v>293.60000000000002</v>
      </c>
      <c r="H1180" s="20" t="str">
        <f>Source!DG834</f>
        <v/>
      </c>
      <c r="I1180" s="9">
        <f>Source!AV834</f>
        <v>1</v>
      </c>
      <c r="J1180" s="9">
        <f>IF(Source!BA834&lt;&gt; 0, Source!BA834, 1)</f>
        <v>1</v>
      </c>
      <c r="K1180" s="21">
        <f>Source!S834</f>
        <v>1174.4000000000001</v>
      </c>
      <c r="L1180" s="21"/>
    </row>
    <row r="1181" spans="1:22" ht="14.25" x14ac:dyDescent="0.2">
      <c r="A1181" s="18"/>
      <c r="B1181" s="18"/>
      <c r="C1181" s="18"/>
      <c r="D1181" s="18" t="s">
        <v>1107</v>
      </c>
      <c r="E1181" s="19"/>
      <c r="F1181" s="9"/>
      <c r="G1181" s="21">
        <f>Source!AM834</f>
        <v>52.12</v>
      </c>
      <c r="H1181" s="20" t="str">
        <f>Source!DE834</f>
        <v/>
      </c>
      <c r="I1181" s="9">
        <f>Source!AV834</f>
        <v>1</v>
      </c>
      <c r="J1181" s="9">
        <f>IF(Source!BB834&lt;&gt; 0, Source!BB834, 1)</f>
        <v>1</v>
      </c>
      <c r="K1181" s="21">
        <f>Source!Q834</f>
        <v>208.48</v>
      </c>
      <c r="L1181" s="21"/>
    </row>
    <row r="1182" spans="1:22" ht="14.25" x14ac:dyDescent="0.2">
      <c r="A1182" s="18"/>
      <c r="B1182" s="18"/>
      <c r="C1182" s="18"/>
      <c r="D1182" s="18" t="s">
        <v>1108</v>
      </c>
      <c r="E1182" s="19"/>
      <c r="F1182" s="9"/>
      <c r="G1182" s="21">
        <f>Source!AN834</f>
        <v>33.049999999999997</v>
      </c>
      <c r="H1182" s="20" t="str">
        <f>Source!DF834</f>
        <v/>
      </c>
      <c r="I1182" s="9">
        <f>Source!AV834</f>
        <v>1</v>
      </c>
      <c r="J1182" s="9">
        <f>IF(Source!BS834&lt;&gt; 0, Source!BS834, 1)</f>
        <v>1</v>
      </c>
      <c r="K1182" s="25">
        <f>Source!R834</f>
        <v>132.19999999999999</v>
      </c>
      <c r="L1182" s="21"/>
    </row>
    <row r="1183" spans="1:22" ht="14.25" x14ac:dyDescent="0.2">
      <c r="A1183" s="18"/>
      <c r="B1183" s="18"/>
      <c r="C1183" s="18"/>
      <c r="D1183" s="18" t="s">
        <v>1101</v>
      </c>
      <c r="E1183" s="19"/>
      <c r="F1183" s="9"/>
      <c r="G1183" s="21">
        <f>Source!AL834</f>
        <v>0.13</v>
      </c>
      <c r="H1183" s="20" t="str">
        <f>Source!DD834</f>
        <v/>
      </c>
      <c r="I1183" s="9">
        <f>Source!AW834</f>
        <v>1</v>
      </c>
      <c r="J1183" s="9">
        <f>IF(Source!BC834&lt;&gt; 0, Source!BC834, 1)</f>
        <v>1</v>
      </c>
      <c r="K1183" s="21">
        <f>Source!P834</f>
        <v>0.52</v>
      </c>
      <c r="L1183" s="21"/>
    </row>
    <row r="1184" spans="1:22" ht="14.25" x14ac:dyDescent="0.2">
      <c r="A1184" s="18"/>
      <c r="B1184" s="18"/>
      <c r="C1184" s="18"/>
      <c r="D1184" s="18" t="s">
        <v>1102</v>
      </c>
      <c r="E1184" s="19" t="s">
        <v>1103</v>
      </c>
      <c r="F1184" s="9">
        <f>Source!AT834</f>
        <v>70</v>
      </c>
      <c r="G1184" s="21"/>
      <c r="H1184" s="20"/>
      <c r="I1184" s="9"/>
      <c r="J1184" s="9"/>
      <c r="K1184" s="21">
        <f>SUM(R1179:R1183)</f>
        <v>822.08</v>
      </c>
      <c r="L1184" s="21"/>
    </row>
    <row r="1185" spans="1:22" ht="14.25" x14ac:dyDescent="0.2">
      <c r="A1185" s="18"/>
      <c r="B1185" s="18"/>
      <c r="C1185" s="18"/>
      <c r="D1185" s="18" t="s">
        <v>1104</v>
      </c>
      <c r="E1185" s="19" t="s">
        <v>1103</v>
      </c>
      <c r="F1185" s="9">
        <f>Source!AU834</f>
        <v>10</v>
      </c>
      <c r="G1185" s="21"/>
      <c r="H1185" s="20"/>
      <c r="I1185" s="9"/>
      <c r="J1185" s="9"/>
      <c r="K1185" s="21">
        <f>SUM(T1179:T1184)</f>
        <v>117.44</v>
      </c>
      <c r="L1185" s="21"/>
    </row>
    <row r="1186" spans="1:22" ht="14.25" x14ac:dyDescent="0.2">
      <c r="A1186" s="18"/>
      <c r="B1186" s="18"/>
      <c r="C1186" s="18"/>
      <c r="D1186" s="18" t="s">
        <v>1109</v>
      </c>
      <c r="E1186" s="19" t="s">
        <v>1103</v>
      </c>
      <c r="F1186" s="9">
        <f>108</f>
        <v>108</v>
      </c>
      <c r="G1186" s="21"/>
      <c r="H1186" s="20"/>
      <c r="I1186" s="9"/>
      <c r="J1186" s="9"/>
      <c r="K1186" s="21">
        <f>SUM(V1179:V1185)</f>
        <v>142.78</v>
      </c>
      <c r="L1186" s="21"/>
    </row>
    <row r="1187" spans="1:22" ht="14.25" x14ac:dyDescent="0.2">
      <c r="A1187" s="18"/>
      <c r="B1187" s="18"/>
      <c r="C1187" s="18"/>
      <c r="D1187" s="18" t="s">
        <v>1105</v>
      </c>
      <c r="E1187" s="19" t="s">
        <v>1106</v>
      </c>
      <c r="F1187" s="9">
        <f>Source!AQ834</f>
        <v>0.55000000000000004</v>
      </c>
      <c r="G1187" s="21"/>
      <c r="H1187" s="20" t="str">
        <f>Source!DI834</f>
        <v/>
      </c>
      <c r="I1187" s="9">
        <f>Source!AV834</f>
        <v>1</v>
      </c>
      <c r="J1187" s="9"/>
      <c r="K1187" s="21"/>
      <c r="L1187" s="21">
        <f>Source!U834</f>
        <v>2.2000000000000002</v>
      </c>
    </row>
    <row r="1188" spans="1:22" ht="15" x14ac:dyDescent="0.25">
      <c r="A1188" s="23"/>
      <c r="B1188" s="23"/>
      <c r="C1188" s="23"/>
      <c r="D1188" s="23"/>
      <c r="E1188" s="23"/>
      <c r="F1188" s="23"/>
      <c r="G1188" s="23"/>
      <c r="H1188" s="23"/>
      <c r="I1188" s="23"/>
      <c r="J1188" s="44">
        <f>K1180+K1181+K1183+K1184+K1185+K1186</f>
        <v>2465.7000000000003</v>
      </c>
      <c r="K1188" s="44"/>
      <c r="L1188" s="24">
        <f>IF(Source!I834&lt;&gt;0, ROUND(J1188/Source!I834, 2), 0)</f>
        <v>616.42999999999995</v>
      </c>
      <c r="P1188" s="22">
        <f>J1188</f>
        <v>2465.7000000000003</v>
      </c>
    </row>
    <row r="1190" spans="1:22" ht="15" x14ac:dyDescent="0.25">
      <c r="C1190" s="47" t="str">
        <f>Source!G836</f>
        <v>Электроустановочные изделия</v>
      </c>
      <c r="D1190" s="47"/>
      <c r="E1190" s="47"/>
      <c r="F1190" s="47"/>
      <c r="G1190" s="47"/>
      <c r="H1190" s="47"/>
      <c r="I1190" s="47"/>
      <c r="J1190" s="47"/>
      <c r="K1190" s="47"/>
    </row>
    <row r="1191" spans="1:22" ht="71.25" x14ac:dyDescent="0.2">
      <c r="A1191" s="18">
        <v>133</v>
      </c>
      <c r="B1191" s="18">
        <v>133</v>
      </c>
      <c r="C1191" s="18" t="str">
        <f>Source!F837</f>
        <v>1.21-2303-37-1/1</v>
      </c>
      <c r="D1191" s="18" t="str">
        <f>Source!G837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1191" s="19" t="str">
        <f>Source!H837</f>
        <v>10 шт.</v>
      </c>
      <c r="F1191" s="9">
        <f>Source!I837</f>
        <v>39</v>
      </c>
      <c r="G1191" s="21"/>
      <c r="H1191" s="20"/>
      <c r="I1191" s="9"/>
      <c r="J1191" s="9"/>
      <c r="K1191" s="21"/>
      <c r="L1191" s="21"/>
      <c r="Q1191">
        <f>ROUND((Source!BZ837/100)*ROUND((Source!AF837*Source!AV837)*Source!I837, 2), 2)</f>
        <v>3034.4</v>
      </c>
      <c r="R1191">
        <f>Source!X837</f>
        <v>3034.4</v>
      </c>
      <c r="S1191">
        <f>ROUND((Source!CA837/100)*ROUND((Source!AF837*Source!AV837)*Source!I837, 2), 2)</f>
        <v>433.49</v>
      </c>
      <c r="T1191">
        <f>Source!Y837</f>
        <v>433.49</v>
      </c>
      <c r="U1191">
        <f>ROUND((175/100)*ROUND((Source!AE837*Source!AV837)*Source!I837, 2), 2)</f>
        <v>0</v>
      </c>
      <c r="V1191">
        <f>ROUND((108/100)*ROUND(Source!CS837*Source!I837, 2), 2)</f>
        <v>0</v>
      </c>
    </row>
    <row r="1192" spans="1:22" x14ac:dyDescent="0.2">
      <c r="D1192" s="28" t="str">
        <f>"Объем: "&amp;Source!I837&amp;"=(104+"&amp;"16+"&amp;"270)/"&amp;"10"</f>
        <v>Объем: 39=(104+16+270)/10</v>
      </c>
    </row>
    <row r="1193" spans="1:22" ht="14.25" x14ac:dyDescent="0.2">
      <c r="A1193" s="18"/>
      <c r="B1193" s="18"/>
      <c r="C1193" s="18"/>
      <c r="D1193" s="18" t="s">
        <v>1100</v>
      </c>
      <c r="E1193" s="19"/>
      <c r="F1193" s="9"/>
      <c r="G1193" s="21">
        <f>Source!AO837</f>
        <v>111.15</v>
      </c>
      <c r="H1193" s="20" t="str">
        <f>Source!DG837</f>
        <v/>
      </c>
      <c r="I1193" s="9">
        <f>Source!AV837</f>
        <v>1</v>
      </c>
      <c r="J1193" s="9">
        <f>IF(Source!BA837&lt;&gt; 0, Source!BA837, 1)</f>
        <v>1</v>
      </c>
      <c r="K1193" s="21">
        <f>Source!S837</f>
        <v>4334.8500000000004</v>
      </c>
      <c r="L1193" s="21"/>
    </row>
    <row r="1194" spans="1:22" ht="14.25" x14ac:dyDescent="0.2">
      <c r="A1194" s="18"/>
      <c r="B1194" s="18"/>
      <c r="C1194" s="18"/>
      <c r="D1194" s="18" t="s">
        <v>1101</v>
      </c>
      <c r="E1194" s="19"/>
      <c r="F1194" s="9"/>
      <c r="G1194" s="21">
        <f>Source!AL837</f>
        <v>6.3</v>
      </c>
      <c r="H1194" s="20" t="str">
        <f>Source!DD837</f>
        <v/>
      </c>
      <c r="I1194" s="9">
        <f>Source!AW837</f>
        <v>1</v>
      </c>
      <c r="J1194" s="9">
        <f>IF(Source!BC837&lt;&gt; 0, Source!BC837, 1)</f>
        <v>1</v>
      </c>
      <c r="K1194" s="21">
        <f>Source!P837</f>
        <v>245.7</v>
      </c>
      <c r="L1194" s="21"/>
    </row>
    <row r="1195" spans="1:22" ht="14.25" x14ac:dyDescent="0.2">
      <c r="A1195" s="18"/>
      <c r="B1195" s="18"/>
      <c r="C1195" s="18"/>
      <c r="D1195" s="18" t="s">
        <v>1102</v>
      </c>
      <c r="E1195" s="19" t="s">
        <v>1103</v>
      </c>
      <c r="F1195" s="9">
        <f>Source!AT837</f>
        <v>70</v>
      </c>
      <c r="G1195" s="21"/>
      <c r="H1195" s="20"/>
      <c r="I1195" s="9"/>
      <c r="J1195" s="9"/>
      <c r="K1195" s="21">
        <f>SUM(R1191:R1194)</f>
        <v>3034.4</v>
      </c>
      <c r="L1195" s="21"/>
    </row>
    <row r="1196" spans="1:22" ht="14.25" x14ac:dyDescent="0.2">
      <c r="A1196" s="18"/>
      <c r="B1196" s="18"/>
      <c r="C1196" s="18"/>
      <c r="D1196" s="18" t="s">
        <v>1104</v>
      </c>
      <c r="E1196" s="19" t="s">
        <v>1103</v>
      </c>
      <c r="F1196" s="9">
        <f>Source!AU837</f>
        <v>10</v>
      </c>
      <c r="G1196" s="21"/>
      <c r="H1196" s="20"/>
      <c r="I1196" s="9"/>
      <c r="J1196" s="9"/>
      <c r="K1196" s="21">
        <f>SUM(T1191:T1195)</f>
        <v>433.49</v>
      </c>
      <c r="L1196" s="21"/>
    </row>
    <row r="1197" spans="1:22" ht="14.25" x14ac:dyDescent="0.2">
      <c r="A1197" s="18"/>
      <c r="B1197" s="18"/>
      <c r="C1197" s="18"/>
      <c r="D1197" s="18" t="s">
        <v>1105</v>
      </c>
      <c r="E1197" s="19" t="s">
        <v>1106</v>
      </c>
      <c r="F1197" s="9">
        <f>Source!AQ837</f>
        <v>0.18</v>
      </c>
      <c r="G1197" s="21"/>
      <c r="H1197" s="20" t="str">
        <f>Source!DI837</f>
        <v/>
      </c>
      <c r="I1197" s="9">
        <f>Source!AV837</f>
        <v>1</v>
      </c>
      <c r="J1197" s="9"/>
      <c r="K1197" s="21"/>
      <c r="L1197" s="21">
        <f>Source!U837</f>
        <v>7.02</v>
      </c>
    </row>
    <row r="1198" spans="1:22" ht="15" x14ac:dyDescent="0.25">
      <c r="A1198" s="23"/>
      <c r="B1198" s="23"/>
      <c r="C1198" s="23"/>
      <c r="D1198" s="23"/>
      <c r="E1198" s="23"/>
      <c r="F1198" s="23"/>
      <c r="G1198" s="23"/>
      <c r="H1198" s="23"/>
      <c r="I1198" s="23"/>
      <c r="J1198" s="44">
        <f>K1193+K1194+K1195+K1196</f>
        <v>8048.4400000000005</v>
      </c>
      <c r="K1198" s="44"/>
      <c r="L1198" s="24">
        <f>IF(Source!I837&lt;&gt;0, ROUND(J1198/Source!I837, 2), 0)</f>
        <v>206.37</v>
      </c>
      <c r="P1198" s="22">
        <f>J1198</f>
        <v>8048.4400000000005</v>
      </c>
    </row>
    <row r="1200" spans="1:22" ht="15" x14ac:dyDescent="0.25">
      <c r="C1200" s="47" t="str">
        <f>Source!G839</f>
        <v>Светотехническое оборудование</v>
      </c>
      <c r="D1200" s="47"/>
      <c r="E1200" s="47"/>
      <c r="F1200" s="47"/>
      <c r="G1200" s="47"/>
      <c r="H1200" s="47"/>
      <c r="I1200" s="47"/>
      <c r="J1200" s="47"/>
      <c r="K1200" s="47"/>
    </row>
    <row r="1201" spans="1:22" ht="108" x14ac:dyDescent="0.2">
      <c r="A1201" s="18">
        <v>134</v>
      </c>
      <c r="B1201" s="18">
        <v>134</v>
      </c>
      <c r="C1201" s="18" t="s">
        <v>1112</v>
      </c>
      <c r="D1201" s="18" t="s">
        <v>1113</v>
      </c>
      <c r="E1201" s="19" t="str">
        <f>Source!H840</f>
        <v>шт.</v>
      </c>
      <c r="F1201" s="9">
        <f>Source!I840</f>
        <v>857</v>
      </c>
      <c r="G1201" s="21"/>
      <c r="H1201" s="20"/>
      <c r="I1201" s="9"/>
      <c r="J1201" s="9"/>
      <c r="K1201" s="21"/>
      <c r="L1201" s="21"/>
      <c r="Q1201">
        <f>ROUND((Source!BZ840/100)*ROUND((Source!AF840*Source!AV840)*Source!I840, 2), 2)</f>
        <v>70150.86</v>
      </c>
      <c r="R1201">
        <f>Source!X840</f>
        <v>70150.86</v>
      </c>
      <c r="S1201">
        <f>ROUND((Source!CA840/100)*ROUND((Source!AF840*Source!AV840)*Source!I840, 2), 2)</f>
        <v>10021.549999999999</v>
      </c>
      <c r="T1201">
        <f>Source!Y840</f>
        <v>10021.549999999999</v>
      </c>
      <c r="U1201">
        <f>ROUND((175/100)*ROUND((Source!AE840*Source!AV840)*Source!I840, 2), 2)</f>
        <v>0</v>
      </c>
      <c r="V1201">
        <f>ROUND((108/100)*ROUND(Source!CS840*Source!I840, 2), 2)</f>
        <v>0</v>
      </c>
    </row>
    <row r="1202" spans="1:22" ht="14.25" x14ac:dyDescent="0.2">
      <c r="A1202" s="18"/>
      <c r="B1202" s="18"/>
      <c r="C1202" s="18"/>
      <c r="D1202" s="18" t="s">
        <v>1100</v>
      </c>
      <c r="E1202" s="19"/>
      <c r="F1202" s="9"/>
      <c r="G1202" s="21">
        <f>Source!AO840</f>
        <v>112.44</v>
      </c>
      <c r="H1202" s="20" t="str">
        <f>Source!DG840</f>
        <v>)*1,04</v>
      </c>
      <c r="I1202" s="9">
        <f>Source!AV840</f>
        <v>1</v>
      </c>
      <c r="J1202" s="9">
        <f>IF(Source!BA840&lt;&gt; 0, Source!BA840, 1)</f>
        <v>1</v>
      </c>
      <c r="K1202" s="21">
        <f>Source!S840</f>
        <v>100215.52</v>
      </c>
      <c r="L1202" s="21"/>
    </row>
    <row r="1203" spans="1:22" ht="14.25" x14ac:dyDescent="0.2">
      <c r="A1203" s="18"/>
      <c r="B1203" s="18"/>
      <c r="C1203" s="18"/>
      <c r="D1203" s="18" t="s">
        <v>1101</v>
      </c>
      <c r="E1203" s="19"/>
      <c r="F1203" s="9"/>
      <c r="G1203" s="21">
        <f>Source!AL840</f>
        <v>1.57</v>
      </c>
      <c r="H1203" s="20" t="str">
        <f>Source!DD840</f>
        <v/>
      </c>
      <c r="I1203" s="9">
        <f>Source!AW840</f>
        <v>1</v>
      </c>
      <c r="J1203" s="9">
        <f>IF(Source!BC840&lt;&gt; 0, Source!BC840, 1)</f>
        <v>1</v>
      </c>
      <c r="K1203" s="21">
        <f>Source!P840</f>
        <v>1345.49</v>
      </c>
      <c r="L1203" s="21"/>
    </row>
    <row r="1204" spans="1:22" ht="14.25" x14ac:dyDescent="0.2">
      <c r="A1204" s="18"/>
      <c r="B1204" s="18"/>
      <c r="C1204" s="18"/>
      <c r="D1204" s="18" t="s">
        <v>1102</v>
      </c>
      <c r="E1204" s="19" t="s">
        <v>1103</v>
      </c>
      <c r="F1204" s="9">
        <f>Source!AT840</f>
        <v>70</v>
      </c>
      <c r="G1204" s="21"/>
      <c r="H1204" s="20"/>
      <c r="I1204" s="9"/>
      <c r="J1204" s="9"/>
      <c r="K1204" s="21">
        <f>SUM(R1201:R1203)</f>
        <v>70150.86</v>
      </c>
      <c r="L1204" s="21"/>
    </row>
    <row r="1205" spans="1:22" ht="14.25" x14ac:dyDescent="0.2">
      <c r="A1205" s="18"/>
      <c r="B1205" s="18"/>
      <c r="C1205" s="18"/>
      <c r="D1205" s="18" t="s">
        <v>1104</v>
      </c>
      <c r="E1205" s="19" t="s">
        <v>1103</v>
      </c>
      <c r="F1205" s="9">
        <f>Source!AU840</f>
        <v>10</v>
      </c>
      <c r="G1205" s="21"/>
      <c r="H1205" s="20"/>
      <c r="I1205" s="9"/>
      <c r="J1205" s="9"/>
      <c r="K1205" s="21">
        <f>SUM(T1201:T1204)</f>
        <v>10021.549999999999</v>
      </c>
      <c r="L1205" s="21"/>
    </row>
    <row r="1206" spans="1:22" ht="14.25" x14ac:dyDescent="0.2">
      <c r="A1206" s="18"/>
      <c r="B1206" s="18"/>
      <c r="C1206" s="18"/>
      <c r="D1206" s="18" t="s">
        <v>1105</v>
      </c>
      <c r="E1206" s="19" t="s">
        <v>1106</v>
      </c>
      <c r="F1206" s="9">
        <f>Source!AQ840</f>
        <v>0.2</v>
      </c>
      <c r="G1206" s="21"/>
      <c r="H1206" s="20" t="str">
        <f>Source!DI840</f>
        <v>)*1,04</v>
      </c>
      <c r="I1206" s="9">
        <f>Source!AV840</f>
        <v>1</v>
      </c>
      <c r="J1206" s="9"/>
      <c r="K1206" s="21"/>
      <c r="L1206" s="21">
        <f>Source!U840</f>
        <v>178.25600000000003</v>
      </c>
    </row>
    <row r="1207" spans="1:22" ht="15" x14ac:dyDescent="0.25">
      <c r="A1207" s="23"/>
      <c r="B1207" s="23"/>
      <c r="C1207" s="23"/>
      <c r="D1207" s="23"/>
      <c r="E1207" s="23"/>
      <c r="F1207" s="23"/>
      <c r="G1207" s="23"/>
      <c r="H1207" s="23"/>
      <c r="I1207" s="23"/>
      <c r="J1207" s="44">
        <f>K1202+K1203+K1204+K1205</f>
        <v>181733.41999999998</v>
      </c>
      <c r="K1207" s="44"/>
      <c r="L1207" s="24">
        <f>IF(Source!I840&lt;&gt;0, ROUND(J1207/Source!I840, 2), 0)</f>
        <v>212.06</v>
      </c>
      <c r="P1207" s="22">
        <f>J1207</f>
        <v>181733.41999999998</v>
      </c>
    </row>
    <row r="1208" spans="1:22" ht="93.75" x14ac:dyDescent="0.2">
      <c r="A1208" s="18">
        <v>135</v>
      </c>
      <c r="B1208" s="18">
        <v>135</v>
      </c>
      <c r="C1208" s="18" t="s">
        <v>1114</v>
      </c>
      <c r="D1208" s="18" t="s">
        <v>1115</v>
      </c>
      <c r="E1208" s="19" t="str">
        <f>Source!H841</f>
        <v>шт.</v>
      </c>
      <c r="F1208" s="9">
        <f>Source!I841</f>
        <v>54</v>
      </c>
      <c r="G1208" s="21"/>
      <c r="H1208" s="20"/>
      <c r="I1208" s="9"/>
      <c r="J1208" s="9"/>
      <c r="K1208" s="21"/>
      <c r="L1208" s="21"/>
      <c r="Q1208">
        <f>ROUND((Source!BZ841/100)*ROUND((Source!AF841*Source!AV841)*Source!I841, 2), 2)</f>
        <v>10607.95</v>
      </c>
      <c r="R1208">
        <f>Source!X841</f>
        <v>10607.95</v>
      </c>
      <c r="S1208">
        <f>ROUND((Source!CA841/100)*ROUND((Source!AF841*Source!AV841)*Source!I841, 2), 2)</f>
        <v>1515.42</v>
      </c>
      <c r="T1208">
        <f>Source!Y841</f>
        <v>1515.42</v>
      </c>
      <c r="U1208">
        <f>ROUND((175/100)*ROUND((Source!AE841*Source!AV841)*Source!I841, 2), 2)</f>
        <v>0</v>
      </c>
      <c r="V1208">
        <f>ROUND((108/100)*ROUND(Source!CS841*Source!I841, 2), 2)</f>
        <v>0</v>
      </c>
    </row>
    <row r="1209" spans="1:22" ht="14.25" x14ac:dyDescent="0.2">
      <c r="A1209" s="18"/>
      <c r="B1209" s="18"/>
      <c r="C1209" s="18"/>
      <c r="D1209" s="18" t="s">
        <v>1100</v>
      </c>
      <c r="E1209" s="19"/>
      <c r="F1209" s="9"/>
      <c r="G1209" s="21">
        <f>Source!AO841</f>
        <v>269.83999999999997</v>
      </c>
      <c r="H1209" s="20" t="str">
        <f>Source!DG841</f>
        <v>)*1,04</v>
      </c>
      <c r="I1209" s="9">
        <f>Source!AV841</f>
        <v>1</v>
      </c>
      <c r="J1209" s="9">
        <f>IF(Source!BA841&lt;&gt; 0, Source!BA841, 1)</f>
        <v>1</v>
      </c>
      <c r="K1209" s="21">
        <f>Source!S841</f>
        <v>15154.21</v>
      </c>
      <c r="L1209" s="21"/>
    </row>
    <row r="1210" spans="1:22" ht="14.25" x14ac:dyDescent="0.2">
      <c r="A1210" s="18"/>
      <c r="B1210" s="18"/>
      <c r="C1210" s="18"/>
      <c r="D1210" s="18" t="s">
        <v>1101</v>
      </c>
      <c r="E1210" s="19"/>
      <c r="F1210" s="9"/>
      <c r="G1210" s="21">
        <f>Source!AL841</f>
        <v>1.57</v>
      </c>
      <c r="H1210" s="20" t="str">
        <f>Source!DD841</f>
        <v/>
      </c>
      <c r="I1210" s="9">
        <f>Source!AW841</f>
        <v>1</v>
      </c>
      <c r="J1210" s="9">
        <f>IF(Source!BC841&lt;&gt; 0, Source!BC841, 1)</f>
        <v>1</v>
      </c>
      <c r="K1210" s="21">
        <f>Source!P841</f>
        <v>84.78</v>
      </c>
      <c r="L1210" s="21"/>
    </row>
    <row r="1211" spans="1:22" ht="14.25" x14ac:dyDescent="0.2">
      <c r="A1211" s="18"/>
      <c r="B1211" s="18"/>
      <c r="C1211" s="18"/>
      <c r="D1211" s="18" t="s">
        <v>1102</v>
      </c>
      <c r="E1211" s="19" t="s">
        <v>1103</v>
      </c>
      <c r="F1211" s="9">
        <f>Source!AT841</f>
        <v>70</v>
      </c>
      <c r="G1211" s="21"/>
      <c r="H1211" s="20"/>
      <c r="I1211" s="9"/>
      <c r="J1211" s="9"/>
      <c r="K1211" s="21">
        <f>SUM(R1208:R1210)</f>
        <v>10607.95</v>
      </c>
      <c r="L1211" s="21"/>
    </row>
    <row r="1212" spans="1:22" ht="14.25" x14ac:dyDescent="0.2">
      <c r="A1212" s="18"/>
      <c r="B1212" s="18"/>
      <c r="C1212" s="18"/>
      <c r="D1212" s="18" t="s">
        <v>1104</v>
      </c>
      <c r="E1212" s="19" t="s">
        <v>1103</v>
      </c>
      <c r="F1212" s="9">
        <f>Source!AU841</f>
        <v>10</v>
      </c>
      <c r="G1212" s="21"/>
      <c r="H1212" s="20"/>
      <c r="I1212" s="9"/>
      <c r="J1212" s="9"/>
      <c r="K1212" s="21">
        <f>SUM(T1208:T1211)</f>
        <v>1515.42</v>
      </c>
      <c r="L1212" s="21"/>
    </row>
    <row r="1213" spans="1:22" ht="14.25" x14ac:dyDescent="0.2">
      <c r="A1213" s="18"/>
      <c r="B1213" s="18"/>
      <c r="C1213" s="18"/>
      <c r="D1213" s="18" t="s">
        <v>1105</v>
      </c>
      <c r="E1213" s="19" t="s">
        <v>1106</v>
      </c>
      <c r="F1213" s="9">
        <f>Source!AQ841</f>
        <v>0.48</v>
      </c>
      <c r="G1213" s="21"/>
      <c r="H1213" s="20" t="str">
        <f>Source!DI841</f>
        <v>)*1,04</v>
      </c>
      <c r="I1213" s="9">
        <f>Source!AV841</f>
        <v>1</v>
      </c>
      <c r="J1213" s="9"/>
      <c r="K1213" s="21"/>
      <c r="L1213" s="21">
        <f>Source!U841</f>
        <v>26.956799999999998</v>
      </c>
    </row>
    <row r="1214" spans="1:22" ht="15" x14ac:dyDescent="0.25">
      <c r="A1214" s="23"/>
      <c r="B1214" s="23"/>
      <c r="C1214" s="23"/>
      <c r="D1214" s="23"/>
      <c r="E1214" s="23"/>
      <c r="F1214" s="23"/>
      <c r="G1214" s="23"/>
      <c r="H1214" s="23"/>
      <c r="I1214" s="23"/>
      <c r="J1214" s="44">
        <f>K1209+K1210+K1211+K1212</f>
        <v>27362.36</v>
      </c>
      <c r="K1214" s="44"/>
      <c r="L1214" s="24">
        <f>IF(Source!I841&lt;&gt;0, ROUND(J1214/Source!I841, 2), 0)</f>
        <v>506.71</v>
      </c>
      <c r="P1214" s="22">
        <f>J1214</f>
        <v>27362.36</v>
      </c>
    </row>
    <row r="1215" spans="1:22" ht="93.75" x14ac:dyDescent="0.2">
      <c r="A1215" s="18">
        <v>136</v>
      </c>
      <c r="B1215" s="18">
        <v>136</v>
      </c>
      <c r="C1215" s="18" t="s">
        <v>1116</v>
      </c>
      <c r="D1215" s="18" t="s">
        <v>1117</v>
      </c>
      <c r="E1215" s="19" t="str">
        <f>Source!H842</f>
        <v>шт.</v>
      </c>
      <c r="F1215" s="9">
        <f>Source!I842</f>
        <v>167</v>
      </c>
      <c r="G1215" s="21"/>
      <c r="H1215" s="20"/>
      <c r="I1215" s="9"/>
      <c r="J1215" s="9"/>
      <c r="K1215" s="21"/>
      <c r="L1215" s="21"/>
      <c r="Q1215">
        <f>ROUND((Source!BZ842/100)*ROUND((Source!AF842*Source!AV842)*Source!I842, 2), 2)</f>
        <v>27338.79</v>
      </c>
      <c r="R1215">
        <f>Source!X842</f>
        <v>27338.79</v>
      </c>
      <c r="S1215">
        <f>ROUND((Source!CA842/100)*ROUND((Source!AF842*Source!AV842)*Source!I842, 2), 2)</f>
        <v>3905.54</v>
      </c>
      <c r="T1215">
        <f>Source!Y842</f>
        <v>3905.54</v>
      </c>
      <c r="U1215">
        <f>ROUND((175/100)*ROUND((Source!AE842*Source!AV842)*Source!I842, 2), 2)</f>
        <v>0</v>
      </c>
      <c r="V1215">
        <f>ROUND((108/100)*ROUND(Source!CS842*Source!I842, 2), 2)</f>
        <v>0</v>
      </c>
    </row>
    <row r="1216" spans="1:22" ht="14.25" x14ac:dyDescent="0.2">
      <c r="A1216" s="18"/>
      <c r="B1216" s="18"/>
      <c r="C1216" s="18"/>
      <c r="D1216" s="18" t="s">
        <v>1100</v>
      </c>
      <c r="E1216" s="19"/>
      <c r="F1216" s="9"/>
      <c r="G1216" s="21">
        <f>Source!AO842</f>
        <v>224.87</v>
      </c>
      <c r="H1216" s="20" t="str">
        <f>Source!DG842</f>
        <v>)*1,04</v>
      </c>
      <c r="I1216" s="9">
        <f>Source!AV842</f>
        <v>1</v>
      </c>
      <c r="J1216" s="9">
        <f>IF(Source!BA842&lt;&gt; 0, Source!BA842, 1)</f>
        <v>1</v>
      </c>
      <c r="K1216" s="21">
        <f>Source!S842</f>
        <v>39055.42</v>
      </c>
      <c r="L1216" s="21"/>
    </row>
    <row r="1217" spans="1:22" ht="14.25" x14ac:dyDescent="0.2">
      <c r="A1217" s="18"/>
      <c r="B1217" s="18"/>
      <c r="C1217" s="18"/>
      <c r="D1217" s="18" t="s">
        <v>1101</v>
      </c>
      <c r="E1217" s="19"/>
      <c r="F1217" s="9"/>
      <c r="G1217" s="21">
        <f>Source!AL842</f>
        <v>1.26</v>
      </c>
      <c r="H1217" s="20" t="str">
        <f>Source!DD842</f>
        <v/>
      </c>
      <c r="I1217" s="9">
        <f>Source!AW842</f>
        <v>1</v>
      </c>
      <c r="J1217" s="9">
        <f>IF(Source!BC842&lt;&gt; 0, Source!BC842, 1)</f>
        <v>1</v>
      </c>
      <c r="K1217" s="21">
        <f>Source!P842</f>
        <v>210.42</v>
      </c>
      <c r="L1217" s="21"/>
    </row>
    <row r="1218" spans="1:22" ht="14.25" x14ac:dyDescent="0.2">
      <c r="A1218" s="18"/>
      <c r="B1218" s="18"/>
      <c r="C1218" s="18"/>
      <c r="D1218" s="18" t="s">
        <v>1102</v>
      </c>
      <c r="E1218" s="19" t="s">
        <v>1103</v>
      </c>
      <c r="F1218" s="9">
        <f>Source!AT842</f>
        <v>70</v>
      </c>
      <c r="G1218" s="21"/>
      <c r="H1218" s="20"/>
      <c r="I1218" s="9"/>
      <c r="J1218" s="9"/>
      <c r="K1218" s="21">
        <f>SUM(R1215:R1217)</f>
        <v>27338.79</v>
      </c>
      <c r="L1218" s="21"/>
    </row>
    <row r="1219" spans="1:22" ht="14.25" x14ac:dyDescent="0.2">
      <c r="A1219" s="18"/>
      <c r="B1219" s="18"/>
      <c r="C1219" s="18"/>
      <c r="D1219" s="18" t="s">
        <v>1104</v>
      </c>
      <c r="E1219" s="19" t="s">
        <v>1103</v>
      </c>
      <c r="F1219" s="9">
        <f>Source!AU842</f>
        <v>10</v>
      </c>
      <c r="G1219" s="21"/>
      <c r="H1219" s="20"/>
      <c r="I1219" s="9"/>
      <c r="J1219" s="9"/>
      <c r="K1219" s="21">
        <f>SUM(T1215:T1218)</f>
        <v>3905.54</v>
      </c>
      <c r="L1219" s="21"/>
    </row>
    <row r="1220" spans="1:22" ht="14.25" x14ac:dyDescent="0.2">
      <c r="A1220" s="18"/>
      <c r="B1220" s="18"/>
      <c r="C1220" s="18"/>
      <c r="D1220" s="18" t="s">
        <v>1105</v>
      </c>
      <c r="E1220" s="19" t="s">
        <v>1106</v>
      </c>
      <c r="F1220" s="9">
        <f>Source!AQ842</f>
        <v>0.4</v>
      </c>
      <c r="G1220" s="21"/>
      <c r="H1220" s="20" t="str">
        <f>Source!DI842</f>
        <v>)*1,04</v>
      </c>
      <c r="I1220" s="9">
        <f>Source!AV842</f>
        <v>1</v>
      </c>
      <c r="J1220" s="9"/>
      <c r="K1220" s="21"/>
      <c r="L1220" s="21">
        <f>Source!U842</f>
        <v>69.472000000000008</v>
      </c>
    </row>
    <row r="1221" spans="1:22" ht="15" x14ac:dyDescent="0.25">
      <c r="A1221" s="23"/>
      <c r="B1221" s="23"/>
      <c r="C1221" s="23"/>
      <c r="D1221" s="23"/>
      <c r="E1221" s="23"/>
      <c r="F1221" s="23"/>
      <c r="G1221" s="23"/>
      <c r="H1221" s="23"/>
      <c r="I1221" s="23"/>
      <c r="J1221" s="44">
        <f>K1216+K1217+K1218+K1219</f>
        <v>70510.17</v>
      </c>
      <c r="K1221" s="44"/>
      <c r="L1221" s="24">
        <f>IF(Source!I842&lt;&gt;0, ROUND(J1221/Source!I842, 2), 0)</f>
        <v>422.22</v>
      </c>
      <c r="P1221" s="22">
        <f>J1221</f>
        <v>70510.17</v>
      </c>
    </row>
    <row r="1222" spans="1:22" ht="157.5" x14ac:dyDescent="0.2">
      <c r="A1222" s="18">
        <v>137</v>
      </c>
      <c r="B1222" s="18">
        <v>137</v>
      </c>
      <c r="C1222" s="18" t="s">
        <v>1118</v>
      </c>
      <c r="D1222" s="18" t="s">
        <v>1119</v>
      </c>
      <c r="E1222" s="19" t="str">
        <f>Source!H843</f>
        <v>10 шт.</v>
      </c>
      <c r="F1222" s="9">
        <f>Source!I843</f>
        <v>10.199999999999999</v>
      </c>
      <c r="G1222" s="21"/>
      <c r="H1222" s="20"/>
      <c r="I1222" s="9"/>
      <c r="J1222" s="9"/>
      <c r="K1222" s="21"/>
      <c r="L1222" s="21"/>
      <c r="Q1222">
        <f>ROUND((Source!BZ843/100)*ROUND((Source!AF843*Source!AV843)*Source!I843, 2), 2)</f>
        <v>617.25</v>
      </c>
      <c r="R1222">
        <f>Source!X843</f>
        <v>617.25</v>
      </c>
      <c r="S1222">
        <f>ROUND((Source!CA843/100)*ROUND((Source!AF843*Source!AV843)*Source!I843, 2), 2)</f>
        <v>88.18</v>
      </c>
      <c r="T1222">
        <f>Source!Y843</f>
        <v>88.18</v>
      </c>
      <c r="U1222">
        <f>ROUND((175/100)*ROUND((Source!AE843*Source!AV843)*Source!I843, 2), 2)</f>
        <v>0</v>
      </c>
      <c r="V1222">
        <f>ROUND((108/100)*ROUND(Source!CS843*Source!I843, 2), 2)</f>
        <v>0</v>
      </c>
    </row>
    <row r="1223" spans="1:22" x14ac:dyDescent="0.2">
      <c r="D1223" s="28" t="str">
        <f>"Объем: "&amp;Source!I843&amp;"=102/"&amp;"10"</f>
        <v>Объем: 10,2=102/10</v>
      </c>
    </row>
    <row r="1224" spans="1:22" ht="14.25" x14ac:dyDescent="0.2">
      <c r="A1224" s="18"/>
      <c r="B1224" s="18"/>
      <c r="C1224" s="18"/>
      <c r="D1224" s="18" t="s">
        <v>1100</v>
      </c>
      <c r="E1224" s="19"/>
      <c r="F1224" s="9"/>
      <c r="G1224" s="21">
        <f>Source!AO843</f>
        <v>123.5</v>
      </c>
      <c r="H1224" s="20" t="str">
        <f>Source!DG843</f>
        <v>)*0,70</v>
      </c>
      <c r="I1224" s="9">
        <f>Source!AV843</f>
        <v>1</v>
      </c>
      <c r="J1224" s="9">
        <f>IF(Source!BA843&lt;&gt; 0, Source!BA843, 1)</f>
        <v>1</v>
      </c>
      <c r="K1224" s="21">
        <f>Source!S843</f>
        <v>881.79</v>
      </c>
      <c r="L1224" s="21"/>
    </row>
    <row r="1225" spans="1:22" ht="14.25" x14ac:dyDescent="0.2">
      <c r="A1225" s="18"/>
      <c r="B1225" s="18"/>
      <c r="C1225" s="18"/>
      <c r="D1225" s="18" t="s">
        <v>1101</v>
      </c>
      <c r="E1225" s="19"/>
      <c r="F1225" s="9"/>
      <c r="G1225" s="21">
        <f>Source!AL843</f>
        <v>5.17</v>
      </c>
      <c r="H1225" s="20" t="str">
        <f>Source!DD843</f>
        <v>)*1</v>
      </c>
      <c r="I1225" s="9">
        <f>Source!AW843</f>
        <v>1</v>
      </c>
      <c r="J1225" s="9">
        <f>IF(Source!BC843&lt;&gt; 0, Source!BC843, 1)</f>
        <v>1</v>
      </c>
      <c r="K1225" s="21">
        <f>Source!P843</f>
        <v>52.73</v>
      </c>
      <c r="L1225" s="21"/>
    </row>
    <row r="1226" spans="1:22" ht="14.25" x14ac:dyDescent="0.2">
      <c r="A1226" s="18"/>
      <c r="B1226" s="18"/>
      <c r="C1226" s="18"/>
      <c r="D1226" s="18" t="s">
        <v>1102</v>
      </c>
      <c r="E1226" s="19" t="s">
        <v>1103</v>
      </c>
      <c r="F1226" s="9">
        <f>Source!AT843</f>
        <v>70</v>
      </c>
      <c r="G1226" s="21"/>
      <c r="H1226" s="20"/>
      <c r="I1226" s="9"/>
      <c r="J1226" s="9"/>
      <c r="K1226" s="21">
        <f>SUM(R1222:R1225)</f>
        <v>617.25</v>
      </c>
      <c r="L1226" s="21"/>
    </row>
    <row r="1227" spans="1:22" ht="14.25" x14ac:dyDescent="0.2">
      <c r="A1227" s="18"/>
      <c r="B1227" s="18"/>
      <c r="C1227" s="18"/>
      <c r="D1227" s="18" t="s">
        <v>1104</v>
      </c>
      <c r="E1227" s="19" t="s">
        <v>1103</v>
      </c>
      <c r="F1227" s="9">
        <f>Source!AU843</f>
        <v>10</v>
      </c>
      <c r="G1227" s="21"/>
      <c r="H1227" s="20"/>
      <c r="I1227" s="9"/>
      <c r="J1227" s="9"/>
      <c r="K1227" s="21">
        <f>SUM(T1222:T1226)</f>
        <v>88.18</v>
      </c>
      <c r="L1227" s="21"/>
    </row>
    <row r="1228" spans="1:22" ht="14.25" x14ac:dyDescent="0.2">
      <c r="A1228" s="18"/>
      <c r="B1228" s="18"/>
      <c r="C1228" s="18"/>
      <c r="D1228" s="18" t="s">
        <v>1105</v>
      </c>
      <c r="E1228" s="19" t="s">
        <v>1106</v>
      </c>
      <c r="F1228" s="9">
        <f>Source!AQ843</f>
        <v>0.2</v>
      </c>
      <c r="G1228" s="21"/>
      <c r="H1228" s="20" t="str">
        <f>Source!DI843</f>
        <v>)*0,70</v>
      </c>
      <c r="I1228" s="9">
        <f>Source!AV843</f>
        <v>1</v>
      </c>
      <c r="J1228" s="9"/>
      <c r="K1228" s="21"/>
      <c r="L1228" s="21">
        <f>Source!U843</f>
        <v>1.4279999999999997</v>
      </c>
    </row>
    <row r="1229" spans="1:22" ht="15" x14ac:dyDescent="0.25">
      <c r="A1229" s="23"/>
      <c r="B1229" s="23"/>
      <c r="C1229" s="23"/>
      <c r="D1229" s="23"/>
      <c r="E1229" s="23"/>
      <c r="F1229" s="23"/>
      <c r="G1229" s="23"/>
      <c r="H1229" s="23"/>
      <c r="I1229" s="23"/>
      <c r="J1229" s="44">
        <f>K1224+K1225+K1226+K1227</f>
        <v>1639.95</v>
      </c>
      <c r="K1229" s="44"/>
      <c r="L1229" s="24">
        <f>IF(Source!I843&lt;&gt;0, ROUND(J1229/Source!I843, 2), 0)</f>
        <v>160.78</v>
      </c>
      <c r="P1229" s="22">
        <f>J1229</f>
        <v>1639.95</v>
      </c>
    </row>
    <row r="1230" spans="1:22" ht="179.25" x14ac:dyDescent="0.2">
      <c r="A1230" s="18">
        <v>138</v>
      </c>
      <c r="B1230" s="18">
        <v>138</v>
      </c>
      <c r="C1230" s="18" t="s">
        <v>1120</v>
      </c>
      <c r="D1230" s="18" t="s">
        <v>1121</v>
      </c>
      <c r="E1230" s="19" t="str">
        <f>Source!H845</f>
        <v>шт.</v>
      </c>
      <c r="F1230" s="9">
        <f>Source!I845</f>
        <v>16</v>
      </c>
      <c r="G1230" s="21"/>
      <c r="H1230" s="20"/>
      <c r="I1230" s="9"/>
      <c r="J1230" s="9"/>
      <c r="K1230" s="21"/>
      <c r="L1230" s="21"/>
      <c r="Q1230">
        <f>ROUND((Source!BZ845/100)*ROUND((Source!AF845*Source!AV845)*Source!I845, 2), 2)</f>
        <v>1964.44</v>
      </c>
      <c r="R1230">
        <f>Source!X845</f>
        <v>1964.44</v>
      </c>
      <c r="S1230">
        <f>ROUND((Source!CA845/100)*ROUND((Source!AF845*Source!AV845)*Source!I845, 2), 2)</f>
        <v>280.63</v>
      </c>
      <c r="T1230">
        <f>Source!Y845</f>
        <v>280.63</v>
      </c>
      <c r="U1230">
        <f>ROUND((175/100)*ROUND((Source!AE845*Source!AV845)*Source!I845, 2), 2)</f>
        <v>0</v>
      </c>
      <c r="V1230">
        <f>ROUND((108/100)*ROUND(Source!CS845*Source!I845, 2), 2)</f>
        <v>0</v>
      </c>
    </row>
    <row r="1231" spans="1:22" ht="14.25" x14ac:dyDescent="0.2">
      <c r="A1231" s="18"/>
      <c r="B1231" s="18"/>
      <c r="C1231" s="18"/>
      <c r="D1231" s="18" t="s">
        <v>1100</v>
      </c>
      <c r="E1231" s="19"/>
      <c r="F1231" s="9"/>
      <c r="G1231" s="21">
        <f>Source!AO845</f>
        <v>168.65</v>
      </c>
      <c r="H1231" s="20" t="str">
        <f>Source!DG845</f>
        <v>)*1,04</v>
      </c>
      <c r="I1231" s="9">
        <f>Source!AV845</f>
        <v>1</v>
      </c>
      <c r="J1231" s="9">
        <f>IF(Source!BA845&lt;&gt; 0, Source!BA845, 1)</f>
        <v>1</v>
      </c>
      <c r="K1231" s="21">
        <f>Source!S845</f>
        <v>2806.34</v>
      </c>
      <c r="L1231" s="21"/>
    </row>
    <row r="1232" spans="1:22" ht="14.25" x14ac:dyDescent="0.2">
      <c r="A1232" s="18"/>
      <c r="B1232" s="18"/>
      <c r="C1232" s="18"/>
      <c r="D1232" s="18" t="s">
        <v>1101</v>
      </c>
      <c r="E1232" s="19"/>
      <c r="F1232" s="9"/>
      <c r="G1232" s="21">
        <f>Source!AL845</f>
        <v>0.63</v>
      </c>
      <c r="H1232" s="20" t="str">
        <f>Source!DD845</f>
        <v/>
      </c>
      <c r="I1232" s="9">
        <f>Source!AW845</f>
        <v>1</v>
      </c>
      <c r="J1232" s="9">
        <f>IF(Source!BC845&lt;&gt; 0, Source!BC845, 1)</f>
        <v>1</v>
      </c>
      <c r="K1232" s="21">
        <f>Source!P845</f>
        <v>10.08</v>
      </c>
      <c r="L1232" s="21"/>
    </row>
    <row r="1233" spans="1:22" ht="14.25" x14ac:dyDescent="0.2">
      <c r="A1233" s="18"/>
      <c r="B1233" s="18"/>
      <c r="C1233" s="18"/>
      <c r="D1233" s="18" t="s">
        <v>1102</v>
      </c>
      <c r="E1233" s="19" t="s">
        <v>1103</v>
      </c>
      <c r="F1233" s="9">
        <f>Source!AT845</f>
        <v>70</v>
      </c>
      <c r="G1233" s="21"/>
      <c r="H1233" s="20"/>
      <c r="I1233" s="9"/>
      <c r="J1233" s="9"/>
      <c r="K1233" s="21">
        <f>SUM(R1230:R1232)</f>
        <v>1964.44</v>
      </c>
      <c r="L1233" s="21"/>
    </row>
    <row r="1234" spans="1:22" ht="14.25" x14ac:dyDescent="0.2">
      <c r="A1234" s="18"/>
      <c r="B1234" s="18"/>
      <c r="C1234" s="18"/>
      <c r="D1234" s="18" t="s">
        <v>1104</v>
      </c>
      <c r="E1234" s="19" t="s">
        <v>1103</v>
      </c>
      <c r="F1234" s="9">
        <f>Source!AU845</f>
        <v>10</v>
      </c>
      <c r="G1234" s="21"/>
      <c r="H1234" s="20"/>
      <c r="I1234" s="9"/>
      <c r="J1234" s="9"/>
      <c r="K1234" s="21">
        <f>SUM(T1230:T1233)</f>
        <v>280.63</v>
      </c>
      <c r="L1234" s="21"/>
    </row>
    <row r="1235" spans="1:22" ht="14.25" x14ac:dyDescent="0.2">
      <c r="A1235" s="18"/>
      <c r="B1235" s="18"/>
      <c r="C1235" s="18"/>
      <c r="D1235" s="18" t="s">
        <v>1105</v>
      </c>
      <c r="E1235" s="19" t="s">
        <v>1106</v>
      </c>
      <c r="F1235" s="9">
        <f>Source!AQ845</f>
        <v>0.3</v>
      </c>
      <c r="G1235" s="21"/>
      <c r="H1235" s="20" t="str">
        <f>Source!DI845</f>
        <v>)*1,04</v>
      </c>
      <c r="I1235" s="9">
        <f>Source!AV845</f>
        <v>1</v>
      </c>
      <c r="J1235" s="9"/>
      <c r="K1235" s="21"/>
      <c r="L1235" s="21">
        <f>Source!U845</f>
        <v>4.992</v>
      </c>
    </row>
    <row r="1236" spans="1:22" ht="15" x14ac:dyDescent="0.25">
      <c r="A1236" s="23"/>
      <c r="B1236" s="23"/>
      <c r="C1236" s="23"/>
      <c r="D1236" s="23"/>
      <c r="E1236" s="23"/>
      <c r="F1236" s="23"/>
      <c r="G1236" s="23"/>
      <c r="H1236" s="23"/>
      <c r="I1236" s="23"/>
      <c r="J1236" s="44">
        <f>K1231+K1232+K1233+K1234</f>
        <v>5061.4900000000007</v>
      </c>
      <c r="K1236" s="44"/>
      <c r="L1236" s="24">
        <f>IF(Source!I845&lt;&gt;0, ROUND(J1236/Source!I845, 2), 0)</f>
        <v>316.33999999999997</v>
      </c>
      <c r="P1236" s="22">
        <f>J1236</f>
        <v>5061.4900000000007</v>
      </c>
    </row>
    <row r="1238" spans="1:22" ht="15" x14ac:dyDescent="0.25">
      <c r="C1238" s="47" t="str">
        <f>Source!G846</f>
        <v>Кабельные изделия</v>
      </c>
      <c r="D1238" s="47"/>
      <c r="E1238" s="47"/>
      <c r="F1238" s="47"/>
      <c r="G1238" s="47"/>
      <c r="H1238" s="47"/>
      <c r="I1238" s="47"/>
      <c r="J1238" s="47"/>
      <c r="K1238" s="47"/>
    </row>
    <row r="1239" spans="1:22" ht="57" x14ac:dyDescent="0.2">
      <c r="A1239" s="18">
        <v>139</v>
      </c>
      <c r="B1239" s="18">
        <v>139</v>
      </c>
      <c r="C1239" s="18" t="str">
        <f>Source!F847</f>
        <v>1.21-2103-9-1/1</v>
      </c>
      <c r="D1239" s="18" t="str">
        <f>Source!G847</f>
        <v>Техническое обслуживание силовых сетей, проложенных по кирпичным и бетонным основаниям, провод сечением 2х1,5-6 мм2</v>
      </c>
      <c r="E1239" s="19" t="str">
        <f>Source!H847</f>
        <v>100 м</v>
      </c>
      <c r="F1239" s="9">
        <f>Source!I847</f>
        <v>1.804</v>
      </c>
      <c r="G1239" s="21"/>
      <c r="H1239" s="20"/>
      <c r="I1239" s="9"/>
      <c r="J1239" s="9"/>
      <c r="K1239" s="21"/>
      <c r="L1239" s="21"/>
      <c r="Q1239">
        <f>ROUND((Source!BZ847/100)*ROUND((Source!AF847*Source!AV847)*Source!I847, 2), 2)</f>
        <v>4826.6099999999997</v>
      </c>
      <c r="R1239">
        <f>Source!X847</f>
        <v>4826.6099999999997</v>
      </c>
      <c r="S1239">
        <f>ROUND((Source!CA847/100)*ROUND((Source!AF847*Source!AV847)*Source!I847, 2), 2)</f>
        <v>689.52</v>
      </c>
      <c r="T1239">
        <f>Source!Y847</f>
        <v>689.52</v>
      </c>
      <c r="U1239">
        <f>ROUND((175/100)*ROUND((Source!AE847*Source!AV847)*Source!I847, 2), 2)</f>
        <v>0</v>
      </c>
      <c r="V1239">
        <f>ROUND((108/100)*ROUND(Source!CS847*Source!I847, 2), 2)</f>
        <v>0</v>
      </c>
    </row>
    <row r="1240" spans="1:22" ht="38.25" x14ac:dyDescent="0.2">
      <c r="D1240" s="28" t="str">
        <f>"Объем: "&amp;Source!I847&amp;"=(1500+"&amp;"1000+"&amp;"750+"&amp;"750+"&amp;"20+"&amp;"2500+"&amp;"2500)*"&amp;"0,2*"&amp;"0,1/"&amp;"100"</f>
        <v>Объем: 1,804=(1500+1000+750+750+20+2500+2500)*0,2*0,1/100</v>
      </c>
    </row>
    <row r="1241" spans="1:22" ht="14.25" x14ac:dyDescent="0.2">
      <c r="A1241" s="18"/>
      <c r="B1241" s="18"/>
      <c r="C1241" s="18"/>
      <c r="D1241" s="18" t="s">
        <v>1100</v>
      </c>
      <c r="E1241" s="19"/>
      <c r="F1241" s="9"/>
      <c r="G1241" s="21">
        <f>Source!AO847</f>
        <v>3822.15</v>
      </c>
      <c r="H1241" s="20" t="str">
        <f>Source!DG847</f>
        <v/>
      </c>
      <c r="I1241" s="9">
        <f>Source!AV847</f>
        <v>1</v>
      </c>
      <c r="J1241" s="9">
        <f>IF(Source!BA847&lt;&gt; 0, Source!BA847, 1)</f>
        <v>1</v>
      </c>
      <c r="K1241" s="21">
        <f>Source!S847</f>
        <v>6895.16</v>
      </c>
      <c r="L1241" s="21"/>
    </row>
    <row r="1242" spans="1:22" ht="14.25" x14ac:dyDescent="0.2">
      <c r="A1242" s="18"/>
      <c r="B1242" s="18"/>
      <c r="C1242" s="18"/>
      <c r="D1242" s="18" t="s">
        <v>1101</v>
      </c>
      <c r="E1242" s="19"/>
      <c r="F1242" s="9"/>
      <c r="G1242" s="21">
        <f>Source!AL847</f>
        <v>22.51</v>
      </c>
      <c r="H1242" s="20" t="str">
        <f>Source!DD847</f>
        <v/>
      </c>
      <c r="I1242" s="9">
        <f>Source!AW847</f>
        <v>1</v>
      </c>
      <c r="J1242" s="9">
        <f>IF(Source!BC847&lt;&gt; 0, Source!BC847, 1)</f>
        <v>1</v>
      </c>
      <c r="K1242" s="21">
        <f>Source!P847</f>
        <v>40.61</v>
      </c>
      <c r="L1242" s="21"/>
    </row>
    <row r="1243" spans="1:22" ht="14.25" x14ac:dyDescent="0.2">
      <c r="A1243" s="18"/>
      <c r="B1243" s="18"/>
      <c r="C1243" s="18"/>
      <c r="D1243" s="18" t="s">
        <v>1102</v>
      </c>
      <c r="E1243" s="19" t="s">
        <v>1103</v>
      </c>
      <c r="F1243" s="9">
        <f>Source!AT847</f>
        <v>70</v>
      </c>
      <c r="G1243" s="21"/>
      <c r="H1243" s="20"/>
      <c r="I1243" s="9"/>
      <c r="J1243" s="9"/>
      <c r="K1243" s="21">
        <f>SUM(R1239:R1242)</f>
        <v>4826.6099999999997</v>
      </c>
      <c r="L1243" s="21"/>
    </row>
    <row r="1244" spans="1:22" ht="14.25" x14ac:dyDescent="0.2">
      <c r="A1244" s="18"/>
      <c r="B1244" s="18"/>
      <c r="C1244" s="18"/>
      <c r="D1244" s="18" t="s">
        <v>1104</v>
      </c>
      <c r="E1244" s="19" t="s">
        <v>1103</v>
      </c>
      <c r="F1244" s="9">
        <f>Source!AU847</f>
        <v>10</v>
      </c>
      <c r="G1244" s="21"/>
      <c r="H1244" s="20"/>
      <c r="I1244" s="9"/>
      <c r="J1244" s="9"/>
      <c r="K1244" s="21">
        <f>SUM(T1239:T1243)</f>
        <v>689.52</v>
      </c>
      <c r="L1244" s="21"/>
    </row>
    <row r="1245" spans="1:22" ht="14.25" x14ac:dyDescent="0.2">
      <c r="A1245" s="18"/>
      <c r="B1245" s="18"/>
      <c r="C1245" s="18"/>
      <c r="D1245" s="18" t="s">
        <v>1105</v>
      </c>
      <c r="E1245" s="19" t="s">
        <v>1106</v>
      </c>
      <c r="F1245" s="9">
        <f>Source!AQ847</f>
        <v>7.14</v>
      </c>
      <c r="G1245" s="21"/>
      <c r="H1245" s="20" t="str">
        <f>Source!DI847</f>
        <v/>
      </c>
      <c r="I1245" s="9">
        <f>Source!AV847</f>
        <v>1</v>
      </c>
      <c r="J1245" s="9"/>
      <c r="K1245" s="21"/>
      <c r="L1245" s="21">
        <f>Source!U847</f>
        <v>12.880559999999999</v>
      </c>
    </row>
    <row r="1246" spans="1:22" ht="15" x14ac:dyDescent="0.25">
      <c r="A1246" s="23"/>
      <c r="B1246" s="23"/>
      <c r="C1246" s="23"/>
      <c r="D1246" s="23"/>
      <c r="E1246" s="23"/>
      <c r="F1246" s="23"/>
      <c r="G1246" s="23"/>
      <c r="H1246" s="23"/>
      <c r="I1246" s="23"/>
      <c r="J1246" s="44">
        <f>K1241+K1242+K1243+K1244</f>
        <v>12451.9</v>
      </c>
      <c r="K1246" s="44"/>
      <c r="L1246" s="24">
        <f>IF(Source!I847&lt;&gt;0, ROUND(J1246/Source!I847, 2), 0)</f>
        <v>6902.38</v>
      </c>
      <c r="P1246" s="22">
        <f>J1246</f>
        <v>12451.9</v>
      </c>
    </row>
    <row r="1247" spans="1:22" ht="57" x14ac:dyDescent="0.2">
      <c r="A1247" s="18">
        <v>140</v>
      </c>
      <c r="B1247" s="18">
        <v>140</v>
      </c>
      <c r="C1247" s="18" t="str">
        <f>Source!F849</f>
        <v>1.21-2103-9-2/1</v>
      </c>
      <c r="D1247" s="18" t="str">
        <f>Source!G849</f>
        <v>Техническое обслуживание силовых сетей, проложенных по кирпичным и бетонным основаниям, провод сечением 3х1,5-6 мм2</v>
      </c>
      <c r="E1247" s="19" t="str">
        <f>Source!H849</f>
        <v>100 м</v>
      </c>
      <c r="F1247" s="9">
        <f>Source!I849</f>
        <v>3.9380000000000002</v>
      </c>
      <c r="G1247" s="21"/>
      <c r="H1247" s="20"/>
      <c r="I1247" s="9"/>
      <c r="J1247" s="9"/>
      <c r="K1247" s="21"/>
      <c r="L1247" s="21"/>
      <c r="Q1247">
        <f>ROUND((Source!BZ849/100)*ROUND((Source!AF849*Source!AV849)*Source!I849, 2), 2)</f>
        <v>14756.49</v>
      </c>
      <c r="R1247">
        <f>Source!X849</f>
        <v>14756.49</v>
      </c>
      <c r="S1247">
        <f>ROUND((Source!CA849/100)*ROUND((Source!AF849*Source!AV849)*Source!I849, 2), 2)</f>
        <v>2108.0700000000002</v>
      </c>
      <c r="T1247">
        <f>Source!Y849</f>
        <v>2108.0700000000002</v>
      </c>
      <c r="U1247">
        <f>ROUND((175/100)*ROUND((Source!AE849*Source!AV849)*Source!I849, 2), 2)</f>
        <v>0</v>
      </c>
      <c r="V1247">
        <f>ROUND((108/100)*ROUND(Source!CS849*Source!I849, 2), 2)</f>
        <v>0</v>
      </c>
    </row>
    <row r="1248" spans="1:22" ht="38.25" x14ac:dyDescent="0.2">
      <c r="D1248" s="28" t="str">
        <f>"Объем: "&amp;Source!I849&amp;"=(3500+"&amp;"9070+"&amp;"1000+"&amp;"600+"&amp;"4500+"&amp;"220+"&amp;"800)*"&amp;"0,2*"&amp;"0,1/"&amp;"100"</f>
        <v>Объем: 3,938=(3500+9070+1000+600+4500+220+800)*0,2*0,1/100</v>
      </c>
    </row>
    <row r="1249" spans="1:22" ht="14.25" x14ac:dyDescent="0.2">
      <c r="A1249" s="18"/>
      <c r="B1249" s="18"/>
      <c r="C1249" s="18"/>
      <c r="D1249" s="18" t="s">
        <v>1100</v>
      </c>
      <c r="E1249" s="19"/>
      <c r="F1249" s="9"/>
      <c r="G1249" s="21">
        <f>Source!AO849</f>
        <v>5353.15</v>
      </c>
      <c r="H1249" s="20" t="str">
        <f>Source!DG849</f>
        <v/>
      </c>
      <c r="I1249" s="9">
        <f>Source!AV849</f>
        <v>1</v>
      </c>
      <c r="J1249" s="9">
        <f>IF(Source!BA849&lt;&gt; 0, Source!BA849, 1)</f>
        <v>1</v>
      </c>
      <c r="K1249" s="21">
        <f>Source!S849</f>
        <v>21080.7</v>
      </c>
      <c r="L1249" s="21"/>
    </row>
    <row r="1250" spans="1:22" ht="14.25" x14ac:dyDescent="0.2">
      <c r="A1250" s="18"/>
      <c r="B1250" s="18"/>
      <c r="C1250" s="18"/>
      <c r="D1250" s="18" t="s">
        <v>1101</v>
      </c>
      <c r="E1250" s="19"/>
      <c r="F1250" s="9"/>
      <c r="G1250" s="21">
        <f>Source!AL849</f>
        <v>22.51</v>
      </c>
      <c r="H1250" s="20" t="str">
        <f>Source!DD849</f>
        <v/>
      </c>
      <c r="I1250" s="9">
        <f>Source!AW849</f>
        <v>1</v>
      </c>
      <c r="J1250" s="9">
        <f>IF(Source!BC849&lt;&gt; 0, Source!BC849, 1)</f>
        <v>1</v>
      </c>
      <c r="K1250" s="21">
        <f>Source!P849</f>
        <v>88.64</v>
      </c>
      <c r="L1250" s="21"/>
    </row>
    <row r="1251" spans="1:22" ht="14.25" x14ac:dyDescent="0.2">
      <c r="A1251" s="18"/>
      <c r="B1251" s="18"/>
      <c r="C1251" s="18"/>
      <c r="D1251" s="18" t="s">
        <v>1102</v>
      </c>
      <c r="E1251" s="19" t="s">
        <v>1103</v>
      </c>
      <c r="F1251" s="9">
        <f>Source!AT849</f>
        <v>70</v>
      </c>
      <c r="G1251" s="21"/>
      <c r="H1251" s="20"/>
      <c r="I1251" s="9"/>
      <c r="J1251" s="9"/>
      <c r="K1251" s="21">
        <f>SUM(R1247:R1250)</f>
        <v>14756.49</v>
      </c>
      <c r="L1251" s="21"/>
    </row>
    <row r="1252" spans="1:22" ht="14.25" x14ac:dyDescent="0.2">
      <c r="A1252" s="18"/>
      <c r="B1252" s="18"/>
      <c r="C1252" s="18"/>
      <c r="D1252" s="18" t="s">
        <v>1104</v>
      </c>
      <c r="E1252" s="19" t="s">
        <v>1103</v>
      </c>
      <c r="F1252" s="9">
        <f>Source!AU849</f>
        <v>10</v>
      </c>
      <c r="G1252" s="21"/>
      <c r="H1252" s="20"/>
      <c r="I1252" s="9"/>
      <c r="J1252" s="9"/>
      <c r="K1252" s="21">
        <f>SUM(T1247:T1251)</f>
        <v>2108.0700000000002</v>
      </c>
      <c r="L1252" s="21"/>
    </row>
    <row r="1253" spans="1:22" ht="14.25" x14ac:dyDescent="0.2">
      <c r="A1253" s="18"/>
      <c r="B1253" s="18"/>
      <c r="C1253" s="18"/>
      <c r="D1253" s="18" t="s">
        <v>1105</v>
      </c>
      <c r="E1253" s="19" t="s">
        <v>1106</v>
      </c>
      <c r="F1253" s="9">
        <f>Source!AQ849</f>
        <v>10</v>
      </c>
      <c r="G1253" s="21"/>
      <c r="H1253" s="20" t="str">
        <f>Source!DI849</f>
        <v/>
      </c>
      <c r="I1253" s="9">
        <f>Source!AV849</f>
        <v>1</v>
      </c>
      <c r="J1253" s="9"/>
      <c r="K1253" s="21"/>
      <c r="L1253" s="21">
        <f>Source!U849</f>
        <v>39.380000000000003</v>
      </c>
    </row>
    <row r="1254" spans="1:22" ht="15" x14ac:dyDescent="0.25">
      <c r="A1254" s="23"/>
      <c r="B1254" s="23"/>
      <c r="C1254" s="23"/>
      <c r="D1254" s="23"/>
      <c r="E1254" s="23"/>
      <c r="F1254" s="23"/>
      <c r="G1254" s="23"/>
      <c r="H1254" s="23"/>
      <c r="I1254" s="23"/>
      <c r="J1254" s="44">
        <f>K1249+K1250+K1251+K1252</f>
        <v>38033.9</v>
      </c>
      <c r="K1254" s="44"/>
      <c r="L1254" s="24">
        <f>IF(Source!I849&lt;&gt;0, ROUND(J1254/Source!I849, 2), 0)</f>
        <v>9658.18</v>
      </c>
      <c r="P1254" s="22">
        <f>J1254</f>
        <v>38033.9</v>
      </c>
    </row>
    <row r="1255" spans="1:22" ht="57" x14ac:dyDescent="0.2">
      <c r="A1255" s="18">
        <v>141</v>
      </c>
      <c r="B1255" s="18">
        <v>141</v>
      </c>
      <c r="C1255" s="18" t="str">
        <f>Source!F851</f>
        <v>1.21-2103-9-3/1</v>
      </c>
      <c r="D1255" s="18" t="str">
        <f>Source!G851</f>
        <v>Техническое обслуживание силовых сетей, проложенных по кирпичным и бетонным основаниям, провод сечением 4х1,5-6 мм2</v>
      </c>
      <c r="E1255" s="19" t="str">
        <f>Source!H851</f>
        <v>100 м</v>
      </c>
      <c r="F1255" s="9">
        <f>Source!I851</f>
        <v>0.96120000000000005</v>
      </c>
      <c r="G1255" s="21"/>
      <c r="H1255" s="20"/>
      <c r="I1255" s="9"/>
      <c r="J1255" s="9"/>
      <c r="K1255" s="21"/>
      <c r="L1255" s="21"/>
      <c r="Q1255">
        <f>ROUND((Source!BZ851/100)*ROUND((Source!AF851*Source!AV851)*Source!I851, 2), 2)</f>
        <v>4041.24</v>
      </c>
      <c r="R1255">
        <f>Source!X851</f>
        <v>4041.24</v>
      </c>
      <c r="S1255">
        <f>ROUND((Source!CA851/100)*ROUND((Source!AF851*Source!AV851)*Source!I851, 2), 2)</f>
        <v>577.32000000000005</v>
      </c>
      <c r="T1255">
        <f>Source!Y851</f>
        <v>577.32000000000005</v>
      </c>
      <c r="U1255">
        <f>ROUND((175/100)*ROUND((Source!AE851*Source!AV851)*Source!I851, 2), 2)</f>
        <v>0</v>
      </c>
      <c r="V1255">
        <f>ROUND((108/100)*ROUND(Source!CS851*Source!I851, 2), 2)</f>
        <v>0</v>
      </c>
    </row>
    <row r="1256" spans="1:22" ht="38.25" x14ac:dyDescent="0.2">
      <c r="D1256" s="28" t="str">
        <f>"Объем: "&amp;Source!I851&amp;"=(60+"&amp;"185+"&amp;"55+"&amp;"70+"&amp;"3107+"&amp;"538+"&amp;"791)*"&amp;"0,2*"&amp;"0,1/"&amp;"100"</f>
        <v>Объем: 0,9612=(60+185+55+70+3107+538+791)*0,2*0,1/100</v>
      </c>
    </row>
    <row r="1257" spans="1:22" ht="14.25" x14ac:dyDescent="0.2">
      <c r="A1257" s="18"/>
      <c r="B1257" s="18"/>
      <c r="C1257" s="18"/>
      <c r="D1257" s="18" t="s">
        <v>1100</v>
      </c>
      <c r="E1257" s="19"/>
      <c r="F1257" s="9"/>
      <c r="G1257" s="21">
        <f>Source!AO851</f>
        <v>6006.24</v>
      </c>
      <c r="H1257" s="20" t="str">
        <f>Source!DG851</f>
        <v/>
      </c>
      <c r="I1257" s="9">
        <f>Source!AV851</f>
        <v>1</v>
      </c>
      <c r="J1257" s="9">
        <f>IF(Source!BA851&lt;&gt; 0, Source!BA851, 1)</f>
        <v>1</v>
      </c>
      <c r="K1257" s="21">
        <f>Source!S851</f>
        <v>5773.2</v>
      </c>
      <c r="L1257" s="21"/>
    </row>
    <row r="1258" spans="1:22" ht="14.25" x14ac:dyDescent="0.2">
      <c r="A1258" s="18"/>
      <c r="B1258" s="18"/>
      <c r="C1258" s="18"/>
      <c r="D1258" s="18" t="s">
        <v>1101</v>
      </c>
      <c r="E1258" s="19"/>
      <c r="F1258" s="9"/>
      <c r="G1258" s="21">
        <f>Source!AL851</f>
        <v>14.63</v>
      </c>
      <c r="H1258" s="20" t="str">
        <f>Source!DD851</f>
        <v/>
      </c>
      <c r="I1258" s="9">
        <f>Source!AW851</f>
        <v>1</v>
      </c>
      <c r="J1258" s="9">
        <f>IF(Source!BC851&lt;&gt; 0, Source!BC851, 1)</f>
        <v>1</v>
      </c>
      <c r="K1258" s="21">
        <f>Source!P851</f>
        <v>14.06</v>
      </c>
      <c r="L1258" s="21"/>
    </row>
    <row r="1259" spans="1:22" ht="14.25" x14ac:dyDescent="0.2">
      <c r="A1259" s="18"/>
      <c r="B1259" s="18"/>
      <c r="C1259" s="18"/>
      <c r="D1259" s="18" t="s">
        <v>1102</v>
      </c>
      <c r="E1259" s="19" t="s">
        <v>1103</v>
      </c>
      <c r="F1259" s="9">
        <f>Source!AT851</f>
        <v>70</v>
      </c>
      <c r="G1259" s="21"/>
      <c r="H1259" s="20"/>
      <c r="I1259" s="9"/>
      <c r="J1259" s="9"/>
      <c r="K1259" s="21">
        <f>SUM(R1255:R1258)</f>
        <v>4041.24</v>
      </c>
      <c r="L1259" s="21"/>
    </row>
    <row r="1260" spans="1:22" ht="14.25" x14ac:dyDescent="0.2">
      <c r="A1260" s="18"/>
      <c r="B1260" s="18"/>
      <c r="C1260" s="18"/>
      <c r="D1260" s="18" t="s">
        <v>1104</v>
      </c>
      <c r="E1260" s="19" t="s">
        <v>1103</v>
      </c>
      <c r="F1260" s="9">
        <f>Source!AU851</f>
        <v>10</v>
      </c>
      <c r="G1260" s="21"/>
      <c r="H1260" s="20"/>
      <c r="I1260" s="9"/>
      <c r="J1260" s="9"/>
      <c r="K1260" s="21">
        <f>SUM(T1255:T1259)</f>
        <v>577.32000000000005</v>
      </c>
      <c r="L1260" s="21"/>
    </row>
    <row r="1261" spans="1:22" ht="14.25" x14ac:dyDescent="0.2">
      <c r="A1261" s="18"/>
      <c r="B1261" s="18"/>
      <c r="C1261" s="18"/>
      <c r="D1261" s="18" t="s">
        <v>1105</v>
      </c>
      <c r="E1261" s="19" t="s">
        <v>1106</v>
      </c>
      <c r="F1261" s="9">
        <f>Source!AQ851</f>
        <v>11.22</v>
      </c>
      <c r="G1261" s="21"/>
      <c r="H1261" s="20" t="str">
        <f>Source!DI851</f>
        <v/>
      </c>
      <c r="I1261" s="9">
        <f>Source!AV851</f>
        <v>1</v>
      </c>
      <c r="J1261" s="9"/>
      <c r="K1261" s="21"/>
      <c r="L1261" s="21">
        <f>Source!U851</f>
        <v>10.784664000000001</v>
      </c>
    </row>
    <row r="1262" spans="1:22" ht="15" x14ac:dyDescent="0.25">
      <c r="A1262" s="23"/>
      <c r="B1262" s="23"/>
      <c r="C1262" s="23"/>
      <c r="D1262" s="23"/>
      <c r="E1262" s="23"/>
      <c r="F1262" s="23"/>
      <c r="G1262" s="23"/>
      <c r="H1262" s="23"/>
      <c r="I1262" s="23"/>
      <c r="J1262" s="44">
        <f>K1257+K1258+K1259+K1260</f>
        <v>10405.82</v>
      </c>
      <c r="K1262" s="44"/>
      <c r="L1262" s="24">
        <f>IF(Source!I851&lt;&gt;0, ROUND(J1262/Source!I851, 2), 0)</f>
        <v>10825.86</v>
      </c>
      <c r="P1262" s="22">
        <f>J1262</f>
        <v>10405.82</v>
      </c>
    </row>
    <row r="1263" spans="1:22" ht="57" x14ac:dyDescent="0.2">
      <c r="A1263" s="18">
        <v>142</v>
      </c>
      <c r="B1263" s="18">
        <v>142</v>
      </c>
      <c r="C1263" s="18" t="str">
        <f>Source!F853</f>
        <v>1.21-2103-9-5/1</v>
      </c>
      <c r="D1263" s="18" t="str">
        <f>Source!G853</f>
        <v>Техническое обслуживание силовых сетей, проложенных по кирпичным и бетонным основаниям, провод сечением 3х10-16 мм2 (5х10, 5х16)</v>
      </c>
      <c r="E1263" s="19" t="str">
        <f>Source!H853</f>
        <v>100 м</v>
      </c>
      <c r="F1263" s="9">
        <f>Source!I853</f>
        <v>0.3866</v>
      </c>
      <c r="G1263" s="21"/>
      <c r="H1263" s="20"/>
      <c r="I1263" s="9"/>
      <c r="J1263" s="9"/>
      <c r="K1263" s="21"/>
      <c r="L1263" s="21"/>
      <c r="Q1263">
        <f>ROUND((Source!BZ853/100)*ROUND((Source!AF853*Source!AV853)*Source!I853, 2), 2)</f>
        <v>1721.02</v>
      </c>
      <c r="R1263">
        <f>Source!X853</f>
        <v>1721.02</v>
      </c>
      <c r="S1263">
        <f>ROUND((Source!CA853/100)*ROUND((Source!AF853*Source!AV853)*Source!I853, 2), 2)</f>
        <v>245.86</v>
      </c>
      <c r="T1263">
        <f>Source!Y853</f>
        <v>245.86</v>
      </c>
      <c r="U1263">
        <f>ROUND((175/100)*ROUND((Source!AE853*Source!AV853)*Source!I853, 2), 2)</f>
        <v>0</v>
      </c>
      <c r="V1263">
        <f>ROUND((108/100)*ROUND(Source!CS853*Source!I853, 2), 2)</f>
        <v>0</v>
      </c>
    </row>
    <row r="1264" spans="1:22" x14ac:dyDescent="0.2">
      <c r="D1264" s="28" t="str">
        <f>"Объем: "&amp;Source!I853&amp;"=(932+"&amp;"127+"&amp;"874)*"&amp;"0,2*"&amp;"0,1/"&amp;"100"</f>
        <v>Объем: 0,3866=(932+127+874)*0,2*0,1/100</v>
      </c>
    </row>
    <row r="1265" spans="1:22" ht="14.25" x14ac:dyDescent="0.2">
      <c r="A1265" s="18"/>
      <c r="B1265" s="18"/>
      <c r="C1265" s="18"/>
      <c r="D1265" s="18" t="s">
        <v>1100</v>
      </c>
      <c r="E1265" s="19"/>
      <c r="F1265" s="9"/>
      <c r="G1265" s="21">
        <f>Source!AO853</f>
        <v>6359.54</v>
      </c>
      <c r="H1265" s="20" t="str">
        <f>Source!DG853</f>
        <v/>
      </c>
      <c r="I1265" s="9">
        <f>Source!AV853</f>
        <v>1</v>
      </c>
      <c r="J1265" s="9">
        <f>IF(Source!BA853&lt;&gt; 0, Source!BA853, 1)</f>
        <v>1</v>
      </c>
      <c r="K1265" s="21">
        <f>Source!S853</f>
        <v>2458.6</v>
      </c>
      <c r="L1265" s="21"/>
    </row>
    <row r="1266" spans="1:22" ht="14.25" x14ac:dyDescent="0.2">
      <c r="A1266" s="18"/>
      <c r="B1266" s="18"/>
      <c r="C1266" s="18"/>
      <c r="D1266" s="18" t="s">
        <v>1101</v>
      </c>
      <c r="E1266" s="19"/>
      <c r="F1266" s="9"/>
      <c r="G1266" s="21">
        <f>Source!AL853</f>
        <v>15.76</v>
      </c>
      <c r="H1266" s="20" t="str">
        <f>Source!DD853</f>
        <v/>
      </c>
      <c r="I1266" s="9">
        <f>Source!AW853</f>
        <v>1</v>
      </c>
      <c r="J1266" s="9">
        <f>IF(Source!BC853&lt;&gt; 0, Source!BC853, 1)</f>
        <v>1</v>
      </c>
      <c r="K1266" s="21">
        <f>Source!P853</f>
        <v>6.09</v>
      </c>
      <c r="L1266" s="21"/>
    </row>
    <row r="1267" spans="1:22" ht="14.25" x14ac:dyDescent="0.2">
      <c r="A1267" s="18"/>
      <c r="B1267" s="18"/>
      <c r="C1267" s="18"/>
      <c r="D1267" s="18" t="s">
        <v>1102</v>
      </c>
      <c r="E1267" s="19" t="s">
        <v>1103</v>
      </c>
      <c r="F1267" s="9">
        <f>Source!AT853</f>
        <v>70</v>
      </c>
      <c r="G1267" s="21"/>
      <c r="H1267" s="20"/>
      <c r="I1267" s="9"/>
      <c r="J1267" s="9"/>
      <c r="K1267" s="21">
        <f>SUM(R1263:R1266)</f>
        <v>1721.02</v>
      </c>
      <c r="L1267" s="21"/>
    </row>
    <row r="1268" spans="1:22" ht="14.25" x14ac:dyDescent="0.2">
      <c r="A1268" s="18"/>
      <c r="B1268" s="18"/>
      <c r="C1268" s="18"/>
      <c r="D1268" s="18" t="s">
        <v>1104</v>
      </c>
      <c r="E1268" s="19" t="s">
        <v>1103</v>
      </c>
      <c r="F1268" s="9">
        <f>Source!AU853</f>
        <v>10</v>
      </c>
      <c r="G1268" s="21"/>
      <c r="H1268" s="20"/>
      <c r="I1268" s="9"/>
      <c r="J1268" s="9"/>
      <c r="K1268" s="21">
        <f>SUM(T1263:T1267)</f>
        <v>245.86</v>
      </c>
      <c r="L1268" s="21"/>
    </row>
    <row r="1269" spans="1:22" ht="14.25" x14ac:dyDescent="0.2">
      <c r="A1269" s="18"/>
      <c r="B1269" s="18"/>
      <c r="C1269" s="18"/>
      <c r="D1269" s="18" t="s">
        <v>1105</v>
      </c>
      <c r="E1269" s="19" t="s">
        <v>1106</v>
      </c>
      <c r="F1269" s="9">
        <f>Source!AQ853</f>
        <v>11.88</v>
      </c>
      <c r="G1269" s="21"/>
      <c r="H1269" s="20" t="str">
        <f>Source!DI853</f>
        <v/>
      </c>
      <c r="I1269" s="9">
        <f>Source!AV853</f>
        <v>1</v>
      </c>
      <c r="J1269" s="9"/>
      <c r="K1269" s="21"/>
      <c r="L1269" s="21">
        <f>Source!U853</f>
        <v>4.5928080000000007</v>
      </c>
    </row>
    <row r="1270" spans="1:22" ht="15" x14ac:dyDescent="0.25">
      <c r="A1270" s="23"/>
      <c r="B1270" s="23"/>
      <c r="C1270" s="23"/>
      <c r="D1270" s="23"/>
      <c r="E1270" s="23"/>
      <c r="F1270" s="23"/>
      <c r="G1270" s="23"/>
      <c r="H1270" s="23"/>
      <c r="I1270" s="23"/>
      <c r="J1270" s="44">
        <f>K1265+K1266+K1267+K1268</f>
        <v>4431.57</v>
      </c>
      <c r="K1270" s="44"/>
      <c r="L1270" s="24">
        <f>IF(Source!I853&lt;&gt;0, ROUND(J1270/Source!I853, 2), 0)</f>
        <v>11462.93</v>
      </c>
      <c r="P1270" s="22">
        <f>J1270</f>
        <v>4431.57</v>
      </c>
    </row>
    <row r="1271" spans="1:22" ht="71.25" x14ac:dyDescent="0.2">
      <c r="A1271" s="18">
        <v>143</v>
      </c>
      <c r="B1271" s="18">
        <v>143</v>
      </c>
      <c r="C1271" s="18" t="str">
        <f>Source!F854</f>
        <v>1.21-2103-9-6/1</v>
      </c>
      <c r="D1271" s="18" t="str">
        <f>Source!G854</f>
        <v>Техническое обслуживание силовых сетей, проложенных по кирпичным и бетонным основаниям, добавлять на каждый последующий провод к поз. 21-2103-9-5</v>
      </c>
      <c r="E1271" s="19" t="str">
        <f>Source!H854</f>
        <v>100 м</v>
      </c>
      <c r="F1271" s="9">
        <f>Source!I854</f>
        <v>0.3866</v>
      </c>
      <c r="G1271" s="21"/>
      <c r="H1271" s="20"/>
      <c r="I1271" s="9"/>
      <c r="J1271" s="9"/>
      <c r="K1271" s="21"/>
      <c r="L1271" s="21"/>
      <c r="Q1271">
        <f>ROUND((Source!BZ854/100)*ROUND((Source!AF854*Source!AV854)*Source!I854, 2), 2)</f>
        <v>382.45</v>
      </c>
      <c r="R1271">
        <f>Source!X854</f>
        <v>382.45</v>
      </c>
      <c r="S1271">
        <f>ROUND((Source!CA854/100)*ROUND((Source!AF854*Source!AV854)*Source!I854, 2), 2)</f>
        <v>54.64</v>
      </c>
      <c r="T1271">
        <f>Source!Y854</f>
        <v>54.64</v>
      </c>
      <c r="U1271">
        <f>ROUND((175/100)*ROUND((Source!AE854*Source!AV854)*Source!I854, 2), 2)</f>
        <v>0</v>
      </c>
      <c r="V1271">
        <f>ROUND((108/100)*ROUND(Source!CS854*Source!I854, 2), 2)</f>
        <v>0</v>
      </c>
    </row>
    <row r="1272" spans="1:22" x14ac:dyDescent="0.2">
      <c r="D1272" s="28" t="str">
        <f>"Объем: "&amp;Source!I854&amp;"=(932+"&amp;"127+"&amp;"874)*"&amp;"0,2*"&amp;"0,1/"&amp;"100"</f>
        <v>Объем: 0,3866=(932+127+874)*0,2*0,1/100</v>
      </c>
    </row>
    <row r="1273" spans="1:22" ht="14.25" x14ac:dyDescent="0.2">
      <c r="A1273" s="18"/>
      <c r="B1273" s="18"/>
      <c r="C1273" s="18"/>
      <c r="D1273" s="18" t="s">
        <v>1100</v>
      </c>
      <c r="E1273" s="19"/>
      <c r="F1273" s="9"/>
      <c r="G1273" s="21">
        <f>Source!AO854</f>
        <v>1413.23</v>
      </c>
      <c r="H1273" s="20" t="str">
        <f>Source!DG854</f>
        <v/>
      </c>
      <c r="I1273" s="9">
        <f>Source!AV854</f>
        <v>1</v>
      </c>
      <c r="J1273" s="9">
        <f>IF(Source!BA854&lt;&gt; 0, Source!BA854, 1)</f>
        <v>1</v>
      </c>
      <c r="K1273" s="21">
        <f>Source!S854</f>
        <v>546.35</v>
      </c>
      <c r="L1273" s="21"/>
    </row>
    <row r="1274" spans="1:22" ht="14.25" x14ac:dyDescent="0.2">
      <c r="A1274" s="18"/>
      <c r="B1274" s="18"/>
      <c r="C1274" s="18"/>
      <c r="D1274" s="18" t="s">
        <v>1101</v>
      </c>
      <c r="E1274" s="19"/>
      <c r="F1274" s="9"/>
      <c r="G1274" s="21">
        <f>Source!AL854</f>
        <v>3.38</v>
      </c>
      <c r="H1274" s="20" t="str">
        <f>Source!DD854</f>
        <v/>
      </c>
      <c r="I1274" s="9">
        <f>Source!AW854</f>
        <v>1</v>
      </c>
      <c r="J1274" s="9">
        <f>IF(Source!BC854&lt;&gt; 0, Source!BC854, 1)</f>
        <v>1</v>
      </c>
      <c r="K1274" s="21">
        <f>Source!P854</f>
        <v>1.31</v>
      </c>
      <c r="L1274" s="21"/>
    </row>
    <row r="1275" spans="1:22" ht="14.25" x14ac:dyDescent="0.2">
      <c r="A1275" s="18"/>
      <c r="B1275" s="18"/>
      <c r="C1275" s="18"/>
      <c r="D1275" s="18" t="s">
        <v>1102</v>
      </c>
      <c r="E1275" s="19" t="s">
        <v>1103</v>
      </c>
      <c r="F1275" s="9">
        <f>Source!AT854</f>
        <v>70</v>
      </c>
      <c r="G1275" s="21"/>
      <c r="H1275" s="20"/>
      <c r="I1275" s="9"/>
      <c r="J1275" s="9"/>
      <c r="K1275" s="21">
        <f>SUM(R1271:R1274)</f>
        <v>382.45</v>
      </c>
      <c r="L1275" s="21"/>
    </row>
    <row r="1276" spans="1:22" ht="14.25" x14ac:dyDescent="0.2">
      <c r="A1276" s="18"/>
      <c r="B1276" s="18"/>
      <c r="C1276" s="18"/>
      <c r="D1276" s="18" t="s">
        <v>1104</v>
      </c>
      <c r="E1276" s="19" t="s">
        <v>1103</v>
      </c>
      <c r="F1276" s="9">
        <f>Source!AU854</f>
        <v>10</v>
      </c>
      <c r="G1276" s="21"/>
      <c r="H1276" s="20"/>
      <c r="I1276" s="9"/>
      <c r="J1276" s="9"/>
      <c r="K1276" s="21">
        <f>SUM(T1271:T1275)</f>
        <v>54.64</v>
      </c>
      <c r="L1276" s="21"/>
    </row>
    <row r="1277" spans="1:22" ht="14.25" x14ac:dyDescent="0.2">
      <c r="A1277" s="18"/>
      <c r="B1277" s="18"/>
      <c r="C1277" s="18"/>
      <c r="D1277" s="18" t="s">
        <v>1105</v>
      </c>
      <c r="E1277" s="19" t="s">
        <v>1106</v>
      </c>
      <c r="F1277" s="9">
        <f>Source!AQ854</f>
        <v>2.64</v>
      </c>
      <c r="G1277" s="21"/>
      <c r="H1277" s="20" t="str">
        <f>Source!DI854</f>
        <v/>
      </c>
      <c r="I1277" s="9">
        <f>Source!AV854</f>
        <v>1</v>
      </c>
      <c r="J1277" s="9"/>
      <c r="K1277" s="21"/>
      <c r="L1277" s="21">
        <f>Source!U854</f>
        <v>1.020624</v>
      </c>
    </row>
    <row r="1278" spans="1:22" ht="15" x14ac:dyDescent="0.25">
      <c r="A1278" s="23"/>
      <c r="B1278" s="23"/>
      <c r="C1278" s="23"/>
      <c r="D1278" s="23"/>
      <c r="E1278" s="23"/>
      <c r="F1278" s="23"/>
      <c r="G1278" s="23"/>
      <c r="H1278" s="23"/>
      <c r="I1278" s="23"/>
      <c r="J1278" s="44">
        <f>K1273+K1274+K1275+K1276</f>
        <v>984.74999999999989</v>
      </c>
      <c r="K1278" s="44"/>
      <c r="L1278" s="24">
        <f>IF(Source!I854&lt;&gt;0, ROUND(J1278/Source!I854, 2), 0)</f>
        <v>2547.21</v>
      </c>
      <c r="P1278" s="22">
        <f>J1278</f>
        <v>984.74999999999989</v>
      </c>
    </row>
    <row r="1279" spans="1:22" ht="71.25" x14ac:dyDescent="0.2">
      <c r="A1279" s="18">
        <v>144</v>
      </c>
      <c r="B1279" s="18">
        <v>144</v>
      </c>
      <c r="C1279" s="18" t="str">
        <f>Source!F856</f>
        <v>1.21-2103-9-7/1</v>
      </c>
      <c r="D1279" s="18" t="str">
        <f>Source!G856</f>
        <v>Техническое обслуживание силовых сетей, проложенных по кирпичным и бетонным основаниям, провод сечением 3х25-35 мм2 (5х25, 5х35, 5х50, 5х95, 5х120)</v>
      </c>
      <c r="E1279" s="19" t="str">
        <f>Source!H856</f>
        <v>100 м</v>
      </c>
      <c r="F1279" s="9">
        <f>Source!I856</f>
        <v>0.39660000000000001</v>
      </c>
      <c r="G1279" s="21"/>
      <c r="H1279" s="20"/>
      <c r="I1279" s="9"/>
      <c r="J1279" s="9"/>
      <c r="K1279" s="21"/>
      <c r="L1279" s="21"/>
      <c r="Q1279">
        <f>ROUND((Source!BZ856/100)*ROUND((Source!AF856*Source!AV856)*Source!I856, 2), 2)</f>
        <v>2166.79</v>
      </c>
      <c r="R1279">
        <f>Source!X856</f>
        <v>2166.79</v>
      </c>
      <c r="S1279">
        <f>ROUND((Source!CA856/100)*ROUND((Source!AF856*Source!AV856)*Source!I856, 2), 2)</f>
        <v>309.54000000000002</v>
      </c>
      <c r="T1279">
        <f>Source!Y856</f>
        <v>309.54000000000002</v>
      </c>
      <c r="U1279">
        <f>ROUND((175/100)*ROUND((Source!AE856*Source!AV856)*Source!I856, 2), 2)</f>
        <v>0</v>
      </c>
      <c r="V1279">
        <f>ROUND((108/100)*ROUND(Source!CS856*Source!I856, 2), 2)</f>
        <v>0</v>
      </c>
    </row>
    <row r="1280" spans="1:22" ht="38.25" x14ac:dyDescent="0.2">
      <c r="D1280" s="28" t="str">
        <f>"Объем: "&amp;Source!I856&amp;"=(303+"&amp;"611+"&amp;"412+"&amp;"186+"&amp;"360+"&amp;"111)*"&amp;"0,2*"&amp;"0,1/"&amp;"100"</f>
        <v>Объем: 0,3966=(303+611+412+186+360+111)*0,2*0,1/100</v>
      </c>
    </row>
    <row r="1281" spans="1:22" ht="14.25" x14ac:dyDescent="0.2">
      <c r="A1281" s="18"/>
      <c r="B1281" s="18"/>
      <c r="C1281" s="18"/>
      <c r="D1281" s="18" t="s">
        <v>1100</v>
      </c>
      <c r="E1281" s="19"/>
      <c r="F1281" s="9"/>
      <c r="G1281" s="21">
        <f>Source!AO856</f>
        <v>7804.89</v>
      </c>
      <c r="H1281" s="20" t="str">
        <f>Source!DG856</f>
        <v/>
      </c>
      <c r="I1281" s="9">
        <f>Source!AV856</f>
        <v>1</v>
      </c>
      <c r="J1281" s="9">
        <f>IF(Source!BA856&lt;&gt; 0, Source!BA856, 1)</f>
        <v>1</v>
      </c>
      <c r="K1281" s="21">
        <f>Source!S856</f>
        <v>3095.42</v>
      </c>
      <c r="L1281" s="21"/>
    </row>
    <row r="1282" spans="1:22" ht="14.25" x14ac:dyDescent="0.2">
      <c r="A1282" s="18"/>
      <c r="B1282" s="18"/>
      <c r="C1282" s="18"/>
      <c r="D1282" s="18" t="s">
        <v>1101</v>
      </c>
      <c r="E1282" s="19"/>
      <c r="F1282" s="9"/>
      <c r="G1282" s="21">
        <f>Source!AL856</f>
        <v>19.13</v>
      </c>
      <c r="H1282" s="20" t="str">
        <f>Source!DD856</f>
        <v/>
      </c>
      <c r="I1282" s="9">
        <f>Source!AW856</f>
        <v>1</v>
      </c>
      <c r="J1282" s="9">
        <f>IF(Source!BC856&lt;&gt; 0, Source!BC856, 1)</f>
        <v>1</v>
      </c>
      <c r="K1282" s="21">
        <f>Source!P856</f>
        <v>7.59</v>
      </c>
      <c r="L1282" s="21"/>
    </row>
    <row r="1283" spans="1:22" ht="14.25" x14ac:dyDescent="0.2">
      <c r="A1283" s="18"/>
      <c r="B1283" s="18"/>
      <c r="C1283" s="18"/>
      <c r="D1283" s="18" t="s">
        <v>1102</v>
      </c>
      <c r="E1283" s="19" t="s">
        <v>1103</v>
      </c>
      <c r="F1283" s="9">
        <f>Source!AT856</f>
        <v>70</v>
      </c>
      <c r="G1283" s="21"/>
      <c r="H1283" s="20"/>
      <c r="I1283" s="9"/>
      <c r="J1283" s="9"/>
      <c r="K1283" s="21">
        <f>SUM(R1279:R1282)</f>
        <v>2166.79</v>
      </c>
      <c r="L1283" s="21"/>
    </row>
    <row r="1284" spans="1:22" ht="14.25" x14ac:dyDescent="0.2">
      <c r="A1284" s="18"/>
      <c r="B1284" s="18"/>
      <c r="C1284" s="18"/>
      <c r="D1284" s="18" t="s">
        <v>1104</v>
      </c>
      <c r="E1284" s="19" t="s">
        <v>1103</v>
      </c>
      <c r="F1284" s="9">
        <f>Source!AU856</f>
        <v>10</v>
      </c>
      <c r="G1284" s="21"/>
      <c r="H1284" s="20"/>
      <c r="I1284" s="9"/>
      <c r="J1284" s="9"/>
      <c r="K1284" s="21">
        <f>SUM(T1279:T1283)</f>
        <v>309.54000000000002</v>
      </c>
      <c r="L1284" s="21"/>
    </row>
    <row r="1285" spans="1:22" ht="14.25" x14ac:dyDescent="0.2">
      <c r="A1285" s="18"/>
      <c r="B1285" s="18"/>
      <c r="C1285" s="18"/>
      <c r="D1285" s="18" t="s">
        <v>1105</v>
      </c>
      <c r="E1285" s="19" t="s">
        <v>1106</v>
      </c>
      <c r="F1285" s="9">
        <f>Source!AQ856</f>
        <v>14.58</v>
      </c>
      <c r="G1285" s="21"/>
      <c r="H1285" s="20" t="str">
        <f>Source!DI856</f>
        <v/>
      </c>
      <c r="I1285" s="9">
        <f>Source!AV856</f>
        <v>1</v>
      </c>
      <c r="J1285" s="9"/>
      <c r="K1285" s="21"/>
      <c r="L1285" s="21">
        <f>Source!U856</f>
        <v>5.7824280000000003</v>
      </c>
    </row>
    <row r="1286" spans="1:22" ht="15" x14ac:dyDescent="0.25">
      <c r="A1286" s="23"/>
      <c r="B1286" s="23"/>
      <c r="C1286" s="23"/>
      <c r="D1286" s="23"/>
      <c r="E1286" s="23"/>
      <c r="F1286" s="23"/>
      <c r="G1286" s="23"/>
      <c r="H1286" s="23"/>
      <c r="I1286" s="23"/>
      <c r="J1286" s="44">
        <f>K1281+K1282+K1283+K1284</f>
        <v>5579.34</v>
      </c>
      <c r="K1286" s="44"/>
      <c r="L1286" s="24">
        <f>IF(Source!I856&lt;&gt;0, ROUND(J1286/Source!I856, 2), 0)</f>
        <v>14067.93</v>
      </c>
      <c r="P1286" s="22">
        <f>J1286</f>
        <v>5579.34</v>
      </c>
    </row>
    <row r="1287" spans="1:22" ht="71.25" x14ac:dyDescent="0.2">
      <c r="A1287" s="18">
        <v>145</v>
      </c>
      <c r="B1287" s="18">
        <v>145</v>
      </c>
      <c r="C1287" s="18" t="str">
        <f>Source!F857</f>
        <v>1.21-2103-9-8/1</v>
      </c>
      <c r="D1287" s="18" t="str">
        <f>Source!G857</f>
        <v>Техническое обслуживание силовых сетей, проложенных по кирпичным и бетонным основаниям, добавлять на каждый следующий провод к поз. 21-2103-9-7</v>
      </c>
      <c r="E1287" s="19" t="str">
        <f>Source!H857</f>
        <v>100 м</v>
      </c>
      <c r="F1287" s="9">
        <f>Source!I857</f>
        <v>0.39660000000000001</v>
      </c>
      <c r="G1287" s="21"/>
      <c r="H1287" s="20"/>
      <c r="I1287" s="9"/>
      <c r="J1287" s="9"/>
      <c r="K1287" s="21"/>
      <c r="L1287" s="21"/>
      <c r="Q1287">
        <f>ROUND((Source!BZ857/100)*ROUND((Source!AF857*Source!AV857)*Source!I857, 2), 2)</f>
        <v>481.51</v>
      </c>
      <c r="R1287">
        <f>Source!X857</f>
        <v>481.51</v>
      </c>
      <c r="S1287">
        <f>ROUND((Source!CA857/100)*ROUND((Source!AF857*Source!AV857)*Source!I857, 2), 2)</f>
        <v>68.790000000000006</v>
      </c>
      <c r="T1287">
        <f>Source!Y857</f>
        <v>68.790000000000006</v>
      </c>
      <c r="U1287">
        <f>ROUND((175/100)*ROUND((Source!AE857*Source!AV857)*Source!I857, 2), 2)</f>
        <v>0</v>
      </c>
      <c r="V1287">
        <f>ROUND((108/100)*ROUND(Source!CS857*Source!I857, 2), 2)</f>
        <v>0</v>
      </c>
    </row>
    <row r="1288" spans="1:22" ht="38.25" x14ac:dyDescent="0.2">
      <c r="D1288" s="28" t="str">
        <f>"Объем: "&amp;Source!I857&amp;"=(303+"&amp;"611+"&amp;"412+"&amp;"186+"&amp;"360+"&amp;"111)*"&amp;"0,2*"&amp;"0,1/"&amp;"100"</f>
        <v>Объем: 0,3966=(303+611+412+186+360+111)*0,2*0,1/100</v>
      </c>
    </row>
    <row r="1289" spans="1:22" ht="14.25" x14ac:dyDescent="0.2">
      <c r="A1289" s="18"/>
      <c r="B1289" s="18"/>
      <c r="C1289" s="18"/>
      <c r="D1289" s="18" t="s">
        <v>1100</v>
      </c>
      <c r="E1289" s="19"/>
      <c r="F1289" s="9"/>
      <c r="G1289" s="21">
        <f>Source!AO857</f>
        <v>1734.42</v>
      </c>
      <c r="H1289" s="20" t="str">
        <f>Source!DG857</f>
        <v/>
      </c>
      <c r="I1289" s="9">
        <f>Source!AV857</f>
        <v>1</v>
      </c>
      <c r="J1289" s="9">
        <f>IF(Source!BA857&lt;&gt; 0, Source!BA857, 1)</f>
        <v>1</v>
      </c>
      <c r="K1289" s="21">
        <f>Source!S857</f>
        <v>687.87</v>
      </c>
      <c r="L1289" s="21"/>
    </row>
    <row r="1290" spans="1:22" ht="14.25" x14ac:dyDescent="0.2">
      <c r="A1290" s="18"/>
      <c r="B1290" s="18"/>
      <c r="C1290" s="18"/>
      <c r="D1290" s="18" t="s">
        <v>1101</v>
      </c>
      <c r="E1290" s="19"/>
      <c r="F1290" s="9"/>
      <c r="G1290" s="21">
        <f>Source!AL857</f>
        <v>4.13</v>
      </c>
      <c r="H1290" s="20" t="str">
        <f>Source!DD857</f>
        <v/>
      </c>
      <c r="I1290" s="9">
        <f>Source!AW857</f>
        <v>1</v>
      </c>
      <c r="J1290" s="9">
        <f>IF(Source!BC857&lt;&gt; 0, Source!BC857, 1)</f>
        <v>1</v>
      </c>
      <c r="K1290" s="21">
        <f>Source!P857</f>
        <v>1.64</v>
      </c>
      <c r="L1290" s="21"/>
    </row>
    <row r="1291" spans="1:22" ht="14.25" x14ac:dyDescent="0.2">
      <c r="A1291" s="18"/>
      <c r="B1291" s="18"/>
      <c r="C1291" s="18"/>
      <c r="D1291" s="18" t="s">
        <v>1102</v>
      </c>
      <c r="E1291" s="19" t="s">
        <v>1103</v>
      </c>
      <c r="F1291" s="9">
        <f>Source!AT857</f>
        <v>70</v>
      </c>
      <c r="G1291" s="21"/>
      <c r="H1291" s="20"/>
      <c r="I1291" s="9"/>
      <c r="J1291" s="9"/>
      <c r="K1291" s="21">
        <f>SUM(R1287:R1290)</f>
        <v>481.51</v>
      </c>
      <c r="L1291" s="21"/>
    </row>
    <row r="1292" spans="1:22" ht="14.25" x14ac:dyDescent="0.2">
      <c r="A1292" s="18"/>
      <c r="B1292" s="18"/>
      <c r="C1292" s="18"/>
      <c r="D1292" s="18" t="s">
        <v>1104</v>
      </c>
      <c r="E1292" s="19" t="s">
        <v>1103</v>
      </c>
      <c r="F1292" s="9">
        <f>Source!AU857</f>
        <v>10</v>
      </c>
      <c r="G1292" s="21"/>
      <c r="H1292" s="20"/>
      <c r="I1292" s="9"/>
      <c r="J1292" s="9"/>
      <c r="K1292" s="21">
        <f>SUM(T1287:T1291)</f>
        <v>68.790000000000006</v>
      </c>
      <c r="L1292" s="21"/>
    </row>
    <row r="1293" spans="1:22" ht="14.25" x14ac:dyDescent="0.2">
      <c r="A1293" s="18"/>
      <c r="B1293" s="18"/>
      <c r="C1293" s="18"/>
      <c r="D1293" s="18" t="s">
        <v>1105</v>
      </c>
      <c r="E1293" s="19" t="s">
        <v>1106</v>
      </c>
      <c r="F1293" s="9">
        <f>Source!AQ857</f>
        <v>3.24</v>
      </c>
      <c r="G1293" s="21"/>
      <c r="H1293" s="20" t="str">
        <f>Source!DI857</f>
        <v/>
      </c>
      <c r="I1293" s="9">
        <f>Source!AV857</f>
        <v>1</v>
      </c>
      <c r="J1293" s="9"/>
      <c r="K1293" s="21"/>
      <c r="L1293" s="21">
        <f>Source!U857</f>
        <v>1.2849840000000001</v>
      </c>
    </row>
    <row r="1294" spans="1:22" ht="15" x14ac:dyDescent="0.25">
      <c r="A1294" s="23"/>
      <c r="B1294" s="23"/>
      <c r="C1294" s="23"/>
      <c r="D1294" s="23"/>
      <c r="E1294" s="23"/>
      <c r="F1294" s="23"/>
      <c r="G1294" s="23"/>
      <c r="H1294" s="23"/>
      <c r="I1294" s="23"/>
      <c r="J1294" s="44">
        <f>K1289+K1290+K1291+K1292</f>
        <v>1239.81</v>
      </c>
      <c r="K1294" s="44"/>
      <c r="L1294" s="24">
        <f>IF(Source!I857&lt;&gt;0, ROUND(J1294/Source!I857, 2), 0)</f>
        <v>3126.1</v>
      </c>
      <c r="P1294" s="22">
        <f>J1294</f>
        <v>1239.81</v>
      </c>
    </row>
    <row r="1296" spans="1:22" ht="15" x14ac:dyDescent="0.25">
      <c r="A1296" s="46" t="str">
        <f>CONCATENATE("Итого по подразделу: ",IF(Source!G860&lt;&gt;"Новый подраздел", Source!G860, ""))</f>
        <v>Итого по подразделу: Электроснабжение</v>
      </c>
      <c r="B1296" s="46"/>
      <c r="C1296" s="46"/>
      <c r="D1296" s="46"/>
      <c r="E1296" s="46"/>
      <c r="F1296" s="46"/>
      <c r="G1296" s="46"/>
      <c r="H1296" s="46"/>
      <c r="I1296" s="46"/>
      <c r="J1296" s="45">
        <f>SUM(P831:P1295)</f>
        <v>1299055.97</v>
      </c>
      <c r="K1296" s="59"/>
      <c r="L1296" s="26"/>
    </row>
    <row r="1299" spans="1:22" ht="16.5" x14ac:dyDescent="0.25">
      <c r="A1299" s="48" t="str">
        <f>CONCATENATE("Подраздел: ",IF(Source!G890&lt;&gt;"Новый подраздел", Source!G890, ""))</f>
        <v>Подраздел: Система молниезащиты и заземления</v>
      </c>
      <c r="B1299" s="48"/>
      <c r="C1299" s="48"/>
      <c r="D1299" s="48"/>
      <c r="E1299" s="48"/>
      <c r="F1299" s="48"/>
      <c r="G1299" s="48"/>
      <c r="H1299" s="48"/>
      <c r="I1299" s="48"/>
      <c r="J1299" s="48"/>
      <c r="K1299" s="48"/>
      <c r="L1299" s="48"/>
    </row>
    <row r="1301" spans="1:22" ht="15" x14ac:dyDescent="0.25">
      <c r="A1301" s="46" t="str">
        <f>CONCATENATE("Итого по подразделу: ",IF(Source!G897&lt;&gt;"Новый подраздел", Source!G897, ""))</f>
        <v>Итого по подразделу: Система молниезащиты и заземления</v>
      </c>
      <c r="B1301" s="46"/>
      <c r="C1301" s="46"/>
      <c r="D1301" s="46"/>
      <c r="E1301" s="46"/>
      <c r="F1301" s="46"/>
      <c r="G1301" s="46"/>
      <c r="H1301" s="46"/>
      <c r="I1301" s="46"/>
      <c r="J1301" s="45">
        <f>SUM(P1299:P1300)</f>
        <v>0</v>
      </c>
      <c r="K1301" s="59"/>
      <c r="L1301" s="26"/>
    </row>
    <row r="1304" spans="1:22" ht="15" x14ac:dyDescent="0.25">
      <c r="A1304" s="46" t="str">
        <f>CONCATENATE("Итого по разделу: ",IF(Source!G927&lt;&gt;"Новый раздел", Source!G927, ""))</f>
        <v>Итого по разделу: 4. Системы электроснабжения</v>
      </c>
      <c r="B1304" s="46"/>
      <c r="C1304" s="46"/>
      <c r="D1304" s="46"/>
      <c r="E1304" s="46"/>
      <c r="F1304" s="46"/>
      <c r="G1304" s="46"/>
      <c r="H1304" s="46"/>
      <c r="I1304" s="46"/>
      <c r="J1304" s="45">
        <f>SUM(P829:P1303)</f>
        <v>1299055.97</v>
      </c>
      <c r="K1304" s="59"/>
      <c r="L1304" s="26"/>
    </row>
    <row r="1307" spans="1:22" ht="16.5" x14ac:dyDescent="0.25">
      <c r="A1307" s="48" t="str">
        <f>CONCATENATE("Раздел: ",IF(Source!G957&lt;&gt;"Новый раздел", Source!G957, ""))</f>
        <v>Раздел: 5. Автоматизация и диспетчеризация инженерных систем.</v>
      </c>
      <c r="B1307" s="48"/>
      <c r="C1307" s="48"/>
      <c r="D1307" s="48"/>
      <c r="E1307" s="48"/>
      <c r="F1307" s="48"/>
      <c r="G1307" s="48"/>
      <c r="H1307" s="48"/>
      <c r="I1307" s="48"/>
      <c r="J1307" s="48"/>
      <c r="K1307" s="48"/>
      <c r="L1307" s="48"/>
    </row>
    <row r="1308" spans="1:22" ht="143.25" x14ac:dyDescent="0.2">
      <c r="A1308" s="18">
        <v>146</v>
      </c>
      <c r="B1308" s="18">
        <v>146</v>
      </c>
      <c r="C1308" s="18" t="s">
        <v>1122</v>
      </c>
      <c r="D1308" s="18" t="s">
        <v>1123</v>
      </c>
      <c r="E1308" s="19" t="str">
        <f>Source!H961</f>
        <v>шт.</v>
      </c>
      <c r="F1308" s="9">
        <f>Source!I961</f>
        <v>1</v>
      </c>
      <c r="G1308" s="21"/>
      <c r="H1308" s="20"/>
      <c r="I1308" s="9"/>
      <c r="J1308" s="9"/>
      <c r="K1308" s="21"/>
      <c r="L1308" s="21"/>
      <c r="Q1308">
        <f>ROUND((Source!BZ961/100)*ROUND((Source!AF961*Source!AV961)*Source!I961, 2), 2)</f>
        <v>302.52999999999997</v>
      </c>
      <c r="R1308">
        <f>Source!X961</f>
        <v>302.52999999999997</v>
      </c>
      <c r="S1308">
        <f>ROUND((Source!CA961/100)*ROUND((Source!AF961*Source!AV961)*Source!I961, 2), 2)</f>
        <v>43.22</v>
      </c>
      <c r="T1308">
        <f>Source!Y961</f>
        <v>43.22</v>
      </c>
      <c r="U1308">
        <f>ROUND((175/100)*ROUND((Source!AE961*Source!AV961)*Source!I961, 2), 2)</f>
        <v>50.61</v>
      </c>
      <c r="V1308">
        <f>ROUND((108/100)*ROUND(Source!CS961*Source!I961, 2), 2)</f>
        <v>31.23</v>
      </c>
    </row>
    <row r="1309" spans="1:22" ht="14.25" x14ac:dyDescent="0.2">
      <c r="A1309" s="18"/>
      <c r="B1309" s="18"/>
      <c r="C1309" s="18"/>
      <c r="D1309" s="18" t="s">
        <v>1100</v>
      </c>
      <c r="E1309" s="19"/>
      <c r="F1309" s="9"/>
      <c r="G1309" s="21">
        <f>Source!AO961</f>
        <v>617.4</v>
      </c>
      <c r="H1309" s="20" t="str">
        <f>Source!DG961</f>
        <v>)*0,70</v>
      </c>
      <c r="I1309" s="9">
        <f>Source!AV961</f>
        <v>1</v>
      </c>
      <c r="J1309" s="9">
        <f>IF(Source!BA961&lt;&gt; 0, Source!BA961, 1)</f>
        <v>1</v>
      </c>
      <c r="K1309" s="21">
        <f>Source!S961</f>
        <v>432.18</v>
      </c>
      <c r="L1309" s="21"/>
    </row>
    <row r="1310" spans="1:22" ht="14.25" x14ac:dyDescent="0.2">
      <c r="A1310" s="18"/>
      <c r="B1310" s="18"/>
      <c r="C1310" s="18"/>
      <c r="D1310" s="18" t="s">
        <v>1107</v>
      </c>
      <c r="E1310" s="19"/>
      <c r="F1310" s="9"/>
      <c r="G1310" s="21">
        <f>Source!AM961</f>
        <v>65.150000000000006</v>
      </c>
      <c r="H1310" s="20" t="str">
        <f>Source!DE961</f>
        <v>)*0,70</v>
      </c>
      <c r="I1310" s="9">
        <f>Source!AV961</f>
        <v>1</v>
      </c>
      <c r="J1310" s="9">
        <f>IF(Source!BB961&lt;&gt; 0, Source!BB961, 1)</f>
        <v>1</v>
      </c>
      <c r="K1310" s="21">
        <f>Source!Q961</f>
        <v>45.61</v>
      </c>
      <c r="L1310" s="21"/>
    </row>
    <row r="1311" spans="1:22" ht="14.25" x14ac:dyDescent="0.2">
      <c r="A1311" s="18"/>
      <c r="B1311" s="18"/>
      <c r="C1311" s="18"/>
      <c r="D1311" s="18" t="s">
        <v>1108</v>
      </c>
      <c r="E1311" s="19"/>
      <c r="F1311" s="9"/>
      <c r="G1311" s="21">
        <f>Source!AN961</f>
        <v>41.31</v>
      </c>
      <c r="H1311" s="20" t="str">
        <f>Source!DF961</f>
        <v>)*0,70</v>
      </c>
      <c r="I1311" s="9">
        <f>Source!AV961</f>
        <v>1</v>
      </c>
      <c r="J1311" s="9">
        <f>IF(Source!BS961&lt;&gt; 0, Source!BS961, 1)</f>
        <v>1</v>
      </c>
      <c r="K1311" s="25">
        <f>Source!R961</f>
        <v>28.92</v>
      </c>
      <c r="L1311" s="21"/>
    </row>
    <row r="1312" spans="1:22" ht="14.25" x14ac:dyDescent="0.2">
      <c r="A1312" s="18"/>
      <c r="B1312" s="18"/>
      <c r="C1312" s="18"/>
      <c r="D1312" s="18" t="s">
        <v>1101</v>
      </c>
      <c r="E1312" s="19"/>
      <c r="F1312" s="9"/>
      <c r="G1312" s="21">
        <f>Source!AL961</f>
        <v>0.47</v>
      </c>
      <c r="H1312" s="20" t="str">
        <f>Source!DD961</f>
        <v>)*1</v>
      </c>
      <c r="I1312" s="9">
        <f>Source!AW961</f>
        <v>1</v>
      </c>
      <c r="J1312" s="9">
        <f>IF(Source!BC961&lt;&gt; 0, Source!BC961, 1)</f>
        <v>1</v>
      </c>
      <c r="K1312" s="21">
        <f>Source!P961</f>
        <v>0.47</v>
      </c>
      <c r="L1312" s="21"/>
    </row>
    <row r="1313" spans="1:22" ht="14.25" x14ac:dyDescent="0.2">
      <c r="A1313" s="18"/>
      <c r="B1313" s="18"/>
      <c r="C1313" s="18"/>
      <c r="D1313" s="18" t="s">
        <v>1102</v>
      </c>
      <c r="E1313" s="19" t="s">
        <v>1103</v>
      </c>
      <c r="F1313" s="9">
        <f>Source!AT961</f>
        <v>70</v>
      </c>
      <c r="G1313" s="21"/>
      <c r="H1313" s="20"/>
      <c r="I1313" s="9"/>
      <c r="J1313" s="9"/>
      <c r="K1313" s="21">
        <f>SUM(R1308:R1312)</f>
        <v>302.52999999999997</v>
      </c>
      <c r="L1313" s="21"/>
    </row>
    <row r="1314" spans="1:22" ht="14.25" x14ac:dyDescent="0.2">
      <c r="A1314" s="18"/>
      <c r="B1314" s="18"/>
      <c r="C1314" s="18"/>
      <c r="D1314" s="18" t="s">
        <v>1104</v>
      </c>
      <c r="E1314" s="19" t="s">
        <v>1103</v>
      </c>
      <c r="F1314" s="9">
        <f>Source!AU961</f>
        <v>10</v>
      </c>
      <c r="G1314" s="21"/>
      <c r="H1314" s="20"/>
      <c r="I1314" s="9"/>
      <c r="J1314" s="9"/>
      <c r="K1314" s="21">
        <f>SUM(T1308:T1313)</f>
        <v>43.22</v>
      </c>
      <c r="L1314" s="21"/>
    </row>
    <row r="1315" spans="1:22" ht="14.25" x14ac:dyDescent="0.2">
      <c r="A1315" s="18"/>
      <c r="B1315" s="18"/>
      <c r="C1315" s="18"/>
      <c r="D1315" s="18" t="s">
        <v>1109</v>
      </c>
      <c r="E1315" s="19" t="s">
        <v>1103</v>
      </c>
      <c r="F1315" s="9">
        <f>108</f>
        <v>108</v>
      </c>
      <c r="G1315" s="21"/>
      <c r="H1315" s="20"/>
      <c r="I1315" s="9"/>
      <c r="J1315" s="9"/>
      <c r="K1315" s="21">
        <f>SUM(V1308:V1314)</f>
        <v>31.23</v>
      </c>
      <c r="L1315" s="21"/>
    </row>
    <row r="1316" spans="1:22" ht="14.25" x14ac:dyDescent="0.2">
      <c r="A1316" s="18"/>
      <c r="B1316" s="18"/>
      <c r="C1316" s="18"/>
      <c r="D1316" s="18" t="s">
        <v>1105</v>
      </c>
      <c r="E1316" s="19" t="s">
        <v>1106</v>
      </c>
      <c r="F1316" s="9">
        <f>Source!AQ961</f>
        <v>0.87</v>
      </c>
      <c r="G1316" s="21"/>
      <c r="H1316" s="20" t="str">
        <f>Source!DI961</f>
        <v>)*0,70</v>
      </c>
      <c r="I1316" s="9">
        <f>Source!AV961</f>
        <v>1</v>
      </c>
      <c r="J1316" s="9"/>
      <c r="K1316" s="21"/>
      <c r="L1316" s="21">
        <f>Source!U961</f>
        <v>0.60899999999999999</v>
      </c>
    </row>
    <row r="1317" spans="1:22" ht="15" x14ac:dyDescent="0.25">
      <c r="A1317" s="23"/>
      <c r="B1317" s="23"/>
      <c r="C1317" s="23"/>
      <c r="D1317" s="23"/>
      <c r="E1317" s="23"/>
      <c r="F1317" s="23"/>
      <c r="G1317" s="23"/>
      <c r="H1317" s="23"/>
      <c r="I1317" s="23"/>
      <c r="J1317" s="44">
        <f>K1309+K1310+K1312+K1313+K1314+K1315</f>
        <v>855.24</v>
      </c>
      <c r="K1317" s="44"/>
      <c r="L1317" s="24">
        <f>IF(Source!I961&lt;&gt;0, ROUND(J1317/Source!I961, 2), 0)</f>
        <v>855.24</v>
      </c>
      <c r="P1317" s="22">
        <f>J1317</f>
        <v>855.24</v>
      </c>
    </row>
    <row r="1318" spans="1:22" ht="57" x14ac:dyDescent="0.2">
      <c r="A1318" s="18">
        <v>147</v>
      </c>
      <c r="B1318" s="18">
        <v>147</v>
      </c>
      <c r="C1318" s="18" t="str">
        <f>Source!F963</f>
        <v>1.23-2103-9-7/1</v>
      </c>
      <c r="D1318" s="18" t="str">
        <f>Source!G963</f>
        <v>Техническое обслуживание приборов для измерения температуры, регулятор температуры дилатометрический, тип ТУДЭ</v>
      </c>
      <c r="E1318" s="19" t="str">
        <f>Source!H963</f>
        <v>шт.</v>
      </c>
      <c r="F1318" s="9">
        <f>Source!I963</f>
        <v>1</v>
      </c>
      <c r="G1318" s="21"/>
      <c r="H1318" s="20"/>
      <c r="I1318" s="9"/>
      <c r="J1318" s="9"/>
      <c r="K1318" s="21"/>
      <c r="L1318" s="21"/>
      <c r="Q1318">
        <f>ROUND((Source!BZ963/100)*ROUND((Source!AF963*Source!AV963)*Source!I963, 2), 2)</f>
        <v>691.59</v>
      </c>
      <c r="R1318">
        <f>Source!X963</f>
        <v>691.59</v>
      </c>
      <c r="S1318">
        <f>ROUND((Source!CA963/100)*ROUND((Source!AF963*Source!AV963)*Source!I963, 2), 2)</f>
        <v>98.8</v>
      </c>
      <c r="T1318">
        <f>Source!Y963</f>
        <v>98.8</v>
      </c>
      <c r="U1318">
        <f>ROUND((175/100)*ROUND((Source!AE963*Source!AV963)*Source!I963, 2), 2)</f>
        <v>0</v>
      </c>
      <c r="V1318">
        <f>ROUND((108/100)*ROUND(Source!CS963*Source!I963, 2), 2)</f>
        <v>0</v>
      </c>
    </row>
    <row r="1319" spans="1:22" ht="14.25" x14ac:dyDescent="0.2">
      <c r="A1319" s="18"/>
      <c r="B1319" s="18"/>
      <c r="C1319" s="18"/>
      <c r="D1319" s="18" t="s">
        <v>1100</v>
      </c>
      <c r="E1319" s="19"/>
      <c r="F1319" s="9"/>
      <c r="G1319" s="21">
        <f>Source!AO963</f>
        <v>493.99</v>
      </c>
      <c r="H1319" s="20" t="str">
        <f>Source!DG963</f>
        <v>)*2</v>
      </c>
      <c r="I1319" s="9">
        <f>Source!AV963</f>
        <v>1</v>
      </c>
      <c r="J1319" s="9">
        <f>IF(Source!BA963&lt;&gt; 0, Source!BA963, 1)</f>
        <v>1</v>
      </c>
      <c r="K1319" s="21">
        <f>Source!S963</f>
        <v>987.98</v>
      </c>
      <c r="L1319" s="21"/>
    </row>
    <row r="1320" spans="1:22" ht="14.25" x14ac:dyDescent="0.2">
      <c r="A1320" s="18"/>
      <c r="B1320" s="18"/>
      <c r="C1320" s="18"/>
      <c r="D1320" s="18" t="s">
        <v>1102</v>
      </c>
      <c r="E1320" s="19" t="s">
        <v>1103</v>
      </c>
      <c r="F1320" s="9">
        <f>Source!AT963</f>
        <v>70</v>
      </c>
      <c r="G1320" s="21"/>
      <c r="H1320" s="20"/>
      <c r="I1320" s="9"/>
      <c r="J1320" s="9"/>
      <c r="K1320" s="21">
        <f>SUM(R1318:R1319)</f>
        <v>691.59</v>
      </c>
      <c r="L1320" s="21"/>
    </row>
    <row r="1321" spans="1:22" ht="14.25" x14ac:dyDescent="0.2">
      <c r="A1321" s="18"/>
      <c r="B1321" s="18"/>
      <c r="C1321" s="18"/>
      <c r="D1321" s="18" t="s">
        <v>1104</v>
      </c>
      <c r="E1321" s="19" t="s">
        <v>1103</v>
      </c>
      <c r="F1321" s="9">
        <f>Source!AU963</f>
        <v>10</v>
      </c>
      <c r="G1321" s="21"/>
      <c r="H1321" s="20"/>
      <c r="I1321" s="9"/>
      <c r="J1321" s="9"/>
      <c r="K1321" s="21">
        <f>SUM(T1318:T1320)</f>
        <v>98.8</v>
      </c>
      <c r="L1321" s="21"/>
    </row>
    <row r="1322" spans="1:22" ht="14.25" x14ac:dyDescent="0.2">
      <c r="A1322" s="18"/>
      <c r="B1322" s="18"/>
      <c r="C1322" s="18"/>
      <c r="D1322" s="18" t="s">
        <v>1105</v>
      </c>
      <c r="E1322" s="19" t="s">
        <v>1106</v>
      </c>
      <c r="F1322" s="9">
        <f>Source!AQ963</f>
        <v>0.8</v>
      </c>
      <c r="G1322" s="21"/>
      <c r="H1322" s="20" t="str">
        <f>Source!DI963</f>
        <v>)*2</v>
      </c>
      <c r="I1322" s="9">
        <f>Source!AV963</f>
        <v>1</v>
      </c>
      <c r="J1322" s="9"/>
      <c r="K1322" s="21"/>
      <c r="L1322" s="21">
        <f>Source!U963</f>
        <v>1.6</v>
      </c>
    </row>
    <row r="1323" spans="1:22" ht="15" x14ac:dyDescent="0.25">
      <c r="A1323" s="23"/>
      <c r="B1323" s="23"/>
      <c r="C1323" s="23"/>
      <c r="D1323" s="23"/>
      <c r="E1323" s="23"/>
      <c r="F1323" s="23"/>
      <c r="G1323" s="23"/>
      <c r="H1323" s="23"/>
      <c r="I1323" s="23"/>
      <c r="J1323" s="44">
        <f>K1319+K1320+K1321</f>
        <v>1778.3700000000001</v>
      </c>
      <c r="K1323" s="44"/>
      <c r="L1323" s="24">
        <f>IF(Source!I963&lt;&gt;0, ROUND(J1323/Source!I963, 2), 0)</f>
        <v>1778.37</v>
      </c>
      <c r="P1323" s="22">
        <f>J1323</f>
        <v>1778.3700000000001</v>
      </c>
    </row>
    <row r="1324" spans="1:22" ht="28.5" x14ac:dyDescent="0.2">
      <c r="A1324" s="18">
        <v>148</v>
      </c>
      <c r="B1324" s="18">
        <v>148</v>
      </c>
      <c r="C1324" s="18" t="str">
        <f>Source!F964</f>
        <v>1.23-2303-12-1/1</v>
      </c>
      <c r="D1324" s="18" t="str">
        <f>Source!G964</f>
        <v>Техническое обслуживание контроллеров логических операций</v>
      </c>
      <c r="E1324" s="19" t="str">
        <f>Source!H964</f>
        <v>шт.</v>
      </c>
      <c r="F1324" s="9">
        <f>Source!I964</f>
        <v>14</v>
      </c>
      <c r="G1324" s="21"/>
      <c r="H1324" s="20"/>
      <c r="I1324" s="9"/>
      <c r="J1324" s="9"/>
      <c r="K1324" s="21"/>
      <c r="L1324" s="21"/>
      <c r="Q1324">
        <f>ROUND((Source!BZ964/100)*ROUND((Source!AF964*Source!AV964)*Source!I964, 2), 2)</f>
        <v>51742.82</v>
      </c>
      <c r="R1324">
        <f>Source!X964</f>
        <v>51742.82</v>
      </c>
      <c r="S1324">
        <f>ROUND((Source!CA964/100)*ROUND((Source!AF964*Source!AV964)*Source!I964, 2), 2)</f>
        <v>7391.83</v>
      </c>
      <c r="T1324">
        <f>Source!Y964</f>
        <v>7391.83</v>
      </c>
      <c r="U1324">
        <f>ROUND((175/100)*ROUND((Source!AE964*Source!AV964)*Source!I964, 2), 2)</f>
        <v>0</v>
      </c>
      <c r="V1324">
        <f>ROUND((108/100)*ROUND(Source!CS964*Source!I964, 2), 2)</f>
        <v>0</v>
      </c>
    </row>
    <row r="1325" spans="1:22" ht="14.25" x14ac:dyDescent="0.2">
      <c r="A1325" s="18"/>
      <c r="B1325" s="18"/>
      <c r="C1325" s="18"/>
      <c r="D1325" s="18" t="s">
        <v>1100</v>
      </c>
      <c r="E1325" s="19"/>
      <c r="F1325" s="9"/>
      <c r="G1325" s="21">
        <f>Source!AO964</f>
        <v>2639.94</v>
      </c>
      <c r="H1325" s="20" t="str">
        <f>Source!DG964</f>
        <v>)*2</v>
      </c>
      <c r="I1325" s="9">
        <f>Source!AV964</f>
        <v>1</v>
      </c>
      <c r="J1325" s="9">
        <f>IF(Source!BA964&lt;&gt; 0, Source!BA964, 1)</f>
        <v>1</v>
      </c>
      <c r="K1325" s="21">
        <f>Source!S964</f>
        <v>73918.320000000007</v>
      </c>
      <c r="L1325" s="21"/>
    </row>
    <row r="1326" spans="1:22" ht="14.25" x14ac:dyDescent="0.2">
      <c r="A1326" s="18"/>
      <c r="B1326" s="18"/>
      <c r="C1326" s="18"/>
      <c r="D1326" s="18" t="s">
        <v>1101</v>
      </c>
      <c r="E1326" s="19"/>
      <c r="F1326" s="9"/>
      <c r="G1326" s="21">
        <f>Source!AL964</f>
        <v>4.97</v>
      </c>
      <c r="H1326" s="20" t="str">
        <f>Source!DD964</f>
        <v>)*3</v>
      </c>
      <c r="I1326" s="9">
        <f>Source!AW964</f>
        <v>1</v>
      </c>
      <c r="J1326" s="9">
        <f>IF(Source!BC964&lt;&gt; 0, Source!BC964, 1)</f>
        <v>1</v>
      </c>
      <c r="K1326" s="21">
        <f>Source!P964</f>
        <v>208.74</v>
      </c>
      <c r="L1326" s="21"/>
    </row>
    <row r="1327" spans="1:22" ht="14.25" x14ac:dyDescent="0.2">
      <c r="A1327" s="18"/>
      <c r="B1327" s="18"/>
      <c r="C1327" s="18"/>
      <c r="D1327" s="18" t="s">
        <v>1102</v>
      </c>
      <c r="E1327" s="19" t="s">
        <v>1103</v>
      </c>
      <c r="F1327" s="9">
        <f>Source!AT964</f>
        <v>70</v>
      </c>
      <c r="G1327" s="21"/>
      <c r="H1327" s="20"/>
      <c r="I1327" s="9"/>
      <c r="J1327" s="9"/>
      <c r="K1327" s="21">
        <f>SUM(R1324:R1326)</f>
        <v>51742.82</v>
      </c>
      <c r="L1327" s="21"/>
    </row>
    <row r="1328" spans="1:22" ht="14.25" x14ac:dyDescent="0.2">
      <c r="A1328" s="18"/>
      <c r="B1328" s="18"/>
      <c r="C1328" s="18"/>
      <c r="D1328" s="18" t="s">
        <v>1104</v>
      </c>
      <c r="E1328" s="19" t="s">
        <v>1103</v>
      </c>
      <c r="F1328" s="9">
        <f>Source!AU964</f>
        <v>10</v>
      </c>
      <c r="G1328" s="21"/>
      <c r="H1328" s="20"/>
      <c r="I1328" s="9"/>
      <c r="J1328" s="9"/>
      <c r="K1328" s="21">
        <f>SUM(T1324:T1327)</f>
        <v>7391.83</v>
      </c>
      <c r="L1328" s="21"/>
    </row>
    <row r="1329" spans="1:22" ht="14.25" x14ac:dyDescent="0.2">
      <c r="A1329" s="18"/>
      <c r="B1329" s="18"/>
      <c r="C1329" s="18"/>
      <c r="D1329" s="18" t="s">
        <v>1105</v>
      </c>
      <c r="E1329" s="19" t="s">
        <v>1106</v>
      </c>
      <c r="F1329" s="9">
        <f>Source!AQ964</f>
        <v>3.72</v>
      </c>
      <c r="G1329" s="21"/>
      <c r="H1329" s="20" t="str">
        <f>Source!DI964</f>
        <v>)*2</v>
      </c>
      <c r="I1329" s="9">
        <f>Source!AV964</f>
        <v>1</v>
      </c>
      <c r="J1329" s="9"/>
      <c r="K1329" s="21"/>
      <c r="L1329" s="21">
        <f>Source!U964</f>
        <v>104.16000000000001</v>
      </c>
    </row>
    <row r="1330" spans="1:22" ht="15" x14ac:dyDescent="0.25">
      <c r="A1330" s="23"/>
      <c r="B1330" s="23"/>
      <c r="C1330" s="23"/>
      <c r="D1330" s="23"/>
      <c r="E1330" s="23"/>
      <c r="F1330" s="23"/>
      <c r="G1330" s="23"/>
      <c r="H1330" s="23"/>
      <c r="I1330" s="23"/>
      <c r="J1330" s="44">
        <f>K1325+K1326+K1327+K1328</f>
        <v>133261.71</v>
      </c>
      <c r="K1330" s="44"/>
      <c r="L1330" s="24">
        <f>IF(Source!I964&lt;&gt;0, ROUND(J1330/Source!I964, 2), 0)</f>
        <v>9518.69</v>
      </c>
      <c r="P1330" s="22">
        <f>J1330</f>
        <v>133261.71</v>
      </c>
    </row>
    <row r="1331" spans="1:22" ht="28.5" x14ac:dyDescent="0.2">
      <c r="A1331" s="18">
        <v>149</v>
      </c>
      <c r="B1331" s="18">
        <v>149</v>
      </c>
      <c r="C1331" s="18" t="str">
        <f>Source!F965</f>
        <v>1.22-2203-78-1/1</v>
      </c>
      <c r="D1331" s="18" t="str">
        <f>Source!G965</f>
        <v>Техническое обслуживание блока питания типа БРП-12-01Л</v>
      </c>
      <c r="E1331" s="19" t="str">
        <f>Source!H965</f>
        <v>шт.</v>
      </c>
      <c r="F1331" s="9">
        <f>Source!I965</f>
        <v>2</v>
      </c>
      <c r="G1331" s="21"/>
      <c r="H1331" s="20"/>
      <c r="I1331" s="9"/>
      <c r="J1331" s="9"/>
      <c r="K1331" s="21"/>
      <c r="L1331" s="21"/>
      <c r="Q1331">
        <f>ROUND((Source!BZ965/100)*ROUND((Source!AF965*Source!AV965)*Source!I965, 2), 2)</f>
        <v>668.89</v>
      </c>
      <c r="R1331">
        <f>Source!X965</f>
        <v>668.89</v>
      </c>
      <c r="S1331">
        <f>ROUND((Source!CA965/100)*ROUND((Source!AF965*Source!AV965)*Source!I965, 2), 2)</f>
        <v>95.56</v>
      </c>
      <c r="T1331">
        <f>Source!Y965</f>
        <v>95.56</v>
      </c>
      <c r="U1331">
        <f>ROUND((175/100)*ROUND((Source!AE965*Source!AV965)*Source!I965, 2), 2)</f>
        <v>0</v>
      </c>
      <c r="V1331">
        <f>ROUND((108/100)*ROUND(Source!CS965*Source!I965, 2), 2)</f>
        <v>0</v>
      </c>
    </row>
    <row r="1332" spans="1:22" x14ac:dyDescent="0.2">
      <c r="D1332" s="28" t="str">
        <f>"Объем: "&amp;Source!I965&amp;"=1+"&amp;"1"</f>
        <v>Объем: 2=1+1</v>
      </c>
    </row>
    <row r="1333" spans="1:22" ht="14.25" x14ac:dyDescent="0.2">
      <c r="A1333" s="18"/>
      <c r="B1333" s="18"/>
      <c r="C1333" s="18"/>
      <c r="D1333" s="18" t="s">
        <v>1100</v>
      </c>
      <c r="E1333" s="19"/>
      <c r="F1333" s="9"/>
      <c r="G1333" s="21">
        <f>Source!AO965</f>
        <v>477.78</v>
      </c>
      <c r="H1333" s="20" t="str">
        <f>Source!DG965</f>
        <v/>
      </c>
      <c r="I1333" s="9">
        <f>Source!AV965</f>
        <v>1</v>
      </c>
      <c r="J1333" s="9">
        <f>IF(Source!BA965&lt;&gt; 0, Source!BA965, 1)</f>
        <v>1</v>
      </c>
      <c r="K1333" s="21">
        <f>Source!S965</f>
        <v>955.56</v>
      </c>
      <c r="L1333" s="21"/>
    </row>
    <row r="1334" spans="1:22" ht="14.25" x14ac:dyDescent="0.2">
      <c r="A1334" s="18"/>
      <c r="B1334" s="18"/>
      <c r="C1334" s="18"/>
      <c r="D1334" s="18" t="s">
        <v>1101</v>
      </c>
      <c r="E1334" s="19"/>
      <c r="F1334" s="9"/>
      <c r="G1334" s="21">
        <f>Source!AL965</f>
        <v>4.09</v>
      </c>
      <c r="H1334" s="20" t="str">
        <f>Source!DD965</f>
        <v/>
      </c>
      <c r="I1334" s="9">
        <f>Source!AW965</f>
        <v>1</v>
      </c>
      <c r="J1334" s="9">
        <f>IF(Source!BC965&lt;&gt; 0, Source!BC965, 1)</f>
        <v>1</v>
      </c>
      <c r="K1334" s="21">
        <f>Source!P965</f>
        <v>8.18</v>
      </c>
      <c r="L1334" s="21"/>
    </row>
    <row r="1335" spans="1:22" ht="14.25" x14ac:dyDescent="0.2">
      <c r="A1335" s="18"/>
      <c r="B1335" s="18"/>
      <c r="C1335" s="18"/>
      <c r="D1335" s="18" t="s">
        <v>1102</v>
      </c>
      <c r="E1335" s="19" t="s">
        <v>1103</v>
      </c>
      <c r="F1335" s="9">
        <f>Source!AT965</f>
        <v>70</v>
      </c>
      <c r="G1335" s="21"/>
      <c r="H1335" s="20"/>
      <c r="I1335" s="9"/>
      <c r="J1335" s="9"/>
      <c r="K1335" s="21">
        <f>SUM(R1331:R1334)</f>
        <v>668.89</v>
      </c>
      <c r="L1335" s="21"/>
    </row>
    <row r="1336" spans="1:22" ht="14.25" x14ac:dyDescent="0.2">
      <c r="A1336" s="18"/>
      <c r="B1336" s="18"/>
      <c r="C1336" s="18"/>
      <c r="D1336" s="18" t="s">
        <v>1104</v>
      </c>
      <c r="E1336" s="19" t="s">
        <v>1103</v>
      </c>
      <c r="F1336" s="9">
        <f>Source!AU965</f>
        <v>10</v>
      </c>
      <c r="G1336" s="21"/>
      <c r="H1336" s="20"/>
      <c r="I1336" s="9"/>
      <c r="J1336" s="9"/>
      <c r="K1336" s="21">
        <f>SUM(T1331:T1335)</f>
        <v>95.56</v>
      </c>
      <c r="L1336" s="21"/>
    </row>
    <row r="1337" spans="1:22" ht="14.25" x14ac:dyDescent="0.2">
      <c r="A1337" s="18"/>
      <c r="B1337" s="18"/>
      <c r="C1337" s="18"/>
      <c r="D1337" s="18" t="s">
        <v>1105</v>
      </c>
      <c r="E1337" s="19" t="s">
        <v>1106</v>
      </c>
      <c r="F1337" s="9">
        <f>Source!AQ965</f>
        <v>0.72</v>
      </c>
      <c r="G1337" s="21"/>
      <c r="H1337" s="20" t="str">
        <f>Source!DI965</f>
        <v/>
      </c>
      <c r="I1337" s="9">
        <f>Source!AV965</f>
        <v>1</v>
      </c>
      <c r="J1337" s="9"/>
      <c r="K1337" s="21"/>
      <c r="L1337" s="21">
        <f>Source!U965</f>
        <v>1.44</v>
      </c>
    </row>
    <row r="1338" spans="1:22" ht="15" x14ac:dyDescent="0.25">
      <c r="A1338" s="23"/>
      <c r="B1338" s="23"/>
      <c r="C1338" s="23"/>
      <c r="D1338" s="23"/>
      <c r="E1338" s="23"/>
      <c r="F1338" s="23"/>
      <c r="G1338" s="23"/>
      <c r="H1338" s="23"/>
      <c r="I1338" s="23"/>
      <c r="J1338" s="44">
        <f>K1333+K1334+K1335+K1336</f>
        <v>1728.1899999999998</v>
      </c>
      <c r="K1338" s="44"/>
      <c r="L1338" s="24">
        <f>IF(Source!I965&lt;&gt;0, ROUND(J1338/Source!I965, 2), 0)</f>
        <v>864.1</v>
      </c>
      <c r="P1338" s="22">
        <f>J1338</f>
        <v>1728.1899999999998</v>
      </c>
    </row>
    <row r="1340" spans="1:22" ht="15" x14ac:dyDescent="0.25">
      <c r="C1340" s="47" t="str">
        <f>Source!G970</f>
        <v>Вентустановки</v>
      </c>
      <c r="D1340" s="47"/>
      <c r="E1340" s="47"/>
      <c r="F1340" s="47"/>
      <c r="G1340" s="47"/>
      <c r="H1340" s="47"/>
      <c r="I1340" s="47"/>
      <c r="J1340" s="47"/>
      <c r="K1340" s="47"/>
    </row>
    <row r="1341" spans="1:22" ht="28.5" x14ac:dyDescent="0.2">
      <c r="A1341" s="18">
        <v>150</v>
      </c>
      <c r="B1341" s="18">
        <v>150</v>
      </c>
      <c r="C1341" s="18" t="str">
        <f>Source!F971</f>
        <v>1.22-2103-2-1/1</v>
      </c>
      <c r="D1341" s="18" t="str">
        <f>Source!G971</f>
        <v>Техническое обслуживание сетевой линии связи</v>
      </c>
      <c r="E1341" s="19" t="str">
        <f>Source!H971</f>
        <v>100 м</v>
      </c>
      <c r="F1341" s="9">
        <f>Source!I971</f>
        <v>7.3</v>
      </c>
      <c r="G1341" s="21"/>
      <c r="H1341" s="20"/>
      <c r="I1341" s="9"/>
      <c r="J1341" s="9"/>
      <c r="K1341" s="21"/>
      <c r="L1341" s="21"/>
      <c r="Q1341">
        <f>ROUND((Source!BZ971/100)*ROUND((Source!AF971*Source!AV971)*Source!I971, 2), 2)</f>
        <v>2538.4499999999998</v>
      </c>
      <c r="R1341">
        <f>Source!X971</f>
        <v>2538.4499999999998</v>
      </c>
      <c r="S1341">
        <f>ROUND((Source!CA971/100)*ROUND((Source!AF971*Source!AV971)*Source!I971, 2), 2)</f>
        <v>362.64</v>
      </c>
      <c r="T1341">
        <f>Source!Y971</f>
        <v>362.64</v>
      </c>
      <c r="U1341">
        <f>ROUND((175/100)*ROUND((Source!AE971*Source!AV971)*Source!I971, 2), 2)</f>
        <v>0</v>
      </c>
      <c r="V1341">
        <f>ROUND((108/100)*ROUND(Source!CS971*Source!I971, 2), 2)</f>
        <v>0</v>
      </c>
    </row>
    <row r="1342" spans="1:22" ht="38.25" x14ac:dyDescent="0.2">
      <c r="D1342" s="28" t="str">
        <f>"Объем: "&amp;Source!I971&amp;"=(1500+"&amp;"1000+"&amp;"500+"&amp;"50+"&amp;"100+"&amp;"100+"&amp;"50+"&amp;"2500+"&amp;"1500)*"&amp;"0,1/"&amp;"100"</f>
        <v>Объем: 7,3=(1500+1000+500+50+100+100+50+2500+1500)*0,1/100</v>
      </c>
    </row>
    <row r="1343" spans="1:22" ht="14.25" x14ac:dyDescent="0.2">
      <c r="A1343" s="18"/>
      <c r="B1343" s="18"/>
      <c r="C1343" s="18"/>
      <c r="D1343" s="18" t="s">
        <v>1100</v>
      </c>
      <c r="E1343" s="19"/>
      <c r="F1343" s="9"/>
      <c r="G1343" s="21">
        <f>Source!AO971</f>
        <v>496.76</v>
      </c>
      <c r="H1343" s="20" t="str">
        <f>Source!DG971</f>
        <v/>
      </c>
      <c r="I1343" s="9">
        <f>Source!AV971</f>
        <v>1</v>
      </c>
      <c r="J1343" s="9">
        <f>IF(Source!BA971&lt;&gt; 0, Source!BA971, 1)</f>
        <v>1</v>
      </c>
      <c r="K1343" s="21">
        <f>Source!S971</f>
        <v>3626.35</v>
      </c>
      <c r="L1343" s="21"/>
    </row>
    <row r="1344" spans="1:22" ht="14.25" x14ac:dyDescent="0.2">
      <c r="A1344" s="18"/>
      <c r="B1344" s="18"/>
      <c r="C1344" s="18"/>
      <c r="D1344" s="18" t="s">
        <v>1102</v>
      </c>
      <c r="E1344" s="19" t="s">
        <v>1103</v>
      </c>
      <c r="F1344" s="9">
        <f>Source!AT971</f>
        <v>70</v>
      </c>
      <c r="G1344" s="21"/>
      <c r="H1344" s="20"/>
      <c r="I1344" s="9"/>
      <c r="J1344" s="9"/>
      <c r="K1344" s="21">
        <f>SUM(R1341:R1343)</f>
        <v>2538.4499999999998</v>
      </c>
      <c r="L1344" s="21"/>
    </row>
    <row r="1345" spans="1:22" ht="14.25" x14ac:dyDescent="0.2">
      <c r="A1345" s="18"/>
      <c r="B1345" s="18"/>
      <c r="C1345" s="18"/>
      <c r="D1345" s="18" t="s">
        <v>1104</v>
      </c>
      <c r="E1345" s="19" t="s">
        <v>1103</v>
      </c>
      <c r="F1345" s="9">
        <f>Source!AU971</f>
        <v>10</v>
      </c>
      <c r="G1345" s="21"/>
      <c r="H1345" s="20"/>
      <c r="I1345" s="9"/>
      <c r="J1345" s="9"/>
      <c r="K1345" s="21">
        <f>SUM(T1341:T1344)</f>
        <v>362.64</v>
      </c>
      <c r="L1345" s="21"/>
    </row>
    <row r="1346" spans="1:22" ht="14.25" x14ac:dyDescent="0.2">
      <c r="A1346" s="18"/>
      <c r="B1346" s="18"/>
      <c r="C1346" s="18"/>
      <c r="D1346" s="18" t="s">
        <v>1105</v>
      </c>
      <c r="E1346" s="19" t="s">
        <v>1106</v>
      </c>
      <c r="F1346" s="9">
        <f>Source!AQ971</f>
        <v>0.7</v>
      </c>
      <c r="G1346" s="21"/>
      <c r="H1346" s="20" t="str">
        <f>Source!DI971</f>
        <v/>
      </c>
      <c r="I1346" s="9">
        <f>Source!AV971</f>
        <v>1</v>
      </c>
      <c r="J1346" s="9"/>
      <c r="K1346" s="21"/>
      <c r="L1346" s="21">
        <f>Source!U971</f>
        <v>5.1099999999999994</v>
      </c>
    </row>
    <row r="1347" spans="1:22" ht="15" x14ac:dyDescent="0.25">
      <c r="A1347" s="23"/>
      <c r="B1347" s="23"/>
      <c r="C1347" s="23"/>
      <c r="D1347" s="23"/>
      <c r="E1347" s="23"/>
      <c r="F1347" s="23"/>
      <c r="G1347" s="23"/>
      <c r="H1347" s="23"/>
      <c r="I1347" s="23"/>
      <c r="J1347" s="44">
        <f>K1343+K1344+K1345</f>
        <v>6527.44</v>
      </c>
      <c r="K1347" s="44"/>
      <c r="L1347" s="24">
        <f>IF(Source!I971&lt;&gt;0, ROUND(J1347/Source!I971, 2), 0)</f>
        <v>894.17</v>
      </c>
      <c r="P1347" s="22">
        <f>J1347</f>
        <v>6527.44</v>
      </c>
    </row>
    <row r="1349" spans="1:22" ht="15" x14ac:dyDescent="0.25">
      <c r="C1349" s="47" t="str">
        <f>Source!G972</f>
        <v>Система защиты от протечек</v>
      </c>
      <c r="D1349" s="47"/>
      <c r="E1349" s="47"/>
      <c r="F1349" s="47"/>
      <c r="G1349" s="47"/>
      <c r="H1349" s="47"/>
      <c r="I1349" s="47"/>
      <c r="J1349" s="47"/>
      <c r="K1349" s="47"/>
    </row>
    <row r="1350" spans="1:22" ht="28.5" x14ac:dyDescent="0.2">
      <c r="A1350" s="18">
        <v>151</v>
      </c>
      <c r="B1350" s="18">
        <v>151</v>
      </c>
      <c r="C1350" s="18" t="str">
        <f>Source!F973</f>
        <v>1.22-2103-2-1/1</v>
      </c>
      <c r="D1350" s="18" t="str">
        <f>Source!G973</f>
        <v>Техническое обслуживание сетевой линии связи</v>
      </c>
      <c r="E1350" s="19" t="str">
        <f>Source!H973</f>
        <v>100 м</v>
      </c>
      <c r="F1350" s="9">
        <f>Source!I973</f>
        <v>1.55</v>
      </c>
      <c r="G1350" s="21"/>
      <c r="H1350" s="20"/>
      <c r="I1350" s="9"/>
      <c r="J1350" s="9"/>
      <c r="K1350" s="21"/>
      <c r="L1350" s="21"/>
      <c r="Q1350">
        <f>ROUND((Source!BZ973/100)*ROUND((Source!AF973*Source!AV973)*Source!I973, 2), 2)</f>
        <v>538.99</v>
      </c>
      <c r="R1350">
        <f>Source!X973</f>
        <v>538.99</v>
      </c>
      <c r="S1350">
        <f>ROUND((Source!CA973/100)*ROUND((Source!AF973*Source!AV973)*Source!I973, 2), 2)</f>
        <v>77</v>
      </c>
      <c r="T1350">
        <f>Source!Y973</f>
        <v>77</v>
      </c>
      <c r="U1350">
        <f>ROUND((175/100)*ROUND((Source!AE973*Source!AV973)*Source!I973, 2), 2)</f>
        <v>0</v>
      </c>
      <c r="V1350">
        <f>ROUND((108/100)*ROUND(Source!CS973*Source!I973, 2), 2)</f>
        <v>0</v>
      </c>
    </row>
    <row r="1351" spans="1:22" x14ac:dyDescent="0.2">
      <c r="D1351" s="28" t="str">
        <f>"Объем: "&amp;Source!I973&amp;"=(50+"&amp;"1500)*"&amp;"0,1/"&amp;"100"</f>
        <v>Объем: 1,55=(50+1500)*0,1/100</v>
      </c>
    </row>
    <row r="1352" spans="1:22" ht="14.25" x14ac:dyDescent="0.2">
      <c r="A1352" s="18"/>
      <c r="B1352" s="18"/>
      <c r="C1352" s="18"/>
      <c r="D1352" s="18" t="s">
        <v>1100</v>
      </c>
      <c r="E1352" s="19"/>
      <c r="F1352" s="9"/>
      <c r="G1352" s="21">
        <f>Source!AO973</f>
        <v>496.76</v>
      </c>
      <c r="H1352" s="20" t="str">
        <f>Source!DG973</f>
        <v/>
      </c>
      <c r="I1352" s="9">
        <f>Source!AV973</f>
        <v>1</v>
      </c>
      <c r="J1352" s="9">
        <f>IF(Source!BA973&lt;&gt; 0, Source!BA973, 1)</f>
        <v>1</v>
      </c>
      <c r="K1352" s="21">
        <f>Source!S973</f>
        <v>769.98</v>
      </c>
      <c r="L1352" s="21"/>
    </row>
    <row r="1353" spans="1:22" ht="14.25" x14ac:dyDescent="0.2">
      <c r="A1353" s="18"/>
      <c r="B1353" s="18"/>
      <c r="C1353" s="18"/>
      <c r="D1353" s="18" t="s">
        <v>1102</v>
      </c>
      <c r="E1353" s="19" t="s">
        <v>1103</v>
      </c>
      <c r="F1353" s="9">
        <f>Source!AT973</f>
        <v>70</v>
      </c>
      <c r="G1353" s="21"/>
      <c r="H1353" s="20"/>
      <c r="I1353" s="9"/>
      <c r="J1353" s="9"/>
      <c r="K1353" s="21">
        <f>SUM(R1350:R1352)</f>
        <v>538.99</v>
      </c>
      <c r="L1353" s="21"/>
    </row>
    <row r="1354" spans="1:22" ht="14.25" x14ac:dyDescent="0.2">
      <c r="A1354" s="18"/>
      <c r="B1354" s="18"/>
      <c r="C1354" s="18"/>
      <c r="D1354" s="18" t="s">
        <v>1104</v>
      </c>
      <c r="E1354" s="19" t="s">
        <v>1103</v>
      </c>
      <c r="F1354" s="9">
        <f>Source!AU973</f>
        <v>10</v>
      </c>
      <c r="G1354" s="21"/>
      <c r="H1354" s="20"/>
      <c r="I1354" s="9"/>
      <c r="J1354" s="9"/>
      <c r="K1354" s="21">
        <f>SUM(T1350:T1353)</f>
        <v>77</v>
      </c>
      <c r="L1354" s="21"/>
    </row>
    <row r="1355" spans="1:22" ht="14.25" x14ac:dyDescent="0.2">
      <c r="A1355" s="18"/>
      <c r="B1355" s="18"/>
      <c r="C1355" s="18"/>
      <c r="D1355" s="18" t="s">
        <v>1105</v>
      </c>
      <c r="E1355" s="19" t="s">
        <v>1106</v>
      </c>
      <c r="F1355" s="9">
        <f>Source!AQ973</f>
        <v>0.7</v>
      </c>
      <c r="G1355" s="21"/>
      <c r="H1355" s="20" t="str">
        <f>Source!DI973</f>
        <v/>
      </c>
      <c r="I1355" s="9">
        <f>Source!AV973</f>
        <v>1</v>
      </c>
      <c r="J1355" s="9"/>
      <c r="K1355" s="21"/>
      <c r="L1355" s="21">
        <f>Source!U973</f>
        <v>1.085</v>
      </c>
    </row>
    <row r="1356" spans="1:22" ht="15" x14ac:dyDescent="0.25">
      <c r="A1356" s="23"/>
      <c r="B1356" s="23"/>
      <c r="C1356" s="23"/>
      <c r="D1356" s="23"/>
      <c r="E1356" s="23"/>
      <c r="F1356" s="23"/>
      <c r="G1356" s="23"/>
      <c r="H1356" s="23"/>
      <c r="I1356" s="23"/>
      <c r="J1356" s="44">
        <f>K1352+K1353+K1354</f>
        <v>1385.97</v>
      </c>
      <c r="K1356" s="44"/>
      <c r="L1356" s="24">
        <f>IF(Source!I973&lt;&gt;0, ROUND(J1356/Source!I973, 2), 0)</f>
        <v>894.17</v>
      </c>
      <c r="P1356" s="22">
        <f>J1356</f>
        <v>1385.97</v>
      </c>
    </row>
    <row r="1358" spans="1:22" ht="15" x14ac:dyDescent="0.25">
      <c r="A1358" s="46" t="str">
        <f>CONCATENATE("Итого по разделу: ",IF(Source!G975&lt;&gt;"Новый раздел", Source!G975, ""))</f>
        <v>Итого по разделу: 5. Автоматизация и диспетчеризация инженерных систем.</v>
      </c>
      <c r="B1358" s="46"/>
      <c r="C1358" s="46"/>
      <c r="D1358" s="46"/>
      <c r="E1358" s="46"/>
      <c r="F1358" s="46"/>
      <c r="G1358" s="46"/>
      <c r="H1358" s="46"/>
      <c r="I1358" s="46"/>
      <c r="J1358" s="45">
        <f>SUM(P1307:P1357)</f>
        <v>145536.91999999998</v>
      </c>
      <c r="K1358" s="59"/>
      <c r="L1358" s="26"/>
    </row>
    <row r="1361" spans="1:12" ht="15" x14ac:dyDescent="0.25">
      <c r="A1361" s="46" t="str">
        <f>CONCATENATE("Итого по локальной смете: ",IF(Source!G1005&lt;&gt;"Новая локальная смета", Source!G1005, ""))</f>
        <v xml:space="preserve">Итого по локальной смете: </v>
      </c>
      <c r="B1361" s="46"/>
      <c r="C1361" s="46"/>
      <c r="D1361" s="46"/>
      <c r="E1361" s="46"/>
      <c r="F1361" s="46"/>
      <c r="G1361" s="46"/>
      <c r="H1361" s="46"/>
      <c r="I1361" s="46"/>
      <c r="J1361" s="45">
        <f>SUM(P38:P1360)</f>
        <v>2470974.8999999994</v>
      </c>
      <c r="K1361" s="59"/>
      <c r="L1361" s="26"/>
    </row>
    <row r="1364" spans="1:12" ht="15" x14ac:dyDescent="0.25">
      <c r="A1364" s="46" t="str">
        <f>CONCATENATE("Итого по смете: ",IF(Source!G1035&lt;&gt;"Новый объект", Source!G1035, ""))</f>
        <v>Итого по смете: СН_1.5_на 4 мес. (10%) испр.</v>
      </c>
      <c r="B1364" s="46"/>
      <c r="C1364" s="46"/>
      <c r="D1364" s="46"/>
      <c r="E1364" s="46"/>
      <c r="F1364" s="46"/>
      <c r="G1364" s="46"/>
      <c r="H1364" s="46"/>
      <c r="I1364" s="46"/>
      <c r="J1364" s="45">
        <f>SUM(P1:P1363)</f>
        <v>2470974.8999999994</v>
      </c>
      <c r="K1364" s="59"/>
      <c r="L1364" s="26"/>
    </row>
    <row r="1365" spans="1:12" ht="14.25" x14ac:dyDescent="0.2">
      <c r="D1365" s="42" t="str">
        <f>Source!H1064</f>
        <v>Итого</v>
      </c>
      <c r="E1365" s="42"/>
      <c r="F1365" s="42"/>
      <c r="G1365" s="42"/>
      <c r="H1365" s="42"/>
      <c r="I1365" s="42"/>
      <c r="J1365" s="43">
        <f>IF(Source!F1064=0, "", Source!F1064)</f>
        <v>2470974.9</v>
      </c>
      <c r="K1365" s="43"/>
    </row>
    <row r="1366" spans="1:12" ht="14.25" x14ac:dyDescent="0.2">
      <c r="D1366" s="42" t="str">
        <f>Source!H1065</f>
        <v>НДС, 22%</v>
      </c>
      <c r="E1366" s="42"/>
      <c r="F1366" s="42"/>
      <c r="G1366" s="42"/>
      <c r="H1366" s="42"/>
      <c r="I1366" s="42"/>
      <c r="J1366" s="43">
        <f>IF(Source!F1065=0, "", Source!F1065)</f>
        <v>543614.48</v>
      </c>
      <c r="K1366" s="43"/>
    </row>
    <row r="1367" spans="1:12" ht="14.25" x14ac:dyDescent="0.2">
      <c r="D1367" s="42" t="str">
        <f>Source!H1066</f>
        <v>Всего с НДС</v>
      </c>
      <c r="E1367" s="42"/>
      <c r="F1367" s="42"/>
      <c r="G1367" s="42"/>
      <c r="H1367" s="42"/>
      <c r="I1367" s="42"/>
      <c r="J1367" s="43">
        <f>IF(Source!F1066=0, "", Source!F1066)</f>
        <v>3014589.38</v>
      </c>
      <c r="K1367" s="43"/>
    </row>
    <row r="1370" spans="1:12" ht="14.25" x14ac:dyDescent="0.2">
      <c r="A1370" s="10"/>
      <c r="B1370" s="40" t="s">
        <v>1159</v>
      </c>
      <c r="C1370" s="40"/>
      <c r="D1370" s="31" t="str">
        <f>IF(Source!AM12&lt;&gt;"", Source!AM12," ")</f>
        <v xml:space="preserve"> </v>
      </c>
      <c r="E1370" s="31"/>
      <c r="F1370" s="31"/>
      <c r="G1370" s="31"/>
      <c r="H1370" s="31"/>
      <c r="I1370" s="10" t="str">
        <f>IF(Source!AL12&lt;&gt;"", Source!AL12," ")</f>
        <v xml:space="preserve"> </v>
      </c>
      <c r="J1370" s="10"/>
      <c r="K1370" s="10"/>
      <c r="L1370" s="10"/>
    </row>
    <row r="1371" spans="1:12" ht="14.25" x14ac:dyDescent="0.2">
      <c r="A1371" s="10"/>
      <c r="B1371" s="10"/>
      <c r="C1371" s="10"/>
      <c r="D1371" s="41" t="s">
        <v>1125</v>
      </c>
      <c r="E1371" s="41"/>
      <c r="F1371" s="41"/>
      <c r="G1371" s="41"/>
      <c r="H1371" s="41"/>
      <c r="I1371" s="10"/>
      <c r="J1371" s="10"/>
      <c r="K1371" s="10"/>
      <c r="L1371" s="10"/>
    </row>
    <row r="1372" spans="1:12" ht="14.25" x14ac:dyDescent="0.2">
      <c r="A1372" s="10"/>
      <c r="B1372" s="10"/>
      <c r="C1372" s="10"/>
      <c r="D1372" s="10"/>
      <c r="E1372" s="10"/>
      <c r="F1372" s="10"/>
      <c r="G1372" s="10"/>
      <c r="H1372" s="10"/>
      <c r="I1372" s="10"/>
      <c r="J1372" s="10"/>
      <c r="K1372" s="10"/>
      <c r="L1372" s="10"/>
    </row>
    <row r="1373" spans="1:12" ht="14.25" x14ac:dyDescent="0.2">
      <c r="A1373" s="10"/>
      <c r="B1373" s="40" t="s">
        <v>1160</v>
      </c>
      <c r="C1373" s="40"/>
      <c r="D1373" s="31" t="str">
        <f>IF(Source!AI12&lt;&gt;"", Source!AI12," ")</f>
        <v xml:space="preserve"> </v>
      </c>
      <c r="E1373" s="31"/>
      <c r="F1373" s="31"/>
      <c r="G1373" s="31"/>
      <c r="H1373" s="31"/>
      <c r="I1373" s="10" t="str">
        <f>IF(Source!AH12&lt;&gt;"", Source!AH12," ")</f>
        <v xml:space="preserve"> </v>
      </c>
      <c r="J1373" s="10"/>
      <c r="K1373" s="10"/>
      <c r="L1373" s="10"/>
    </row>
    <row r="1374" spans="1:12" ht="14.25" x14ac:dyDescent="0.2">
      <c r="A1374" s="10"/>
      <c r="B1374" s="10"/>
      <c r="C1374" s="10"/>
      <c r="D1374" s="41" t="s">
        <v>1125</v>
      </c>
      <c r="E1374" s="41"/>
      <c r="F1374" s="41"/>
      <c r="G1374" s="41"/>
      <c r="H1374" s="41"/>
      <c r="I1374" s="10"/>
      <c r="J1374" s="10"/>
      <c r="K1374" s="10"/>
      <c r="L1374" s="10"/>
    </row>
  </sheetData>
  <mergeCells count="283">
    <mergeCell ref="I2:L2"/>
    <mergeCell ref="I3:L3"/>
    <mergeCell ref="I4:L4"/>
    <mergeCell ref="J6:L6"/>
    <mergeCell ref="J7:L7"/>
    <mergeCell ref="J8:L9"/>
    <mergeCell ref="C14:H14"/>
    <mergeCell ref="J14:L15"/>
    <mergeCell ref="C15:H15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70:K70"/>
    <mergeCell ref="J77:K77"/>
    <mergeCell ref="J87:K87"/>
    <mergeCell ref="J89:K89"/>
    <mergeCell ref="A89:I89"/>
    <mergeCell ref="A92:L92"/>
    <mergeCell ref="A42:L42"/>
    <mergeCell ref="J49:K49"/>
    <mergeCell ref="J58:K58"/>
    <mergeCell ref="J60:K60"/>
    <mergeCell ref="A60:I60"/>
    <mergeCell ref="A63:L63"/>
    <mergeCell ref="A109:L109"/>
    <mergeCell ref="J116:K116"/>
    <mergeCell ref="J124:K124"/>
    <mergeCell ref="J126:K126"/>
    <mergeCell ref="A126:I126"/>
    <mergeCell ref="A129:L129"/>
    <mergeCell ref="J99:K99"/>
    <mergeCell ref="J101:K101"/>
    <mergeCell ref="A101:I101"/>
    <mergeCell ref="A104:L104"/>
    <mergeCell ref="J106:K106"/>
    <mergeCell ref="A106:I106"/>
    <mergeCell ref="C187:K187"/>
    <mergeCell ref="J194:K194"/>
    <mergeCell ref="J203:K203"/>
    <mergeCell ref="J205:K205"/>
    <mergeCell ref="A205:I205"/>
    <mergeCell ref="J208:K208"/>
    <mergeCell ref="A208:I208"/>
    <mergeCell ref="J140:K140"/>
    <mergeCell ref="J151:K151"/>
    <mergeCell ref="J158:K158"/>
    <mergeCell ref="J166:K166"/>
    <mergeCell ref="J176:K176"/>
    <mergeCell ref="J185:K185"/>
    <mergeCell ref="J258:K258"/>
    <mergeCell ref="J265:K265"/>
    <mergeCell ref="J272:K272"/>
    <mergeCell ref="J282:K282"/>
    <mergeCell ref="J290:K290"/>
    <mergeCell ref="J297:K297"/>
    <mergeCell ref="A211:L211"/>
    <mergeCell ref="A213:L213"/>
    <mergeCell ref="J224:K224"/>
    <mergeCell ref="J233:K233"/>
    <mergeCell ref="J241:K241"/>
    <mergeCell ref="J248:K248"/>
    <mergeCell ref="A363:I363"/>
    <mergeCell ref="A366:L366"/>
    <mergeCell ref="C368:K368"/>
    <mergeCell ref="J308:K308"/>
    <mergeCell ref="J316:K316"/>
    <mergeCell ref="J325:K325"/>
    <mergeCell ref="J332:K332"/>
    <mergeCell ref="J339:K339"/>
    <mergeCell ref="J346:K346"/>
    <mergeCell ref="J377:K377"/>
    <mergeCell ref="J383:K383"/>
    <mergeCell ref="J393:K393"/>
    <mergeCell ref="J400:K400"/>
    <mergeCell ref="J408:K408"/>
    <mergeCell ref="J415:K415"/>
    <mergeCell ref="J353:K353"/>
    <mergeCell ref="J361:K361"/>
    <mergeCell ref="J363:K363"/>
    <mergeCell ref="J466:K466"/>
    <mergeCell ref="J473:K473"/>
    <mergeCell ref="J480:K480"/>
    <mergeCell ref="J487:K487"/>
    <mergeCell ref="C489:K489"/>
    <mergeCell ref="J496:K496"/>
    <mergeCell ref="J421:K421"/>
    <mergeCell ref="J428:K428"/>
    <mergeCell ref="J435:K435"/>
    <mergeCell ref="J444:K444"/>
    <mergeCell ref="J453:K453"/>
    <mergeCell ref="J460:K460"/>
    <mergeCell ref="J541:K541"/>
    <mergeCell ref="J548:K548"/>
    <mergeCell ref="J556:K556"/>
    <mergeCell ref="J563:K563"/>
    <mergeCell ref="J572:K572"/>
    <mergeCell ref="J580:K580"/>
    <mergeCell ref="J506:K506"/>
    <mergeCell ref="J513:K513"/>
    <mergeCell ref="J520:K520"/>
    <mergeCell ref="C522:K522"/>
    <mergeCell ref="J528:K528"/>
    <mergeCell ref="J534:K534"/>
    <mergeCell ref="J619:K619"/>
    <mergeCell ref="A619:I619"/>
    <mergeCell ref="J622:K622"/>
    <mergeCell ref="A622:I622"/>
    <mergeCell ref="A625:L625"/>
    <mergeCell ref="A627:L627"/>
    <mergeCell ref="J587:K587"/>
    <mergeCell ref="J594:K594"/>
    <mergeCell ref="C596:K596"/>
    <mergeCell ref="J603:K603"/>
    <mergeCell ref="J610:K610"/>
    <mergeCell ref="J617:K617"/>
    <mergeCell ref="J691:K691"/>
    <mergeCell ref="C693:K693"/>
    <mergeCell ref="J703:K703"/>
    <mergeCell ref="C705:K705"/>
    <mergeCell ref="J715:K715"/>
    <mergeCell ref="J722:K722"/>
    <mergeCell ref="J637:K637"/>
    <mergeCell ref="J647:K647"/>
    <mergeCell ref="J657:K657"/>
    <mergeCell ref="J667:K667"/>
    <mergeCell ref="J677:K677"/>
    <mergeCell ref="J684:K684"/>
    <mergeCell ref="J764:K764"/>
    <mergeCell ref="J774:K774"/>
    <mergeCell ref="J781:K781"/>
    <mergeCell ref="J791:K791"/>
    <mergeCell ref="J801:K801"/>
    <mergeCell ref="C803:K803"/>
    <mergeCell ref="J729:K729"/>
    <mergeCell ref="J731:K731"/>
    <mergeCell ref="A731:I731"/>
    <mergeCell ref="A734:L734"/>
    <mergeCell ref="J744:K744"/>
    <mergeCell ref="J755:K755"/>
    <mergeCell ref="J826:K826"/>
    <mergeCell ref="A826:I826"/>
    <mergeCell ref="A829:L829"/>
    <mergeCell ref="A831:L831"/>
    <mergeCell ref="C833:K833"/>
    <mergeCell ref="J841:K841"/>
    <mergeCell ref="C805:K805"/>
    <mergeCell ref="J807:K807"/>
    <mergeCell ref="A807:I807"/>
    <mergeCell ref="A810:L810"/>
    <mergeCell ref="J821:K821"/>
    <mergeCell ref="J823:K823"/>
    <mergeCell ref="A823:I823"/>
    <mergeCell ref="J892:K892"/>
    <mergeCell ref="J899:K899"/>
    <mergeCell ref="J909:K909"/>
    <mergeCell ref="C911:K911"/>
    <mergeCell ref="J919:K919"/>
    <mergeCell ref="J927:K927"/>
    <mergeCell ref="J849:K849"/>
    <mergeCell ref="J856:K856"/>
    <mergeCell ref="J863:K863"/>
    <mergeCell ref="J870:K870"/>
    <mergeCell ref="J877:K877"/>
    <mergeCell ref="J885:K885"/>
    <mergeCell ref="J976:K976"/>
    <mergeCell ref="J984:K984"/>
    <mergeCell ref="J991:K991"/>
    <mergeCell ref="J998:K998"/>
    <mergeCell ref="J1005:K1005"/>
    <mergeCell ref="J1012:K1012"/>
    <mergeCell ref="J934:K934"/>
    <mergeCell ref="J942:K942"/>
    <mergeCell ref="J949:K949"/>
    <mergeCell ref="J956:K956"/>
    <mergeCell ref="J966:K966"/>
    <mergeCell ref="C968:K968"/>
    <mergeCell ref="J1060:K1060"/>
    <mergeCell ref="J1068:K1068"/>
    <mergeCell ref="J1075:K1075"/>
    <mergeCell ref="J1082:K1082"/>
    <mergeCell ref="J1092:K1092"/>
    <mergeCell ref="C1094:K1094"/>
    <mergeCell ref="J1020:K1020"/>
    <mergeCell ref="J1027:K1027"/>
    <mergeCell ref="J1034:K1034"/>
    <mergeCell ref="J1044:K1044"/>
    <mergeCell ref="C1046:K1046"/>
    <mergeCell ref="J1053:K1053"/>
    <mergeCell ref="J1143:K1143"/>
    <mergeCell ref="J1150:K1150"/>
    <mergeCell ref="J1157:K1157"/>
    <mergeCell ref="J1164:K1164"/>
    <mergeCell ref="J1172:K1172"/>
    <mergeCell ref="J1178:K1178"/>
    <mergeCell ref="J1101:K1101"/>
    <mergeCell ref="J1108:K1108"/>
    <mergeCell ref="J1115:K1115"/>
    <mergeCell ref="J1122:K1122"/>
    <mergeCell ref="J1129:K1129"/>
    <mergeCell ref="J1136:K1136"/>
    <mergeCell ref="J1221:K1221"/>
    <mergeCell ref="J1229:K1229"/>
    <mergeCell ref="J1236:K1236"/>
    <mergeCell ref="C1238:K1238"/>
    <mergeCell ref="J1246:K1246"/>
    <mergeCell ref="J1254:K1254"/>
    <mergeCell ref="J1188:K1188"/>
    <mergeCell ref="C1190:K1190"/>
    <mergeCell ref="J1198:K1198"/>
    <mergeCell ref="C1200:K1200"/>
    <mergeCell ref="J1207:K1207"/>
    <mergeCell ref="J1214:K1214"/>
    <mergeCell ref="A1296:I1296"/>
    <mergeCell ref="A1299:L1299"/>
    <mergeCell ref="J1301:K1301"/>
    <mergeCell ref="A1301:I1301"/>
    <mergeCell ref="J1304:K1304"/>
    <mergeCell ref="A1304:I1304"/>
    <mergeCell ref="J1262:K1262"/>
    <mergeCell ref="J1270:K1270"/>
    <mergeCell ref="J1278:K1278"/>
    <mergeCell ref="J1286:K1286"/>
    <mergeCell ref="J1294:K1294"/>
    <mergeCell ref="J1296:K1296"/>
    <mergeCell ref="J1347:K1347"/>
    <mergeCell ref="C1349:K1349"/>
    <mergeCell ref="J1356:K1356"/>
    <mergeCell ref="J1358:K1358"/>
    <mergeCell ref="A1358:I1358"/>
    <mergeCell ref="J1361:K1361"/>
    <mergeCell ref="A1361:I1361"/>
    <mergeCell ref="A1307:L1307"/>
    <mergeCell ref="J1317:K1317"/>
    <mergeCell ref="J1323:K1323"/>
    <mergeCell ref="J1330:K1330"/>
    <mergeCell ref="J1338:K1338"/>
    <mergeCell ref="C1340:K1340"/>
    <mergeCell ref="D1367:I1367"/>
    <mergeCell ref="J1367:K1367"/>
    <mergeCell ref="B1370:C1370"/>
    <mergeCell ref="D1371:H1371"/>
    <mergeCell ref="B1373:C1373"/>
    <mergeCell ref="D1374:H1374"/>
    <mergeCell ref="J1364:K1364"/>
    <mergeCell ref="A1364:I1364"/>
    <mergeCell ref="D1365:I1365"/>
    <mergeCell ref="J1365:K1365"/>
    <mergeCell ref="D1366:I1366"/>
    <mergeCell ref="J1366:K1366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1078"/>
  <sheetViews>
    <sheetView topLeftCell="A1024" workbookViewId="0">
      <selection activeCell="F1065" sqref="F1065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1074</v>
      </c>
      <c r="C12" s="1">
        <v>0</v>
      </c>
      <c r="D12" s="1">
        <f>ROW(A1035)</f>
        <v>1035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B1035</f>
        <v>1074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объект_(Копия)_(Копия)_(Копия)_(Копия)</v>
      </c>
      <c r="G18" s="2" t="str">
        <f t="shared" si="0"/>
        <v>СН_1.5_на 4 мес. (10%) испр.</v>
      </c>
      <c r="H18" s="2"/>
      <c r="I18" s="2"/>
      <c r="J18" s="2"/>
      <c r="K18" s="2"/>
      <c r="L18" s="2"/>
      <c r="M18" s="2"/>
      <c r="N18" s="2"/>
      <c r="O18" s="2">
        <f t="shared" ref="O18:AT18" si="1">O1035</f>
        <v>1386216.38</v>
      </c>
      <c r="P18" s="2">
        <f t="shared" si="1"/>
        <v>23308.04</v>
      </c>
      <c r="Q18" s="2">
        <f t="shared" si="1"/>
        <v>46173.42</v>
      </c>
      <c r="R18" s="2">
        <f t="shared" si="1"/>
        <v>29046.75</v>
      </c>
      <c r="S18" s="2">
        <f t="shared" si="1"/>
        <v>1316734.92</v>
      </c>
      <c r="T18" s="2">
        <f t="shared" si="1"/>
        <v>0</v>
      </c>
      <c r="U18" s="2">
        <f t="shared" si="1"/>
        <v>2123.2850680000001</v>
      </c>
      <c r="V18" s="2">
        <f t="shared" si="1"/>
        <v>0</v>
      </c>
      <c r="W18" s="2">
        <f t="shared" si="1"/>
        <v>0</v>
      </c>
      <c r="X18" s="2">
        <f t="shared" si="1"/>
        <v>921714.54</v>
      </c>
      <c r="Y18" s="2">
        <f t="shared" si="1"/>
        <v>131673.51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2470974.9</v>
      </c>
      <c r="AS18" s="2">
        <f t="shared" si="1"/>
        <v>0</v>
      </c>
      <c r="AT18" s="2">
        <f t="shared" si="1"/>
        <v>0</v>
      </c>
      <c r="AU18" s="2">
        <f t="shared" ref="AU18:BZ18" si="2">AU1035</f>
        <v>2470974.9</v>
      </c>
      <c r="AV18" s="2">
        <f t="shared" si="2"/>
        <v>23308.04</v>
      </c>
      <c r="AW18" s="2">
        <f t="shared" si="2"/>
        <v>23308.04</v>
      </c>
      <c r="AX18" s="2">
        <f t="shared" si="2"/>
        <v>0</v>
      </c>
      <c r="AY18" s="2">
        <f t="shared" si="2"/>
        <v>23308.04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CA1035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DG1035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EM1035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FS1035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ROW(A1005)</f>
        <v>1005</v>
      </c>
      <c r="E20" s="1"/>
      <c r="F20" s="1" t="s">
        <v>3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B1005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O1005</f>
        <v>1386216.38</v>
      </c>
      <c r="P22" s="2">
        <f t="shared" si="8"/>
        <v>23308.04</v>
      </c>
      <c r="Q22" s="2">
        <f t="shared" si="8"/>
        <v>46173.42</v>
      </c>
      <c r="R22" s="2">
        <f t="shared" si="8"/>
        <v>29046.75</v>
      </c>
      <c r="S22" s="2">
        <f t="shared" si="8"/>
        <v>1316734.92</v>
      </c>
      <c r="T22" s="2">
        <f t="shared" si="8"/>
        <v>0</v>
      </c>
      <c r="U22" s="2">
        <f t="shared" si="8"/>
        <v>2123.2850680000001</v>
      </c>
      <c r="V22" s="2">
        <f t="shared" si="8"/>
        <v>0</v>
      </c>
      <c r="W22" s="2">
        <f t="shared" si="8"/>
        <v>0</v>
      </c>
      <c r="X22" s="2">
        <f t="shared" si="8"/>
        <v>921714.54</v>
      </c>
      <c r="Y22" s="2">
        <f t="shared" si="8"/>
        <v>131673.51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2470974.9</v>
      </c>
      <c r="AS22" s="2">
        <f t="shared" si="8"/>
        <v>0</v>
      </c>
      <c r="AT22" s="2">
        <f t="shared" si="8"/>
        <v>0</v>
      </c>
      <c r="AU22" s="2">
        <f t="shared" ref="AU22:BZ22" si="9">AU1005</f>
        <v>2470974.9</v>
      </c>
      <c r="AV22" s="2">
        <f t="shared" si="9"/>
        <v>23308.04</v>
      </c>
      <c r="AW22" s="2">
        <f t="shared" si="9"/>
        <v>23308.04</v>
      </c>
      <c r="AX22" s="2">
        <f t="shared" si="9"/>
        <v>0</v>
      </c>
      <c r="AY22" s="2">
        <f t="shared" si="9"/>
        <v>23308.04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CA1005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DG1005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EM1005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FS1005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ROW(A281)</f>
        <v>281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B281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1. Система водоснабжение и водоотведение.</v>
      </c>
      <c r="H26" s="2"/>
      <c r="I26" s="2"/>
      <c r="J26" s="2"/>
      <c r="K26" s="2"/>
      <c r="L26" s="2"/>
      <c r="M26" s="2"/>
      <c r="N26" s="2"/>
      <c r="O26" s="2">
        <f t="shared" ref="O26:AT26" si="15">O281</f>
        <v>77309.740000000005</v>
      </c>
      <c r="P26" s="2">
        <f t="shared" si="15"/>
        <v>817.1</v>
      </c>
      <c r="Q26" s="2">
        <f t="shared" si="15"/>
        <v>11145.48</v>
      </c>
      <c r="R26" s="2">
        <f t="shared" si="15"/>
        <v>7054.24</v>
      </c>
      <c r="S26" s="2">
        <f t="shared" si="15"/>
        <v>65347.16</v>
      </c>
      <c r="T26" s="2">
        <f t="shared" si="15"/>
        <v>0</v>
      </c>
      <c r="U26" s="2">
        <f t="shared" si="15"/>
        <v>110.85979999999998</v>
      </c>
      <c r="V26" s="2">
        <f t="shared" si="15"/>
        <v>0</v>
      </c>
      <c r="W26" s="2">
        <f t="shared" si="15"/>
        <v>0</v>
      </c>
      <c r="X26" s="2">
        <f t="shared" si="15"/>
        <v>45743.02</v>
      </c>
      <c r="Y26" s="2">
        <f t="shared" si="15"/>
        <v>6534.72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137206.04999999999</v>
      </c>
      <c r="AS26" s="2">
        <f t="shared" si="15"/>
        <v>0</v>
      </c>
      <c r="AT26" s="2">
        <f t="shared" si="15"/>
        <v>0</v>
      </c>
      <c r="AU26" s="2">
        <f t="shared" ref="AU26:BZ26" si="16">AU281</f>
        <v>137206.04999999999</v>
      </c>
      <c r="AV26" s="2">
        <f t="shared" si="16"/>
        <v>817.1</v>
      </c>
      <c r="AW26" s="2">
        <f t="shared" si="16"/>
        <v>817.1</v>
      </c>
      <c r="AX26" s="2">
        <f t="shared" si="16"/>
        <v>0</v>
      </c>
      <c r="AY26" s="2">
        <f t="shared" si="16"/>
        <v>817.1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CA281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DG281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EM281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FS281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ROW(A37)</f>
        <v>37</v>
      </c>
      <c r="E28" s="1"/>
      <c r="F28" s="1" t="s">
        <v>15</v>
      </c>
      <c r="G28" s="1" t="s">
        <v>16</v>
      </c>
      <c r="H28" s="1" t="s">
        <v>3</v>
      </c>
      <c r="I28" s="1">
        <v>0</v>
      </c>
      <c r="J28" s="1"/>
      <c r="K28" s="1">
        <v>-1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B37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Водомерный узел</v>
      </c>
      <c r="H30" s="2"/>
      <c r="I30" s="2"/>
      <c r="J30" s="2"/>
      <c r="K30" s="2"/>
      <c r="L30" s="2"/>
      <c r="M30" s="2"/>
      <c r="N30" s="2"/>
      <c r="O30" s="2">
        <f t="shared" ref="O30:AT30" si="22">O37</f>
        <v>1741.86</v>
      </c>
      <c r="P30" s="2">
        <f t="shared" si="22"/>
        <v>0.19</v>
      </c>
      <c r="Q30" s="2">
        <f t="shared" si="22"/>
        <v>156.36000000000001</v>
      </c>
      <c r="R30" s="2">
        <f t="shared" si="22"/>
        <v>99.14</v>
      </c>
      <c r="S30" s="2">
        <f t="shared" si="22"/>
        <v>1585.31</v>
      </c>
      <c r="T30" s="2">
        <f t="shared" si="22"/>
        <v>0</v>
      </c>
      <c r="U30" s="2">
        <f t="shared" si="22"/>
        <v>2.8200000000000003</v>
      </c>
      <c r="V30" s="2">
        <f t="shared" si="22"/>
        <v>0</v>
      </c>
      <c r="W30" s="2">
        <f t="shared" si="22"/>
        <v>0</v>
      </c>
      <c r="X30" s="2">
        <f t="shared" si="22"/>
        <v>1109.72</v>
      </c>
      <c r="Y30" s="2">
        <f t="shared" si="22"/>
        <v>158.53</v>
      </c>
      <c r="Z30" s="2">
        <f t="shared" si="22"/>
        <v>0</v>
      </c>
      <c r="AA30" s="2">
        <f t="shared" si="22"/>
        <v>0</v>
      </c>
      <c r="AB30" s="2">
        <f t="shared" si="22"/>
        <v>1741.86</v>
      </c>
      <c r="AC30" s="2">
        <f t="shared" si="22"/>
        <v>0.19</v>
      </c>
      <c r="AD30" s="2">
        <f t="shared" si="22"/>
        <v>156.36000000000001</v>
      </c>
      <c r="AE30" s="2">
        <f t="shared" si="22"/>
        <v>99.14</v>
      </c>
      <c r="AF30" s="2">
        <f t="shared" si="22"/>
        <v>1585.31</v>
      </c>
      <c r="AG30" s="2">
        <f t="shared" si="22"/>
        <v>0</v>
      </c>
      <c r="AH30" s="2">
        <f t="shared" si="22"/>
        <v>2.8200000000000003</v>
      </c>
      <c r="AI30" s="2">
        <f t="shared" si="22"/>
        <v>0</v>
      </c>
      <c r="AJ30" s="2">
        <f t="shared" si="22"/>
        <v>0</v>
      </c>
      <c r="AK30" s="2">
        <f t="shared" si="22"/>
        <v>1109.72</v>
      </c>
      <c r="AL30" s="2">
        <f t="shared" si="22"/>
        <v>158.53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3117.18</v>
      </c>
      <c r="AS30" s="2">
        <f t="shared" si="22"/>
        <v>0</v>
      </c>
      <c r="AT30" s="2">
        <f t="shared" si="22"/>
        <v>0</v>
      </c>
      <c r="AU30" s="2">
        <f t="shared" ref="AU30:BZ30" si="23">AU37</f>
        <v>3117.18</v>
      </c>
      <c r="AV30" s="2">
        <f t="shared" si="23"/>
        <v>0.19</v>
      </c>
      <c r="AW30" s="2">
        <f t="shared" si="23"/>
        <v>0.19</v>
      </c>
      <c r="AX30" s="2">
        <f t="shared" si="23"/>
        <v>0</v>
      </c>
      <c r="AY30" s="2">
        <f t="shared" si="23"/>
        <v>0.19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CA37</f>
        <v>3117.18</v>
      </c>
      <c r="CB30" s="2">
        <f t="shared" si="24"/>
        <v>0</v>
      </c>
      <c r="CC30" s="2">
        <f t="shared" si="24"/>
        <v>0</v>
      </c>
      <c r="CD30" s="2">
        <f t="shared" si="24"/>
        <v>3117.18</v>
      </c>
      <c r="CE30" s="2">
        <f t="shared" si="24"/>
        <v>0.19</v>
      </c>
      <c r="CF30" s="2">
        <f t="shared" si="24"/>
        <v>0.19</v>
      </c>
      <c r="CG30" s="2">
        <f t="shared" si="24"/>
        <v>0</v>
      </c>
      <c r="CH30" s="2">
        <f t="shared" si="24"/>
        <v>0.19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DG37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EM37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FS37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D32">
        <f>ROW(EtalonRes!A2)</f>
        <v>2</v>
      </c>
      <c r="E32" t="s">
        <v>17</v>
      </c>
      <c r="F32" t="s">
        <v>18</v>
      </c>
      <c r="G32" t="s">
        <v>19</v>
      </c>
      <c r="H32" t="s">
        <v>20</v>
      </c>
      <c r="I32">
        <v>1</v>
      </c>
      <c r="J32">
        <v>0</v>
      </c>
      <c r="K32">
        <v>1</v>
      </c>
      <c r="O32">
        <f>ROUND(CP32,2)</f>
        <v>1169.5</v>
      </c>
      <c r="P32">
        <f>ROUND(CQ32*I32,2)</f>
        <v>0.19</v>
      </c>
      <c r="Q32">
        <f>ROUND(CR32*I32,2)</f>
        <v>0</v>
      </c>
      <c r="R32">
        <f>ROUND(CS32*I32,2)</f>
        <v>0</v>
      </c>
      <c r="S32">
        <f>ROUND(CT32*I32,2)</f>
        <v>1169.31</v>
      </c>
      <c r="T32">
        <f>ROUND(CU32*I32,2)</f>
        <v>0</v>
      </c>
      <c r="U32">
        <f>CV32*I32</f>
        <v>2.08</v>
      </c>
      <c r="V32">
        <f>CW32*I32</f>
        <v>0</v>
      </c>
      <c r="W32">
        <f>ROUND(CX32*I32,2)</f>
        <v>0</v>
      </c>
      <c r="X32">
        <f t="shared" ref="X32:Y35" si="28">ROUND(CY32,2)</f>
        <v>818.52</v>
      </c>
      <c r="Y32">
        <f t="shared" si="28"/>
        <v>116.93</v>
      </c>
      <c r="AA32">
        <v>1472506909</v>
      </c>
      <c r="AB32">
        <f>ROUND((AC32+AD32+AF32),6)</f>
        <v>1169.5</v>
      </c>
      <c r="AC32">
        <f>ROUND((ES32),6)</f>
        <v>0.19</v>
      </c>
      <c r="AD32">
        <f>ROUND((((ET32)-(EU32))+AE32),6)</f>
        <v>0</v>
      </c>
      <c r="AE32">
        <f>ROUND((EU32),6)</f>
        <v>0</v>
      </c>
      <c r="AF32">
        <f>ROUND((EV32),6)</f>
        <v>1169.31</v>
      </c>
      <c r="AG32">
        <f>ROUND((AP32),6)</f>
        <v>0</v>
      </c>
      <c r="AH32">
        <f>(EW32)</f>
        <v>2.08</v>
      </c>
      <c r="AI32">
        <f>(EX32)</f>
        <v>0</v>
      </c>
      <c r="AJ32">
        <f>(AS32)</f>
        <v>0</v>
      </c>
      <c r="AK32">
        <v>1169.5</v>
      </c>
      <c r="AL32">
        <v>0.19</v>
      </c>
      <c r="AM32">
        <v>0</v>
      </c>
      <c r="AN32">
        <v>0</v>
      </c>
      <c r="AO32">
        <v>1169.31</v>
      </c>
      <c r="AP32">
        <v>0</v>
      </c>
      <c r="AQ32">
        <v>2.08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21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>(P32+Q32+S32)</f>
        <v>1169.5</v>
      </c>
      <c r="CQ32">
        <f>(AC32*BC32*AW32)</f>
        <v>0.19</v>
      </c>
      <c r="CR32">
        <f>((((ET32)*BB32-(EU32)*BS32)+AE32*BS32)*AV32)</f>
        <v>0</v>
      </c>
      <c r="CS32">
        <f>(AE32*BS32*AV32)</f>
        <v>0</v>
      </c>
      <c r="CT32">
        <f>(AF32*BA32*AV32)</f>
        <v>1169.31</v>
      </c>
      <c r="CU32">
        <f>AG32</f>
        <v>0</v>
      </c>
      <c r="CV32">
        <f>(AH32*AV32)</f>
        <v>2.08</v>
      </c>
      <c r="CW32">
        <f t="shared" ref="CW32:CX35" si="29">AI32</f>
        <v>0</v>
      </c>
      <c r="CX32">
        <f t="shared" si="29"/>
        <v>0</v>
      </c>
      <c r="CY32">
        <f>((S32*BZ32)/100)</f>
        <v>818.51699999999994</v>
      </c>
      <c r="CZ32">
        <f>((S32*CA32)/100)</f>
        <v>116.93099999999998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20</v>
      </c>
      <c r="DW32" t="s">
        <v>20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22</v>
      </c>
      <c r="EH32">
        <v>0</v>
      </c>
      <c r="EI32" t="s">
        <v>3</v>
      </c>
      <c r="EJ32">
        <v>4</v>
      </c>
      <c r="EK32">
        <v>0</v>
      </c>
      <c r="EL32" t="s">
        <v>23</v>
      </c>
      <c r="EM32" t="s">
        <v>24</v>
      </c>
      <c r="EO32" t="s">
        <v>3</v>
      </c>
      <c r="EQ32">
        <v>0</v>
      </c>
      <c r="ER32">
        <v>1169.5</v>
      </c>
      <c r="ES32">
        <v>0.19</v>
      </c>
      <c r="ET32">
        <v>0</v>
      </c>
      <c r="EU32">
        <v>0</v>
      </c>
      <c r="EV32">
        <v>1169.31</v>
      </c>
      <c r="EW32">
        <v>2.08</v>
      </c>
      <c r="EX32">
        <v>0</v>
      </c>
      <c r="EY32">
        <v>0</v>
      </c>
      <c r="FQ32">
        <v>0</v>
      </c>
      <c r="FR32">
        <f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-1349742446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>ROUND(IF(AND(BH32=3,BI32=3,FS32&lt;&gt;0),P32,0),2)</f>
        <v>0</v>
      </c>
      <c r="GM32">
        <f>ROUND(O32+X32+Y32+GK32,2)+GX32</f>
        <v>2104.9499999999998</v>
      </c>
      <c r="GN32">
        <f>IF(OR(BI32=0,BI32=1),GM32-GX32,0)</f>
        <v>0</v>
      </c>
      <c r="GO32">
        <f>IF(BI32=2,GM32-GX32,0)</f>
        <v>0</v>
      </c>
      <c r="GP32">
        <f>IF(BI32=4,GM32-GX32,0)</f>
        <v>2104.9499999999998</v>
      </c>
      <c r="GR32">
        <v>0</v>
      </c>
      <c r="GS32">
        <v>3</v>
      </c>
      <c r="GT32">
        <v>0</v>
      </c>
      <c r="GU32" t="s">
        <v>3</v>
      </c>
      <c r="GV32">
        <f>ROUND((GT32),6)</f>
        <v>0</v>
      </c>
      <c r="GW32">
        <v>1</v>
      </c>
      <c r="GX32">
        <f>ROUND(HC32*I32,2)</f>
        <v>0</v>
      </c>
      <c r="HA32">
        <v>0</v>
      </c>
      <c r="HB32">
        <v>0</v>
      </c>
      <c r="HC32">
        <f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ROW(EtalonRes!A6)</f>
        <v>6</v>
      </c>
      <c r="E33" t="s">
        <v>3</v>
      </c>
      <c r="F33" t="s">
        <v>25</v>
      </c>
      <c r="G33" t="s">
        <v>26</v>
      </c>
      <c r="H33" t="s">
        <v>20</v>
      </c>
      <c r="I33">
        <v>1</v>
      </c>
      <c r="J33">
        <v>0</v>
      </c>
      <c r="K33">
        <v>1</v>
      </c>
      <c r="O33">
        <f>ROUND(CP33,2)</f>
        <v>7192.22</v>
      </c>
      <c r="P33">
        <f>ROUND(CQ33*I33,2)</f>
        <v>5.84</v>
      </c>
      <c r="Q33">
        <f>ROUND(CR33*I33,2)</f>
        <v>2886.42</v>
      </c>
      <c r="R33">
        <f>ROUND(CS33*I33,2)</f>
        <v>1830.2</v>
      </c>
      <c r="S33">
        <f>ROUND(CT33*I33,2)</f>
        <v>4299.96</v>
      </c>
      <c r="T33">
        <f>ROUND(CU33*I33,2)</f>
        <v>0</v>
      </c>
      <c r="U33">
        <f>CV33*I33</f>
        <v>6.48</v>
      </c>
      <c r="V33">
        <f>CW33*I33</f>
        <v>0</v>
      </c>
      <c r="W33">
        <f>ROUND(CX33*I33,2)</f>
        <v>0</v>
      </c>
      <c r="X33">
        <f t="shared" si="28"/>
        <v>3009.97</v>
      </c>
      <c r="Y33">
        <f t="shared" si="28"/>
        <v>430</v>
      </c>
      <c r="AA33">
        <v>-1</v>
      </c>
      <c r="AB33">
        <f>ROUND((AC33+AD33+AF33),6)</f>
        <v>7192.22</v>
      </c>
      <c r="AC33">
        <f>ROUND(((ES33*2)),6)</f>
        <v>5.84</v>
      </c>
      <c r="AD33">
        <f>ROUND(((((ET33*2))-((EU33*2)))+AE33),6)</f>
        <v>2886.42</v>
      </c>
      <c r="AE33">
        <f>ROUND(((EU33*2)),6)</f>
        <v>1830.2</v>
      </c>
      <c r="AF33">
        <f>ROUND(((EV33*2)),6)</f>
        <v>4299.96</v>
      </c>
      <c r="AG33">
        <f>ROUND((AP33),6)</f>
        <v>0</v>
      </c>
      <c r="AH33">
        <f>((EW33*2))</f>
        <v>6.48</v>
      </c>
      <c r="AI33">
        <f>((EX33*2))</f>
        <v>0</v>
      </c>
      <c r="AJ33">
        <f>(AS33)</f>
        <v>0</v>
      </c>
      <c r="AK33">
        <v>3596.11</v>
      </c>
      <c r="AL33">
        <v>2.92</v>
      </c>
      <c r="AM33">
        <v>1443.21</v>
      </c>
      <c r="AN33">
        <v>915.1</v>
      </c>
      <c r="AO33">
        <v>2149.98</v>
      </c>
      <c r="AP33">
        <v>0</v>
      </c>
      <c r="AQ33">
        <v>3.24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27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>(P33+Q33+S33)</f>
        <v>7192.22</v>
      </c>
      <c r="CQ33">
        <f>(AC33*BC33*AW33)</f>
        <v>5.84</v>
      </c>
      <c r="CR33">
        <f>(((((ET33*2))*BB33-((EU33*2))*BS33)+AE33*BS33)*AV33)</f>
        <v>2886.42</v>
      </c>
      <c r="CS33">
        <f>(AE33*BS33*AV33)</f>
        <v>1830.2</v>
      </c>
      <c r="CT33">
        <f>(AF33*BA33*AV33)</f>
        <v>4299.96</v>
      </c>
      <c r="CU33">
        <f>AG33</f>
        <v>0</v>
      </c>
      <c r="CV33">
        <f>(AH33*AV33)</f>
        <v>6.48</v>
      </c>
      <c r="CW33">
        <f t="shared" si="29"/>
        <v>0</v>
      </c>
      <c r="CX33">
        <f t="shared" si="29"/>
        <v>0</v>
      </c>
      <c r="CY33">
        <f>((S33*BZ33)/100)</f>
        <v>3009.9720000000002</v>
      </c>
      <c r="CZ33">
        <f>((S33*CA33)/100)</f>
        <v>429.99599999999998</v>
      </c>
      <c r="DC33" t="s">
        <v>3</v>
      </c>
      <c r="DD33" t="s">
        <v>28</v>
      </c>
      <c r="DE33" t="s">
        <v>28</v>
      </c>
      <c r="DF33" t="s">
        <v>28</v>
      </c>
      <c r="DG33" t="s">
        <v>28</v>
      </c>
      <c r="DH33" t="s">
        <v>3</v>
      </c>
      <c r="DI33" t="s">
        <v>28</v>
      </c>
      <c r="DJ33" t="s">
        <v>28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16987630</v>
      </c>
      <c r="DV33" t="s">
        <v>20</v>
      </c>
      <c r="DW33" t="s">
        <v>20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22</v>
      </c>
      <c r="EH33">
        <v>0</v>
      </c>
      <c r="EI33" t="s">
        <v>3</v>
      </c>
      <c r="EJ33">
        <v>4</v>
      </c>
      <c r="EK33">
        <v>0</v>
      </c>
      <c r="EL33" t="s">
        <v>23</v>
      </c>
      <c r="EM33" t="s">
        <v>24</v>
      </c>
      <c r="EO33" t="s">
        <v>3</v>
      </c>
      <c r="EQ33">
        <v>1311744</v>
      </c>
      <c r="ER33">
        <v>3596.11</v>
      </c>
      <c r="ES33">
        <v>2.92</v>
      </c>
      <c r="ET33">
        <v>1443.21</v>
      </c>
      <c r="EU33">
        <v>915.1</v>
      </c>
      <c r="EV33">
        <v>2149.98</v>
      </c>
      <c r="EW33">
        <v>3.24</v>
      </c>
      <c r="EX33">
        <v>0</v>
      </c>
      <c r="EY33">
        <v>0</v>
      </c>
      <c r="FQ33">
        <v>0</v>
      </c>
      <c r="FR33">
        <f>ROUND(IF(BI33=3,GM33,0),2)</f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-2062101328</v>
      </c>
      <c r="GG33">
        <v>2</v>
      </c>
      <c r="GH33">
        <v>1</v>
      </c>
      <c r="GI33">
        <v>-2</v>
      </c>
      <c r="GJ33">
        <v>0</v>
      </c>
      <c r="GK33">
        <f>ROUND(R33*(R12)/100,2)</f>
        <v>1976.62</v>
      </c>
      <c r="GL33">
        <f>ROUND(IF(AND(BH33=3,BI33=3,FS33&lt;&gt;0),P33,0),2)</f>
        <v>0</v>
      </c>
      <c r="GM33">
        <f>ROUND(O33+X33+Y33+GK33,2)+GX33</f>
        <v>12608.81</v>
      </c>
      <c r="GN33">
        <f>IF(OR(BI33=0,BI33=1),GM33-GX33,0)</f>
        <v>0</v>
      </c>
      <c r="GO33">
        <f>IF(BI33=2,GM33-GX33,0)</f>
        <v>0</v>
      </c>
      <c r="GP33">
        <f>IF(BI33=4,GM33-GX33,0)</f>
        <v>12608.81</v>
      </c>
      <c r="GR33">
        <v>0</v>
      </c>
      <c r="GS33">
        <v>3</v>
      </c>
      <c r="GT33">
        <v>0</v>
      </c>
      <c r="GU33" t="s">
        <v>3</v>
      </c>
      <c r="GV33">
        <f>ROUND((GT33),6)</f>
        <v>0</v>
      </c>
      <c r="GW33">
        <v>1</v>
      </c>
      <c r="GX33">
        <f>ROUND(HC33*I33,2)</f>
        <v>0</v>
      </c>
      <c r="HA33">
        <v>0</v>
      </c>
      <c r="HB33">
        <v>0</v>
      </c>
      <c r="HC33">
        <f>GV33*GW33</f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ROW(EtalonRes!A8)</f>
        <v>8</v>
      </c>
      <c r="E34" t="s">
        <v>29</v>
      </c>
      <c r="F34" t="s">
        <v>30</v>
      </c>
      <c r="G34" t="s">
        <v>31</v>
      </c>
      <c r="H34" t="s">
        <v>20</v>
      </c>
      <c r="I34">
        <v>2</v>
      </c>
      <c r="J34">
        <v>0</v>
      </c>
      <c r="K34">
        <v>2</v>
      </c>
      <c r="O34">
        <f>ROUND(CP34,2)</f>
        <v>572.36</v>
      </c>
      <c r="P34">
        <f>ROUND(CQ34*I34,2)</f>
        <v>0</v>
      </c>
      <c r="Q34">
        <f>ROUND(CR34*I34,2)</f>
        <v>156.36000000000001</v>
      </c>
      <c r="R34">
        <f>ROUND(CS34*I34,2)</f>
        <v>99.14</v>
      </c>
      <c r="S34">
        <f>ROUND(CT34*I34,2)</f>
        <v>416</v>
      </c>
      <c r="T34">
        <f>ROUND(CU34*I34,2)</f>
        <v>0</v>
      </c>
      <c r="U34">
        <f>CV34*I34</f>
        <v>0.74</v>
      </c>
      <c r="V34">
        <f>CW34*I34</f>
        <v>0</v>
      </c>
      <c r="W34">
        <f>ROUND(CX34*I34,2)</f>
        <v>0</v>
      </c>
      <c r="X34">
        <f t="shared" si="28"/>
        <v>291.2</v>
      </c>
      <c r="Y34">
        <f t="shared" si="28"/>
        <v>41.6</v>
      </c>
      <c r="AA34">
        <v>1472506909</v>
      </c>
      <c r="AB34">
        <f>ROUND((AC34+AD34+AF34),6)</f>
        <v>286.18</v>
      </c>
      <c r="AC34">
        <f>ROUND((ES34),6)</f>
        <v>0</v>
      </c>
      <c r="AD34">
        <f>ROUND((((ET34)-(EU34))+AE34),6)</f>
        <v>78.180000000000007</v>
      </c>
      <c r="AE34">
        <f>ROUND((EU34),6)</f>
        <v>49.57</v>
      </c>
      <c r="AF34">
        <f>ROUND((EV34),6)</f>
        <v>208</v>
      </c>
      <c r="AG34">
        <f>ROUND((AP34),6)</f>
        <v>0</v>
      </c>
      <c r="AH34">
        <f>(EW34)</f>
        <v>0.37</v>
      </c>
      <c r="AI34">
        <f>(EX34)</f>
        <v>0</v>
      </c>
      <c r="AJ34">
        <f>(AS34)</f>
        <v>0</v>
      </c>
      <c r="AK34">
        <v>286.18</v>
      </c>
      <c r="AL34">
        <v>0</v>
      </c>
      <c r="AM34">
        <v>78.180000000000007</v>
      </c>
      <c r="AN34">
        <v>49.57</v>
      </c>
      <c r="AO34">
        <v>208</v>
      </c>
      <c r="AP34">
        <v>0</v>
      </c>
      <c r="AQ34">
        <v>0.37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32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>(P34+Q34+S34)</f>
        <v>572.36</v>
      </c>
      <c r="CQ34">
        <f>(AC34*BC34*AW34)</f>
        <v>0</v>
      </c>
      <c r="CR34">
        <f>((((ET34)*BB34-(EU34)*BS34)+AE34*BS34)*AV34)</f>
        <v>78.180000000000007</v>
      </c>
      <c r="CS34">
        <f>(AE34*BS34*AV34)</f>
        <v>49.57</v>
      </c>
      <c r="CT34">
        <f>(AF34*BA34*AV34)</f>
        <v>208</v>
      </c>
      <c r="CU34">
        <f>AG34</f>
        <v>0</v>
      </c>
      <c r="CV34">
        <f>(AH34*AV34)</f>
        <v>0.37</v>
      </c>
      <c r="CW34">
        <f t="shared" si="29"/>
        <v>0</v>
      </c>
      <c r="CX34">
        <f t="shared" si="29"/>
        <v>0</v>
      </c>
      <c r="CY34">
        <f>((S34*BZ34)/100)</f>
        <v>291.2</v>
      </c>
      <c r="CZ34">
        <f>((S34*CA34)/100)</f>
        <v>41.6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20</v>
      </c>
      <c r="DW34" t="s">
        <v>20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22</v>
      </c>
      <c r="EH34">
        <v>0</v>
      </c>
      <c r="EI34" t="s">
        <v>3</v>
      </c>
      <c r="EJ34">
        <v>4</v>
      </c>
      <c r="EK34">
        <v>0</v>
      </c>
      <c r="EL34" t="s">
        <v>23</v>
      </c>
      <c r="EM34" t="s">
        <v>24</v>
      </c>
      <c r="EO34" t="s">
        <v>3</v>
      </c>
      <c r="EQ34">
        <v>0</v>
      </c>
      <c r="ER34">
        <v>286.18</v>
      </c>
      <c r="ES34">
        <v>0</v>
      </c>
      <c r="ET34">
        <v>78.180000000000007</v>
      </c>
      <c r="EU34">
        <v>49.57</v>
      </c>
      <c r="EV34">
        <v>208</v>
      </c>
      <c r="EW34">
        <v>0.37</v>
      </c>
      <c r="EX34">
        <v>0</v>
      </c>
      <c r="EY34">
        <v>0</v>
      </c>
      <c r="FQ34">
        <v>0</v>
      </c>
      <c r="FR34">
        <f>ROUND(IF(BI34=3,GM34,0),2)</f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1972621898</v>
      </c>
      <c r="GG34">
        <v>2</v>
      </c>
      <c r="GH34">
        <v>1</v>
      </c>
      <c r="GI34">
        <v>-2</v>
      </c>
      <c r="GJ34">
        <v>0</v>
      </c>
      <c r="GK34">
        <f>ROUND(R34*(R12)/100,2)</f>
        <v>107.07</v>
      </c>
      <c r="GL34">
        <f>ROUND(IF(AND(BH34=3,BI34=3,FS34&lt;&gt;0),P34,0),2)</f>
        <v>0</v>
      </c>
      <c r="GM34">
        <f>ROUND(O34+X34+Y34+GK34,2)+GX34</f>
        <v>1012.23</v>
      </c>
      <c r="GN34">
        <f>IF(OR(BI34=0,BI34=1),GM34-GX34,0)</f>
        <v>0</v>
      </c>
      <c r="GO34">
        <f>IF(BI34=2,GM34-GX34,0)</f>
        <v>0</v>
      </c>
      <c r="GP34">
        <f>IF(BI34=4,GM34-GX34,0)</f>
        <v>1012.23</v>
      </c>
      <c r="GR34">
        <v>0</v>
      </c>
      <c r="GS34">
        <v>3</v>
      </c>
      <c r="GT34">
        <v>0</v>
      </c>
      <c r="GU34" t="s">
        <v>3</v>
      </c>
      <c r="GV34">
        <f>ROUND((GT34),6)</f>
        <v>0</v>
      </c>
      <c r="GW34">
        <v>1</v>
      </c>
      <c r="GX34">
        <f>ROUND(HC34*I34,2)</f>
        <v>0</v>
      </c>
      <c r="HA34">
        <v>0</v>
      </c>
      <c r="HB34">
        <v>0</v>
      </c>
      <c r="HC34">
        <f>GV34*GW34</f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D35">
        <f>ROW(EtalonRes!A9)</f>
        <v>9</v>
      </c>
      <c r="E35" t="s">
        <v>3</v>
      </c>
      <c r="F35" t="s">
        <v>33</v>
      </c>
      <c r="G35" t="s">
        <v>34</v>
      </c>
      <c r="H35" t="s">
        <v>20</v>
      </c>
      <c r="I35">
        <v>1</v>
      </c>
      <c r="J35">
        <v>0</v>
      </c>
      <c r="K35">
        <v>1</v>
      </c>
      <c r="O35">
        <f>ROUND(CP35,2)</f>
        <v>598.97</v>
      </c>
      <c r="P35">
        <f>ROUND(CQ35*I35,2)</f>
        <v>0</v>
      </c>
      <c r="Q35">
        <f>ROUND(CR35*I35,2)</f>
        <v>0</v>
      </c>
      <c r="R35">
        <f>ROUND(CS35*I35,2)</f>
        <v>0</v>
      </c>
      <c r="S35">
        <f>ROUND(CT35*I35,2)</f>
        <v>598.97</v>
      </c>
      <c r="T35">
        <f>ROUND(CU35*I35,2)</f>
        <v>0</v>
      </c>
      <c r="U35">
        <f>CV35*I35</f>
        <v>0.97</v>
      </c>
      <c r="V35">
        <f>CW35*I35</f>
        <v>0</v>
      </c>
      <c r="W35">
        <f>ROUND(CX35*I35,2)</f>
        <v>0</v>
      </c>
      <c r="X35">
        <f t="shared" si="28"/>
        <v>419.28</v>
      </c>
      <c r="Y35">
        <f t="shared" si="28"/>
        <v>59.9</v>
      </c>
      <c r="AA35">
        <v>-1</v>
      </c>
      <c r="AB35">
        <f>ROUND((AC35+AD35+AF35),6)</f>
        <v>598.97</v>
      </c>
      <c r="AC35">
        <f>ROUND((ES35),6)</f>
        <v>0</v>
      </c>
      <c r="AD35">
        <f>ROUND((((ET35)-(EU35))+AE35),6)</f>
        <v>0</v>
      </c>
      <c r="AE35">
        <f>ROUND((EU35),6)</f>
        <v>0</v>
      </c>
      <c r="AF35">
        <f>ROUND((EV35),6)</f>
        <v>598.97</v>
      </c>
      <c r="AG35">
        <f>ROUND((AP35),6)</f>
        <v>0</v>
      </c>
      <c r="AH35">
        <f>(EW35)</f>
        <v>0.97</v>
      </c>
      <c r="AI35">
        <f>(EX35)</f>
        <v>0</v>
      </c>
      <c r="AJ35">
        <f>(AS35)</f>
        <v>0</v>
      </c>
      <c r="AK35">
        <v>598.97</v>
      </c>
      <c r="AL35">
        <v>0</v>
      </c>
      <c r="AM35">
        <v>0</v>
      </c>
      <c r="AN35">
        <v>0</v>
      </c>
      <c r="AO35">
        <v>598.97</v>
      </c>
      <c r="AP35">
        <v>0</v>
      </c>
      <c r="AQ35">
        <v>0.97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35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>(P35+Q35+S35)</f>
        <v>598.97</v>
      </c>
      <c r="CQ35">
        <f>(AC35*BC35*AW35)</f>
        <v>0</v>
      </c>
      <c r="CR35">
        <f>((((ET35)*BB35-(EU35)*BS35)+AE35*BS35)*AV35)</f>
        <v>0</v>
      </c>
      <c r="CS35">
        <f>(AE35*BS35*AV35)</f>
        <v>0</v>
      </c>
      <c r="CT35">
        <f>(AF35*BA35*AV35)</f>
        <v>598.97</v>
      </c>
      <c r="CU35">
        <f>AG35</f>
        <v>0</v>
      </c>
      <c r="CV35">
        <f>(AH35*AV35)</f>
        <v>0.97</v>
      </c>
      <c r="CW35">
        <f t="shared" si="29"/>
        <v>0</v>
      </c>
      <c r="CX35">
        <f t="shared" si="29"/>
        <v>0</v>
      </c>
      <c r="CY35">
        <f>((S35*BZ35)/100)</f>
        <v>419.279</v>
      </c>
      <c r="CZ35">
        <f>((S35*CA35)/100)</f>
        <v>59.897000000000006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20</v>
      </c>
      <c r="DW35" t="s">
        <v>20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22</v>
      </c>
      <c r="EH35">
        <v>0</v>
      </c>
      <c r="EI35" t="s">
        <v>3</v>
      </c>
      <c r="EJ35">
        <v>4</v>
      </c>
      <c r="EK35">
        <v>0</v>
      </c>
      <c r="EL35" t="s">
        <v>23</v>
      </c>
      <c r="EM35" t="s">
        <v>24</v>
      </c>
      <c r="EO35" t="s">
        <v>3</v>
      </c>
      <c r="EQ35">
        <v>1311744</v>
      </c>
      <c r="ER35">
        <v>598.97</v>
      </c>
      <c r="ES35">
        <v>0</v>
      </c>
      <c r="ET35">
        <v>0</v>
      </c>
      <c r="EU35">
        <v>0</v>
      </c>
      <c r="EV35">
        <v>598.97</v>
      </c>
      <c r="EW35">
        <v>0.97</v>
      </c>
      <c r="EX35">
        <v>0</v>
      </c>
      <c r="EY35">
        <v>0</v>
      </c>
      <c r="FQ35">
        <v>0</v>
      </c>
      <c r="FR35">
        <f>ROUND(IF(BI35=3,GM35,0),2)</f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-307581553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>ROUND(IF(AND(BH35=3,BI35=3,FS35&lt;&gt;0),P35,0),2)</f>
        <v>0</v>
      </c>
      <c r="GM35">
        <f>ROUND(O35+X35+Y35+GK35,2)+GX35</f>
        <v>1078.1500000000001</v>
      </c>
      <c r="GN35">
        <f>IF(OR(BI35=0,BI35=1),GM35-GX35,0)</f>
        <v>0</v>
      </c>
      <c r="GO35">
        <f>IF(BI35=2,GM35-GX35,0)</f>
        <v>0</v>
      </c>
      <c r="GP35">
        <f>IF(BI35=4,GM35-GX35,0)</f>
        <v>1078.1500000000001</v>
      </c>
      <c r="GR35">
        <v>0</v>
      </c>
      <c r="GS35">
        <v>3</v>
      </c>
      <c r="GT35">
        <v>0</v>
      </c>
      <c r="GU35" t="s">
        <v>3</v>
      </c>
      <c r="GV35">
        <f>ROUND((GT35),6)</f>
        <v>0</v>
      </c>
      <c r="GW35">
        <v>1</v>
      </c>
      <c r="GX35">
        <f>ROUND(HC35*I35,2)</f>
        <v>0</v>
      </c>
      <c r="HA35">
        <v>0</v>
      </c>
      <c r="HB35">
        <v>0</v>
      </c>
      <c r="HC35">
        <f>GV35*GW35</f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7" spans="1:245" x14ac:dyDescent="0.2">
      <c r="A37" s="2">
        <v>51</v>
      </c>
      <c r="B37" s="2">
        <f>B28</f>
        <v>1</v>
      </c>
      <c r="C37" s="2">
        <f>A28</f>
        <v>5</v>
      </c>
      <c r="D37" s="2">
        <f>ROW(A28)</f>
        <v>28</v>
      </c>
      <c r="E37" s="2"/>
      <c r="F37" s="2" t="str">
        <f>IF(F28&lt;&gt;"",F28,"")</f>
        <v>Новый подраздел</v>
      </c>
      <c r="G37" s="2" t="str">
        <f>IF(G28&lt;&gt;"",G28,"")</f>
        <v>Водомерный узел</v>
      </c>
      <c r="H37" s="2">
        <v>0</v>
      </c>
      <c r="I37" s="2"/>
      <c r="J37" s="2"/>
      <c r="K37" s="2"/>
      <c r="L37" s="2"/>
      <c r="M37" s="2"/>
      <c r="N37" s="2"/>
      <c r="O37" s="2">
        <f t="shared" ref="O37:T37" si="30">ROUND(AB37,2)</f>
        <v>1741.86</v>
      </c>
      <c r="P37" s="2">
        <f t="shared" si="30"/>
        <v>0.19</v>
      </c>
      <c r="Q37" s="2">
        <f t="shared" si="30"/>
        <v>156.36000000000001</v>
      </c>
      <c r="R37" s="2">
        <f t="shared" si="30"/>
        <v>99.14</v>
      </c>
      <c r="S37" s="2">
        <f t="shared" si="30"/>
        <v>1585.31</v>
      </c>
      <c r="T37" s="2">
        <f t="shared" si="30"/>
        <v>0</v>
      </c>
      <c r="U37" s="2">
        <f>AH37</f>
        <v>2.8200000000000003</v>
      </c>
      <c r="V37" s="2">
        <f>AI37</f>
        <v>0</v>
      </c>
      <c r="W37" s="2">
        <f>ROUND(AJ37,2)</f>
        <v>0</v>
      </c>
      <c r="X37" s="2">
        <f>ROUND(AK37,2)</f>
        <v>1109.72</v>
      </c>
      <c r="Y37" s="2">
        <f>ROUND(AL37,2)</f>
        <v>158.53</v>
      </c>
      <c r="Z37" s="2"/>
      <c r="AA37" s="2"/>
      <c r="AB37" s="2">
        <f>ROUND(SUMIF(AA32:AA35,"=1472506909",O32:O35),2)</f>
        <v>1741.86</v>
      </c>
      <c r="AC37" s="2">
        <f>ROUND(SUMIF(AA32:AA35,"=1472506909",P32:P35),2)</f>
        <v>0.19</v>
      </c>
      <c r="AD37" s="2">
        <f>ROUND(SUMIF(AA32:AA35,"=1472506909",Q32:Q35),2)</f>
        <v>156.36000000000001</v>
      </c>
      <c r="AE37" s="2">
        <f>ROUND(SUMIF(AA32:AA35,"=1472506909",R32:R35),2)</f>
        <v>99.14</v>
      </c>
      <c r="AF37" s="2">
        <f>ROUND(SUMIF(AA32:AA35,"=1472506909",S32:S35),2)</f>
        <v>1585.31</v>
      </c>
      <c r="AG37" s="2">
        <f>ROUND(SUMIF(AA32:AA35,"=1472506909",T32:T35),2)</f>
        <v>0</v>
      </c>
      <c r="AH37" s="2">
        <f>SUMIF(AA32:AA35,"=1472506909",U32:U35)</f>
        <v>2.8200000000000003</v>
      </c>
      <c r="AI37" s="2">
        <f>SUMIF(AA32:AA35,"=1472506909",V32:V35)</f>
        <v>0</v>
      </c>
      <c r="AJ37" s="2">
        <f>ROUND(SUMIF(AA32:AA35,"=1472506909",W32:W35),2)</f>
        <v>0</v>
      </c>
      <c r="AK37" s="2">
        <f>ROUND(SUMIF(AA32:AA35,"=1472506909",X32:X35),2)</f>
        <v>1109.72</v>
      </c>
      <c r="AL37" s="2">
        <f>ROUND(SUMIF(AA32:AA35,"=1472506909",Y32:Y35),2)</f>
        <v>158.53</v>
      </c>
      <c r="AM37" s="2"/>
      <c r="AN37" s="2"/>
      <c r="AO37" s="2">
        <f t="shared" ref="AO37:BD37" si="31">ROUND(BX37,2)</f>
        <v>0</v>
      </c>
      <c r="AP37" s="2">
        <f t="shared" si="31"/>
        <v>0</v>
      </c>
      <c r="AQ37" s="2">
        <f t="shared" si="31"/>
        <v>0</v>
      </c>
      <c r="AR37" s="2">
        <f t="shared" si="31"/>
        <v>3117.18</v>
      </c>
      <c r="AS37" s="2">
        <f t="shared" si="31"/>
        <v>0</v>
      </c>
      <c r="AT37" s="2">
        <f t="shared" si="31"/>
        <v>0</v>
      </c>
      <c r="AU37" s="2">
        <f t="shared" si="31"/>
        <v>3117.18</v>
      </c>
      <c r="AV37" s="2">
        <f t="shared" si="31"/>
        <v>0.19</v>
      </c>
      <c r="AW37" s="2">
        <f t="shared" si="31"/>
        <v>0.19</v>
      </c>
      <c r="AX37" s="2">
        <f t="shared" si="31"/>
        <v>0</v>
      </c>
      <c r="AY37" s="2">
        <f t="shared" si="31"/>
        <v>0.19</v>
      </c>
      <c r="AZ37" s="2">
        <f t="shared" si="31"/>
        <v>0</v>
      </c>
      <c r="BA37" s="2">
        <f t="shared" si="31"/>
        <v>0</v>
      </c>
      <c r="BB37" s="2">
        <f t="shared" si="31"/>
        <v>0</v>
      </c>
      <c r="BC37" s="2">
        <f t="shared" si="31"/>
        <v>0</v>
      </c>
      <c r="BD37" s="2">
        <f t="shared" si="31"/>
        <v>0</v>
      </c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>
        <f>ROUND(SUMIF(AA32:AA35,"=1472506909",FQ32:FQ35),2)</f>
        <v>0</v>
      </c>
      <c r="BY37" s="2">
        <f>ROUND(SUMIF(AA32:AA35,"=1472506909",FR32:FR35),2)</f>
        <v>0</v>
      </c>
      <c r="BZ37" s="2">
        <f>ROUND(SUMIF(AA32:AA35,"=1472506909",GL32:GL35),2)</f>
        <v>0</v>
      </c>
      <c r="CA37" s="2">
        <f>ROUND(SUMIF(AA32:AA35,"=1472506909",GM32:GM35),2)</f>
        <v>3117.18</v>
      </c>
      <c r="CB37" s="2">
        <f>ROUND(SUMIF(AA32:AA35,"=1472506909",GN32:GN35),2)</f>
        <v>0</v>
      </c>
      <c r="CC37" s="2">
        <f>ROUND(SUMIF(AA32:AA35,"=1472506909",GO32:GO35),2)</f>
        <v>0</v>
      </c>
      <c r="CD37" s="2">
        <f>ROUND(SUMIF(AA32:AA35,"=1472506909",GP32:GP35),2)</f>
        <v>3117.18</v>
      </c>
      <c r="CE37" s="2">
        <f>AC37-BX37</f>
        <v>0.19</v>
      </c>
      <c r="CF37" s="2">
        <f>AC37-BY37</f>
        <v>0.19</v>
      </c>
      <c r="CG37" s="2">
        <f>BX37-BZ37</f>
        <v>0</v>
      </c>
      <c r="CH37" s="2">
        <f>AC37-BX37-BY37+BZ37</f>
        <v>0.19</v>
      </c>
      <c r="CI37" s="2">
        <f>BY37-BZ37</f>
        <v>0</v>
      </c>
      <c r="CJ37" s="2">
        <f>ROUND(SUMIF(AA32:AA35,"=1472506909",GX32:GX35),2)</f>
        <v>0</v>
      </c>
      <c r="CK37" s="2">
        <f>ROUND(SUMIF(AA32:AA35,"=1472506909",GY32:GY35),2)</f>
        <v>0</v>
      </c>
      <c r="CL37" s="2">
        <f>ROUND(SUMIF(AA32:AA35,"=1472506909",GZ32:GZ35),2)</f>
        <v>0</v>
      </c>
      <c r="CM37" s="2">
        <f>ROUND(SUMIF(AA32:AA35,"=1472506909",HD32:HD35),2)</f>
        <v>0</v>
      </c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>
        <v>0</v>
      </c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201</v>
      </c>
      <c r="F39" s="4">
        <f>ROUND(Source!O37,O39)</f>
        <v>1741.86</v>
      </c>
      <c r="G39" s="4" t="s">
        <v>36</v>
      </c>
      <c r="H39" s="4" t="s">
        <v>37</v>
      </c>
      <c r="I39" s="4"/>
      <c r="J39" s="4"/>
      <c r="K39" s="4">
        <v>201</v>
      </c>
      <c r="L39" s="4">
        <v>1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1741.86</v>
      </c>
      <c r="X39" s="4">
        <v>1</v>
      </c>
      <c r="Y39" s="4">
        <v>1741.86</v>
      </c>
      <c r="Z39" s="4"/>
      <c r="AA39" s="4"/>
      <c r="AB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202</v>
      </c>
      <c r="F40" s="4">
        <f>ROUND(Source!P37,O40)</f>
        <v>0.19</v>
      </c>
      <c r="G40" s="4" t="s">
        <v>38</v>
      </c>
      <c r="H40" s="4" t="s">
        <v>39</v>
      </c>
      <c r="I40" s="4"/>
      <c r="J40" s="4"/>
      <c r="K40" s="4">
        <v>202</v>
      </c>
      <c r="L40" s="4">
        <v>2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0.19</v>
      </c>
      <c r="X40" s="4">
        <v>1</v>
      </c>
      <c r="Y40" s="4">
        <v>0.19</v>
      </c>
      <c r="Z40" s="4"/>
      <c r="AA40" s="4"/>
      <c r="AB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222</v>
      </c>
      <c r="F41" s="4">
        <f>ROUND(Source!AO37,O41)</f>
        <v>0</v>
      </c>
      <c r="G41" s="4" t="s">
        <v>40</v>
      </c>
      <c r="H41" s="4" t="s">
        <v>41</v>
      </c>
      <c r="I41" s="4"/>
      <c r="J41" s="4"/>
      <c r="K41" s="4">
        <v>222</v>
      </c>
      <c r="L41" s="4">
        <v>3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225</v>
      </c>
      <c r="F42" s="4">
        <f>ROUND(Source!AV37,O42)</f>
        <v>0.19</v>
      </c>
      <c r="G42" s="4" t="s">
        <v>42</v>
      </c>
      <c r="H42" s="4" t="s">
        <v>43</v>
      </c>
      <c r="I42" s="4"/>
      <c r="J42" s="4"/>
      <c r="K42" s="4">
        <v>225</v>
      </c>
      <c r="L42" s="4">
        <v>4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0.19</v>
      </c>
      <c r="X42" s="4">
        <v>1</v>
      </c>
      <c r="Y42" s="4">
        <v>0.19</v>
      </c>
      <c r="Z42" s="4"/>
      <c r="AA42" s="4"/>
      <c r="AB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226</v>
      </c>
      <c r="F43" s="4">
        <f>ROUND(Source!AW37,O43)</f>
        <v>0.19</v>
      </c>
      <c r="G43" s="4" t="s">
        <v>44</v>
      </c>
      <c r="H43" s="4" t="s">
        <v>45</v>
      </c>
      <c r="I43" s="4"/>
      <c r="J43" s="4"/>
      <c r="K43" s="4">
        <v>226</v>
      </c>
      <c r="L43" s="4">
        <v>5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0.19</v>
      </c>
      <c r="X43" s="4">
        <v>1</v>
      </c>
      <c r="Y43" s="4">
        <v>0.19</v>
      </c>
      <c r="Z43" s="4"/>
      <c r="AA43" s="4"/>
      <c r="AB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227</v>
      </c>
      <c r="F44" s="4">
        <f>ROUND(Source!AX37,O44)</f>
        <v>0</v>
      </c>
      <c r="G44" s="4" t="s">
        <v>46</v>
      </c>
      <c r="H44" s="4" t="s">
        <v>47</v>
      </c>
      <c r="I44" s="4"/>
      <c r="J44" s="4"/>
      <c r="K44" s="4">
        <v>227</v>
      </c>
      <c r="L44" s="4">
        <v>6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228</v>
      </c>
      <c r="F45" s="4">
        <f>ROUND(Source!AY37,O45)</f>
        <v>0.19</v>
      </c>
      <c r="G45" s="4" t="s">
        <v>48</v>
      </c>
      <c r="H45" s="4" t="s">
        <v>49</v>
      </c>
      <c r="I45" s="4"/>
      <c r="J45" s="4"/>
      <c r="K45" s="4">
        <v>228</v>
      </c>
      <c r="L45" s="4">
        <v>7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0.19</v>
      </c>
      <c r="X45" s="4">
        <v>1</v>
      </c>
      <c r="Y45" s="4">
        <v>0.19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216</v>
      </c>
      <c r="F46" s="4">
        <f>ROUND(Source!AP37,O46)</f>
        <v>0</v>
      </c>
      <c r="G46" s="4" t="s">
        <v>50</v>
      </c>
      <c r="H46" s="4" t="s">
        <v>51</v>
      </c>
      <c r="I46" s="4"/>
      <c r="J46" s="4"/>
      <c r="K46" s="4">
        <v>216</v>
      </c>
      <c r="L46" s="4">
        <v>8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223</v>
      </c>
      <c r="F47" s="4">
        <f>ROUND(Source!AQ37,O47)</f>
        <v>0</v>
      </c>
      <c r="G47" s="4" t="s">
        <v>52</v>
      </c>
      <c r="H47" s="4" t="s">
        <v>53</v>
      </c>
      <c r="I47" s="4"/>
      <c r="J47" s="4"/>
      <c r="K47" s="4">
        <v>223</v>
      </c>
      <c r="L47" s="4">
        <v>9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229</v>
      </c>
      <c r="F48" s="4">
        <f>ROUND(Source!AZ37,O48)</f>
        <v>0</v>
      </c>
      <c r="G48" s="4" t="s">
        <v>54</v>
      </c>
      <c r="H48" s="4" t="s">
        <v>55</v>
      </c>
      <c r="I48" s="4"/>
      <c r="J48" s="4"/>
      <c r="K48" s="4">
        <v>229</v>
      </c>
      <c r="L48" s="4">
        <v>10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203</v>
      </c>
      <c r="F49" s="4">
        <f>ROUND(Source!Q37,O49)</f>
        <v>156.36000000000001</v>
      </c>
      <c r="G49" s="4" t="s">
        <v>56</v>
      </c>
      <c r="H49" s="4" t="s">
        <v>57</v>
      </c>
      <c r="I49" s="4"/>
      <c r="J49" s="4"/>
      <c r="K49" s="4">
        <v>203</v>
      </c>
      <c r="L49" s="4">
        <v>11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156.36000000000001</v>
      </c>
      <c r="X49" s="4">
        <v>1</v>
      </c>
      <c r="Y49" s="4">
        <v>156.36000000000001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231</v>
      </c>
      <c r="F50" s="4">
        <f>ROUND(Source!BB37,O50)</f>
        <v>0</v>
      </c>
      <c r="G50" s="4" t="s">
        <v>58</v>
      </c>
      <c r="H50" s="4" t="s">
        <v>59</v>
      </c>
      <c r="I50" s="4"/>
      <c r="J50" s="4"/>
      <c r="K50" s="4">
        <v>231</v>
      </c>
      <c r="L50" s="4">
        <v>12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204</v>
      </c>
      <c r="F51" s="4">
        <f>ROUND(Source!R37,O51)</f>
        <v>99.14</v>
      </c>
      <c r="G51" s="4" t="s">
        <v>60</v>
      </c>
      <c r="H51" s="4" t="s">
        <v>61</v>
      </c>
      <c r="I51" s="4"/>
      <c r="J51" s="4"/>
      <c r="K51" s="4">
        <v>204</v>
      </c>
      <c r="L51" s="4">
        <v>13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99.14</v>
      </c>
      <c r="X51" s="4">
        <v>1</v>
      </c>
      <c r="Y51" s="4">
        <v>99.14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205</v>
      </c>
      <c r="F52" s="4">
        <f>ROUND(Source!S37,O52)</f>
        <v>1585.31</v>
      </c>
      <c r="G52" s="4" t="s">
        <v>62</v>
      </c>
      <c r="H52" s="4" t="s">
        <v>63</v>
      </c>
      <c r="I52" s="4"/>
      <c r="J52" s="4"/>
      <c r="K52" s="4">
        <v>205</v>
      </c>
      <c r="L52" s="4">
        <v>14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1585.31</v>
      </c>
      <c r="X52" s="4">
        <v>1</v>
      </c>
      <c r="Y52" s="4">
        <v>1585.31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232</v>
      </c>
      <c r="F53" s="4">
        <f>ROUND(Source!BC37,O53)</f>
        <v>0</v>
      </c>
      <c r="G53" s="4" t="s">
        <v>64</v>
      </c>
      <c r="H53" s="4" t="s">
        <v>65</v>
      </c>
      <c r="I53" s="4"/>
      <c r="J53" s="4"/>
      <c r="K53" s="4">
        <v>232</v>
      </c>
      <c r="L53" s="4">
        <v>15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214</v>
      </c>
      <c r="F54" s="4">
        <f>ROUND(Source!AS37,O54)</f>
        <v>0</v>
      </c>
      <c r="G54" s="4" t="s">
        <v>66</v>
      </c>
      <c r="H54" s="4" t="s">
        <v>67</v>
      </c>
      <c r="I54" s="4"/>
      <c r="J54" s="4"/>
      <c r="K54" s="4">
        <v>214</v>
      </c>
      <c r="L54" s="4">
        <v>16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215</v>
      </c>
      <c r="F55" s="4">
        <f>ROUND(Source!AT37,O55)</f>
        <v>0</v>
      </c>
      <c r="G55" s="4" t="s">
        <v>68</v>
      </c>
      <c r="H55" s="4" t="s">
        <v>69</v>
      </c>
      <c r="I55" s="4"/>
      <c r="J55" s="4"/>
      <c r="K55" s="4">
        <v>215</v>
      </c>
      <c r="L55" s="4">
        <v>17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217</v>
      </c>
      <c r="F56" s="4">
        <f>ROUND(Source!AU37,O56)</f>
        <v>3117.18</v>
      </c>
      <c r="G56" s="4" t="s">
        <v>70</v>
      </c>
      <c r="H56" s="4" t="s">
        <v>71</v>
      </c>
      <c r="I56" s="4"/>
      <c r="J56" s="4"/>
      <c r="K56" s="4">
        <v>217</v>
      </c>
      <c r="L56" s="4">
        <v>18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3117.18</v>
      </c>
      <c r="X56" s="4">
        <v>1</v>
      </c>
      <c r="Y56" s="4">
        <v>3117.18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230</v>
      </c>
      <c r="F57" s="4">
        <f>ROUND(Source!BA37,O57)</f>
        <v>0</v>
      </c>
      <c r="G57" s="4" t="s">
        <v>72</v>
      </c>
      <c r="H57" s="4" t="s">
        <v>73</v>
      </c>
      <c r="I57" s="4"/>
      <c r="J57" s="4"/>
      <c r="K57" s="4">
        <v>230</v>
      </c>
      <c r="L57" s="4">
        <v>19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206</v>
      </c>
      <c r="F58" s="4">
        <f>ROUND(Source!T37,O58)</f>
        <v>0</v>
      </c>
      <c r="G58" s="4" t="s">
        <v>74</v>
      </c>
      <c r="H58" s="4" t="s">
        <v>75</v>
      </c>
      <c r="I58" s="4"/>
      <c r="J58" s="4"/>
      <c r="K58" s="4">
        <v>206</v>
      </c>
      <c r="L58" s="4">
        <v>20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207</v>
      </c>
      <c r="F59" s="4">
        <f>Source!U37</f>
        <v>2.8200000000000003</v>
      </c>
      <c r="G59" s="4" t="s">
        <v>76</v>
      </c>
      <c r="H59" s="4" t="s">
        <v>77</v>
      </c>
      <c r="I59" s="4"/>
      <c r="J59" s="4"/>
      <c r="K59" s="4">
        <v>207</v>
      </c>
      <c r="L59" s="4">
        <v>21</v>
      </c>
      <c r="M59" s="4">
        <v>3</v>
      </c>
      <c r="N59" s="4" t="s">
        <v>3</v>
      </c>
      <c r="O59" s="4">
        <v>-1</v>
      </c>
      <c r="P59" s="4"/>
      <c r="Q59" s="4"/>
      <c r="R59" s="4"/>
      <c r="S59" s="4"/>
      <c r="T59" s="4"/>
      <c r="U59" s="4"/>
      <c r="V59" s="4"/>
      <c r="W59" s="4">
        <v>2.8200000000000003</v>
      </c>
      <c r="X59" s="4">
        <v>1</v>
      </c>
      <c r="Y59" s="4">
        <v>2.8200000000000003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208</v>
      </c>
      <c r="F60" s="4">
        <f>Source!V37</f>
        <v>0</v>
      </c>
      <c r="G60" s="4" t="s">
        <v>78</v>
      </c>
      <c r="H60" s="4" t="s">
        <v>79</v>
      </c>
      <c r="I60" s="4"/>
      <c r="J60" s="4"/>
      <c r="K60" s="4">
        <v>208</v>
      </c>
      <c r="L60" s="4">
        <v>22</v>
      </c>
      <c r="M60" s="4">
        <v>3</v>
      </c>
      <c r="N60" s="4" t="s">
        <v>3</v>
      </c>
      <c r="O60" s="4">
        <v>-1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209</v>
      </c>
      <c r="F61" s="4">
        <f>ROUND(Source!W37,O61)</f>
        <v>0</v>
      </c>
      <c r="G61" s="4" t="s">
        <v>80</v>
      </c>
      <c r="H61" s="4" t="s">
        <v>81</v>
      </c>
      <c r="I61" s="4"/>
      <c r="J61" s="4"/>
      <c r="K61" s="4">
        <v>209</v>
      </c>
      <c r="L61" s="4">
        <v>23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233</v>
      </c>
      <c r="F62" s="4">
        <f>ROUND(Source!BD37,O62)</f>
        <v>0</v>
      </c>
      <c r="G62" s="4" t="s">
        <v>82</v>
      </c>
      <c r="H62" s="4" t="s">
        <v>83</v>
      </c>
      <c r="I62" s="4"/>
      <c r="J62" s="4"/>
      <c r="K62" s="4">
        <v>233</v>
      </c>
      <c r="L62" s="4">
        <v>24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210</v>
      </c>
      <c r="F63" s="4">
        <f>ROUND(Source!X37,O63)</f>
        <v>1109.72</v>
      </c>
      <c r="G63" s="4" t="s">
        <v>84</v>
      </c>
      <c r="H63" s="4" t="s">
        <v>85</v>
      </c>
      <c r="I63" s="4"/>
      <c r="J63" s="4"/>
      <c r="K63" s="4">
        <v>210</v>
      </c>
      <c r="L63" s="4">
        <v>25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1109.72</v>
      </c>
      <c r="X63" s="4">
        <v>1</v>
      </c>
      <c r="Y63" s="4">
        <v>1109.72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211</v>
      </c>
      <c r="F64" s="4">
        <f>ROUND(Source!Y37,O64)</f>
        <v>158.53</v>
      </c>
      <c r="G64" s="4" t="s">
        <v>86</v>
      </c>
      <c r="H64" s="4" t="s">
        <v>87</v>
      </c>
      <c r="I64" s="4"/>
      <c r="J64" s="4"/>
      <c r="K64" s="4">
        <v>211</v>
      </c>
      <c r="L64" s="4">
        <v>26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158.53</v>
      </c>
      <c r="X64" s="4">
        <v>1</v>
      </c>
      <c r="Y64" s="4">
        <v>158.53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224</v>
      </c>
      <c r="F65" s="4">
        <f>ROUND(Source!AR37,O65)</f>
        <v>3117.18</v>
      </c>
      <c r="G65" s="4" t="s">
        <v>88</v>
      </c>
      <c r="H65" s="4" t="s">
        <v>89</v>
      </c>
      <c r="I65" s="4"/>
      <c r="J65" s="4"/>
      <c r="K65" s="4">
        <v>224</v>
      </c>
      <c r="L65" s="4">
        <v>27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3117.18</v>
      </c>
      <c r="X65" s="4">
        <v>1</v>
      </c>
      <c r="Y65" s="4">
        <v>3117.18</v>
      </c>
      <c r="Z65" s="4"/>
      <c r="AA65" s="4"/>
      <c r="AB65" s="4"/>
    </row>
    <row r="67" spans="1:245" x14ac:dyDescent="0.2">
      <c r="A67" s="1">
        <v>5</v>
      </c>
      <c r="B67" s="1">
        <v>1</v>
      </c>
      <c r="C67" s="1"/>
      <c r="D67" s="1">
        <f>ROW(A77)</f>
        <v>77</v>
      </c>
      <c r="E67" s="1"/>
      <c r="F67" s="1" t="s">
        <v>15</v>
      </c>
      <c r="G67" s="1" t="s">
        <v>90</v>
      </c>
      <c r="H67" s="1" t="s">
        <v>3</v>
      </c>
      <c r="I67" s="1">
        <v>0</v>
      </c>
      <c r="J67" s="1"/>
      <c r="K67" s="1">
        <v>0</v>
      </c>
      <c r="L67" s="1"/>
      <c r="M67" s="1" t="s">
        <v>3</v>
      </c>
      <c r="N67" s="1"/>
      <c r="O67" s="1"/>
      <c r="P67" s="1"/>
      <c r="Q67" s="1"/>
      <c r="R67" s="1"/>
      <c r="S67" s="1">
        <v>0</v>
      </c>
      <c r="T67" s="1"/>
      <c r="U67" s="1" t="s">
        <v>3</v>
      </c>
      <c r="V67" s="1">
        <v>0</v>
      </c>
      <c r="W67" s="1"/>
      <c r="X67" s="1"/>
      <c r="Y67" s="1"/>
      <c r="Z67" s="1"/>
      <c r="AA67" s="1"/>
      <c r="AB67" s="1" t="s">
        <v>3</v>
      </c>
      <c r="AC67" s="1" t="s">
        <v>3</v>
      </c>
      <c r="AD67" s="1" t="s">
        <v>3</v>
      </c>
      <c r="AE67" s="1" t="s">
        <v>3</v>
      </c>
      <c r="AF67" s="1" t="s">
        <v>3</v>
      </c>
      <c r="AG67" s="1" t="s">
        <v>3</v>
      </c>
      <c r="AH67" s="1"/>
      <c r="AI67" s="1"/>
      <c r="AJ67" s="1"/>
      <c r="AK67" s="1"/>
      <c r="AL67" s="1"/>
      <c r="AM67" s="1"/>
      <c r="AN67" s="1"/>
      <c r="AO67" s="1"/>
      <c r="AP67" s="1" t="s">
        <v>3</v>
      </c>
      <c r="AQ67" s="1" t="s">
        <v>3</v>
      </c>
      <c r="AR67" s="1" t="s">
        <v>3</v>
      </c>
      <c r="AS67" s="1"/>
      <c r="AT67" s="1"/>
      <c r="AU67" s="1"/>
      <c r="AV67" s="1"/>
      <c r="AW67" s="1"/>
      <c r="AX67" s="1"/>
      <c r="AY67" s="1"/>
      <c r="AZ67" s="1" t="s">
        <v>3</v>
      </c>
      <c r="BA67" s="1"/>
      <c r="BB67" s="1" t="s">
        <v>3</v>
      </c>
      <c r="BC67" s="1" t="s">
        <v>3</v>
      </c>
      <c r="BD67" s="1" t="s">
        <v>3</v>
      </c>
      <c r="BE67" s="1" t="s">
        <v>3</v>
      </c>
      <c r="BF67" s="1" t="s">
        <v>3</v>
      </c>
      <c r="BG67" s="1" t="s">
        <v>3</v>
      </c>
      <c r="BH67" s="1" t="s">
        <v>3</v>
      </c>
      <c r="BI67" s="1" t="s">
        <v>3</v>
      </c>
      <c r="BJ67" s="1" t="s">
        <v>3</v>
      </c>
      <c r="BK67" s="1" t="s">
        <v>3</v>
      </c>
      <c r="BL67" s="1" t="s">
        <v>3</v>
      </c>
      <c r="BM67" s="1" t="s">
        <v>3</v>
      </c>
      <c r="BN67" s="1" t="s">
        <v>3</v>
      </c>
      <c r="BO67" s="1" t="s">
        <v>3</v>
      </c>
      <c r="BP67" s="1" t="s">
        <v>3</v>
      </c>
      <c r="BQ67" s="1"/>
      <c r="BR67" s="1"/>
      <c r="BS67" s="1"/>
      <c r="BT67" s="1"/>
      <c r="BU67" s="1"/>
      <c r="BV67" s="1"/>
      <c r="BW67" s="1"/>
      <c r="BX67" s="1">
        <v>0</v>
      </c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>
        <v>0</v>
      </c>
    </row>
    <row r="69" spans="1:245" x14ac:dyDescent="0.2">
      <c r="A69" s="2">
        <v>52</v>
      </c>
      <c r="B69" s="2">
        <f t="shared" ref="B69:G69" si="32">B77</f>
        <v>1</v>
      </c>
      <c r="C69" s="2">
        <f t="shared" si="32"/>
        <v>5</v>
      </c>
      <c r="D69" s="2">
        <f t="shared" si="32"/>
        <v>67</v>
      </c>
      <c r="E69" s="2">
        <f t="shared" si="32"/>
        <v>0</v>
      </c>
      <c r="F69" s="2" t="str">
        <f t="shared" si="32"/>
        <v>Новый подраздел</v>
      </c>
      <c r="G69" s="2" t="str">
        <f t="shared" si="32"/>
        <v>Хозяйственно-питьевой водопровод холодной воды В1</v>
      </c>
      <c r="H69" s="2"/>
      <c r="I69" s="2"/>
      <c r="J69" s="2"/>
      <c r="K69" s="2"/>
      <c r="L69" s="2"/>
      <c r="M69" s="2"/>
      <c r="N69" s="2"/>
      <c r="O69" s="2">
        <f t="shared" ref="O69:AT69" si="33">O77</f>
        <v>8287.31</v>
      </c>
      <c r="P69" s="2">
        <f t="shared" si="33"/>
        <v>0</v>
      </c>
      <c r="Q69" s="2">
        <f t="shared" si="33"/>
        <v>1876.32</v>
      </c>
      <c r="R69" s="2">
        <f t="shared" si="33"/>
        <v>1189.68</v>
      </c>
      <c r="S69" s="2">
        <f t="shared" si="33"/>
        <v>6410.99</v>
      </c>
      <c r="T69" s="2">
        <f t="shared" si="33"/>
        <v>0</v>
      </c>
      <c r="U69" s="2">
        <f t="shared" si="33"/>
        <v>11.177999999999999</v>
      </c>
      <c r="V69" s="2">
        <f t="shared" si="33"/>
        <v>0</v>
      </c>
      <c r="W69" s="2">
        <f t="shared" si="33"/>
        <v>0</v>
      </c>
      <c r="X69" s="2">
        <f t="shared" si="33"/>
        <v>4487.6899999999996</v>
      </c>
      <c r="Y69" s="2">
        <f t="shared" si="33"/>
        <v>641.1</v>
      </c>
      <c r="Z69" s="2">
        <f t="shared" si="33"/>
        <v>0</v>
      </c>
      <c r="AA69" s="2">
        <f t="shared" si="33"/>
        <v>0</v>
      </c>
      <c r="AB69" s="2">
        <f t="shared" si="33"/>
        <v>8287.31</v>
      </c>
      <c r="AC69" s="2">
        <f t="shared" si="33"/>
        <v>0</v>
      </c>
      <c r="AD69" s="2">
        <f t="shared" si="33"/>
        <v>1876.32</v>
      </c>
      <c r="AE69" s="2">
        <f t="shared" si="33"/>
        <v>1189.68</v>
      </c>
      <c r="AF69" s="2">
        <f t="shared" si="33"/>
        <v>6410.99</v>
      </c>
      <c r="AG69" s="2">
        <f t="shared" si="33"/>
        <v>0</v>
      </c>
      <c r="AH69" s="2">
        <f t="shared" si="33"/>
        <v>11.177999999999999</v>
      </c>
      <c r="AI69" s="2">
        <f t="shared" si="33"/>
        <v>0</v>
      </c>
      <c r="AJ69" s="2">
        <f t="shared" si="33"/>
        <v>0</v>
      </c>
      <c r="AK69" s="2">
        <f t="shared" si="33"/>
        <v>4487.6899999999996</v>
      </c>
      <c r="AL69" s="2">
        <f t="shared" si="33"/>
        <v>641.1</v>
      </c>
      <c r="AM69" s="2">
        <f t="shared" si="33"/>
        <v>0</v>
      </c>
      <c r="AN69" s="2">
        <f t="shared" si="33"/>
        <v>0</v>
      </c>
      <c r="AO69" s="2">
        <f t="shared" si="33"/>
        <v>0</v>
      </c>
      <c r="AP69" s="2">
        <f t="shared" si="33"/>
        <v>0</v>
      </c>
      <c r="AQ69" s="2">
        <f t="shared" si="33"/>
        <v>0</v>
      </c>
      <c r="AR69" s="2">
        <f t="shared" si="33"/>
        <v>14700.95</v>
      </c>
      <c r="AS69" s="2">
        <f t="shared" si="33"/>
        <v>0</v>
      </c>
      <c r="AT69" s="2">
        <f t="shared" si="33"/>
        <v>0</v>
      </c>
      <c r="AU69" s="2">
        <f t="shared" ref="AU69:BZ69" si="34">AU77</f>
        <v>14700.95</v>
      </c>
      <c r="AV69" s="2">
        <f t="shared" si="34"/>
        <v>0</v>
      </c>
      <c r="AW69" s="2">
        <f t="shared" si="34"/>
        <v>0</v>
      </c>
      <c r="AX69" s="2">
        <f t="shared" si="34"/>
        <v>0</v>
      </c>
      <c r="AY69" s="2">
        <f t="shared" si="34"/>
        <v>0</v>
      </c>
      <c r="AZ69" s="2">
        <f t="shared" si="34"/>
        <v>0</v>
      </c>
      <c r="BA69" s="2">
        <f t="shared" si="34"/>
        <v>0</v>
      </c>
      <c r="BB69" s="2">
        <f t="shared" si="34"/>
        <v>0</v>
      </c>
      <c r="BC69" s="2">
        <f t="shared" si="34"/>
        <v>0</v>
      </c>
      <c r="BD69" s="2">
        <f t="shared" si="34"/>
        <v>0</v>
      </c>
      <c r="BE69" s="2">
        <f t="shared" si="34"/>
        <v>0</v>
      </c>
      <c r="BF69" s="2">
        <f t="shared" si="34"/>
        <v>0</v>
      </c>
      <c r="BG69" s="2">
        <f t="shared" si="34"/>
        <v>0</v>
      </c>
      <c r="BH69" s="2">
        <f t="shared" si="34"/>
        <v>0</v>
      </c>
      <c r="BI69" s="2">
        <f t="shared" si="34"/>
        <v>0</v>
      </c>
      <c r="BJ69" s="2">
        <f t="shared" si="34"/>
        <v>0</v>
      </c>
      <c r="BK69" s="2">
        <f t="shared" si="34"/>
        <v>0</v>
      </c>
      <c r="BL69" s="2">
        <f t="shared" si="34"/>
        <v>0</v>
      </c>
      <c r="BM69" s="2">
        <f t="shared" si="34"/>
        <v>0</v>
      </c>
      <c r="BN69" s="2">
        <f t="shared" si="34"/>
        <v>0</v>
      </c>
      <c r="BO69" s="2">
        <f t="shared" si="34"/>
        <v>0</v>
      </c>
      <c r="BP69" s="2">
        <f t="shared" si="34"/>
        <v>0</v>
      </c>
      <c r="BQ69" s="2">
        <f t="shared" si="34"/>
        <v>0</v>
      </c>
      <c r="BR69" s="2">
        <f t="shared" si="34"/>
        <v>0</v>
      </c>
      <c r="BS69" s="2">
        <f t="shared" si="34"/>
        <v>0</v>
      </c>
      <c r="BT69" s="2">
        <f t="shared" si="34"/>
        <v>0</v>
      </c>
      <c r="BU69" s="2">
        <f t="shared" si="34"/>
        <v>0</v>
      </c>
      <c r="BV69" s="2">
        <f t="shared" si="34"/>
        <v>0</v>
      </c>
      <c r="BW69" s="2">
        <f t="shared" si="34"/>
        <v>0</v>
      </c>
      <c r="BX69" s="2">
        <f t="shared" si="34"/>
        <v>0</v>
      </c>
      <c r="BY69" s="2">
        <f t="shared" si="34"/>
        <v>0</v>
      </c>
      <c r="BZ69" s="2">
        <f t="shared" si="34"/>
        <v>0</v>
      </c>
      <c r="CA69" s="2">
        <f t="shared" ref="CA69:DF69" si="35">CA77</f>
        <v>14700.95</v>
      </c>
      <c r="CB69" s="2">
        <f t="shared" si="35"/>
        <v>0</v>
      </c>
      <c r="CC69" s="2">
        <f t="shared" si="35"/>
        <v>0</v>
      </c>
      <c r="CD69" s="2">
        <f t="shared" si="35"/>
        <v>14700.95</v>
      </c>
      <c r="CE69" s="2">
        <f t="shared" si="35"/>
        <v>0</v>
      </c>
      <c r="CF69" s="2">
        <f t="shared" si="35"/>
        <v>0</v>
      </c>
      <c r="CG69" s="2">
        <f t="shared" si="35"/>
        <v>0</v>
      </c>
      <c r="CH69" s="2">
        <f t="shared" si="35"/>
        <v>0</v>
      </c>
      <c r="CI69" s="2">
        <f t="shared" si="35"/>
        <v>0</v>
      </c>
      <c r="CJ69" s="2">
        <f t="shared" si="35"/>
        <v>0</v>
      </c>
      <c r="CK69" s="2">
        <f t="shared" si="35"/>
        <v>0</v>
      </c>
      <c r="CL69" s="2">
        <f t="shared" si="35"/>
        <v>0</v>
      </c>
      <c r="CM69" s="2">
        <f t="shared" si="35"/>
        <v>0</v>
      </c>
      <c r="CN69" s="2">
        <f t="shared" si="35"/>
        <v>0</v>
      </c>
      <c r="CO69" s="2">
        <f t="shared" si="35"/>
        <v>0</v>
      </c>
      <c r="CP69" s="2">
        <f t="shared" si="35"/>
        <v>0</v>
      </c>
      <c r="CQ69" s="2">
        <f t="shared" si="35"/>
        <v>0</v>
      </c>
      <c r="CR69" s="2">
        <f t="shared" si="35"/>
        <v>0</v>
      </c>
      <c r="CS69" s="2">
        <f t="shared" si="35"/>
        <v>0</v>
      </c>
      <c r="CT69" s="2">
        <f t="shared" si="35"/>
        <v>0</v>
      </c>
      <c r="CU69" s="2">
        <f t="shared" si="35"/>
        <v>0</v>
      </c>
      <c r="CV69" s="2">
        <f t="shared" si="35"/>
        <v>0</v>
      </c>
      <c r="CW69" s="2">
        <f t="shared" si="35"/>
        <v>0</v>
      </c>
      <c r="CX69" s="2">
        <f t="shared" si="35"/>
        <v>0</v>
      </c>
      <c r="CY69" s="2">
        <f t="shared" si="35"/>
        <v>0</v>
      </c>
      <c r="CZ69" s="2">
        <f t="shared" si="35"/>
        <v>0</v>
      </c>
      <c r="DA69" s="2">
        <f t="shared" si="35"/>
        <v>0</v>
      </c>
      <c r="DB69" s="2">
        <f t="shared" si="35"/>
        <v>0</v>
      </c>
      <c r="DC69" s="2">
        <f t="shared" si="35"/>
        <v>0</v>
      </c>
      <c r="DD69" s="2">
        <f t="shared" si="35"/>
        <v>0</v>
      </c>
      <c r="DE69" s="2">
        <f t="shared" si="35"/>
        <v>0</v>
      </c>
      <c r="DF69" s="2">
        <f t="shared" si="35"/>
        <v>0</v>
      </c>
      <c r="DG69" s="3">
        <f t="shared" ref="DG69:EL69" si="36">DG77</f>
        <v>0</v>
      </c>
      <c r="DH69" s="3">
        <f t="shared" si="36"/>
        <v>0</v>
      </c>
      <c r="DI69" s="3">
        <f t="shared" si="36"/>
        <v>0</v>
      </c>
      <c r="DJ69" s="3">
        <f t="shared" si="36"/>
        <v>0</v>
      </c>
      <c r="DK69" s="3">
        <f t="shared" si="36"/>
        <v>0</v>
      </c>
      <c r="DL69" s="3">
        <f t="shared" si="36"/>
        <v>0</v>
      </c>
      <c r="DM69" s="3">
        <f t="shared" si="36"/>
        <v>0</v>
      </c>
      <c r="DN69" s="3">
        <f t="shared" si="36"/>
        <v>0</v>
      </c>
      <c r="DO69" s="3">
        <f t="shared" si="36"/>
        <v>0</v>
      </c>
      <c r="DP69" s="3">
        <f t="shared" si="36"/>
        <v>0</v>
      </c>
      <c r="DQ69" s="3">
        <f t="shared" si="36"/>
        <v>0</v>
      </c>
      <c r="DR69" s="3">
        <f t="shared" si="36"/>
        <v>0</v>
      </c>
      <c r="DS69" s="3">
        <f t="shared" si="36"/>
        <v>0</v>
      </c>
      <c r="DT69" s="3">
        <f t="shared" si="36"/>
        <v>0</v>
      </c>
      <c r="DU69" s="3">
        <f t="shared" si="36"/>
        <v>0</v>
      </c>
      <c r="DV69" s="3">
        <f t="shared" si="36"/>
        <v>0</v>
      </c>
      <c r="DW69" s="3">
        <f t="shared" si="36"/>
        <v>0</v>
      </c>
      <c r="DX69" s="3">
        <f t="shared" si="36"/>
        <v>0</v>
      </c>
      <c r="DY69" s="3">
        <f t="shared" si="36"/>
        <v>0</v>
      </c>
      <c r="DZ69" s="3">
        <f t="shared" si="36"/>
        <v>0</v>
      </c>
      <c r="EA69" s="3">
        <f t="shared" si="36"/>
        <v>0</v>
      </c>
      <c r="EB69" s="3">
        <f t="shared" si="36"/>
        <v>0</v>
      </c>
      <c r="EC69" s="3">
        <f t="shared" si="36"/>
        <v>0</v>
      </c>
      <c r="ED69" s="3">
        <f t="shared" si="36"/>
        <v>0</v>
      </c>
      <c r="EE69" s="3">
        <f t="shared" si="36"/>
        <v>0</v>
      </c>
      <c r="EF69" s="3">
        <f t="shared" si="36"/>
        <v>0</v>
      </c>
      <c r="EG69" s="3">
        <f t="shared" si="36"/>
        <v>0</v>
      </c>
      <c r="EH69" s="3">
        <f t="shared" si="36"/>
        <v>0</v>
      </c>
      <c r="EI69" s="3">
        <f t="shared" si="36"/>
        <v>0</v>
      </c>
      <c r="EJ69" s="3">
        <f t="shared" si="36"/>
        <v>0</v>
      </c>
      <c r="EK69" s="3">
        <f t="shared" si="36"/>
        <v>0</v>
      </c>
      <c r="EL69" s="3">
        <f t="shared" si="36"/>
        <v>0</v>
      </c>
      <c r="EM69" s="3">
        <f t="shared" ref="EM69:FR69" si="37">EM77</f>
        <v>0</v>
      </c>
      <c r="EN69" s="3">
        <f t="shared" si="37"/>
        <v>0</v>
      </c>
      <c r="EO69" s="3">
        <f t="shared" si="37"/>
        <v>0</v>
      </c>
      <c r="EP69" s="3">
        <f t="shared" si="37"/>
        <v>0</v>
      </c>
      <c r="EQ69" s="3">
        <f t="shared" si="37"/>
        <v>0</v>
      </c>
      <c r="ER69" s="3">
        <f t="shared" si="37"/>
        <v>0</v>
      </c>
      <c r="ES69" s="3">
        <f t="shared" si="37"/>
        <v>0</v>
      </c>
      <c r="ET69" s="3">
        <f t="shared" si="37"/>
        <v>0</v>
      </c>
      <c r="EU69" s="3">
        <f t="shared" si="37"/>
        <v>0</v>
      </c>
      <c r="EV69" s="3">
        <f t="shared" si="37"/>
        <v>0</v>
      </c>
      <c r="EW69" s="3">
        <f t="shared" si="37"/>
        <v>0</v>
      </c>
      <c r="EX69" s="3">
        <f t="shared" si="37"/>
        <v>0</v>
      </c>
      <c r="EY69" s="3">
        <f t="shared" si="37"/>
        <v>0</v>
      </c>
      <c r="EZ69" s="3">
        <f t="shared" si="37"/>
        <v>0</v>
      </c>
      <c r="FA69" s="3">
        <f t="shared" si="37"/>
        <v>0</v>
      </c>
      <c r="FB69" s="3">
        <f t="shared" si="37"/>
        <v>0</v>
      </c>
      <c r="FC69" s="3">
        <f t="shared" si="37"/>
        <v>0</v>
      </c>
      <c r="FD69" s="3">
        <f t="shared" si="37"/>
        <v>0</v>
      </c>
      <c r="FE69" s="3">
        <f t="shared" si="37"/>
        <v>0</v>
      </c>
      <c r="FF69" s="3">
        <f t="shared" si="37"/>
        <v>0</v>
      </c>
      <c r="FG69" s="3">
        <f t="shared" si="37"/>
        <v>0</v>
      </c>
      <c r="FH69" s="3">
        <f t="shared" si="37"/>
        <v>0</v>
      </c>
      <c r="FI69" s="3">
        <f t="shared" si="37"/>
        <v>0</v>
      </c>
      <c r="FJ69" s="3">
        <f t="shared" si="37"/>
        <v>0</v>
      </c>
      <c r="FK69" s="3">
        <f t="shared" si="37"/>
        <v>0</v>
      </c>
      <c r="FL69" s="3">
        <f t="shared" si="37"/>
        <v>0</v>
      </c>
      <c r="FM69" s="3">
        <f t="shared" si="37"/>
        <v>0</v>
      </c>
      <c r="FN69" s="3">
        <f t="shared" si="37"/>
        <v>0</v>
      </c>
      <c r="FO69" s="3">
        <f t="shared" si="37"/>
        <v>0</v>
      </c>
      <c r="FP69" s="3">
        <f t="shared" si="37"/>
        <v>0</v>
      </c>
      <c r="FQ69" s="3">
        <f t="shared" si="37"/>
        <v>0</v>
      </c>
      <c r="FR69" s="3">
        <f t="shared" si="37"/>
        <v>0</v>
      </c>
      <c r="FS69" s="3">
        <f t="shared" ref="FS69:GX69" si="38">FS77</f>
        <v>0</v>
      </c>
      <c r="FT69" s="3">
        <f t="shared" si="38"/>
        <v>0</v>
      </c>
      <c r="FU69" s="3">
        <f t="shared" si="38"/>
        <v>0</v>
      </c>
      <c r="FV69" s="3">
        <f t="shared" si="38"/>
        <v>0</v>
      </c>
      <c r="FW69" s="3">
        <f t="shared" si="38"/>
        <v>0</v>
      </c>
      <c r="FX69" s="3">
        <f t="shared" si="38"/>
        <v>0</v>
      </c>
      <c r="FY69" s="3">
        <f t="shared" si="38"/>
        <v>0</v>
      </c>
      <c r="FZ69" s="3">
        <f t="shared" si="38"/>
        <v>0</v>
      </c>
      <c r="GA69" s="3">
        <f t="shared" si="38"/>
        <v>0</v>
      </c>
      <c r="GB69" s="3">
        <f t="shared" si="38"/>
        <v>0</v>
      </c>
      <c r="GC69" s="3">
        <f t="shared" si="38"/>
        <v>0</v>
      </c>
      <c r="GD69" s="3">
        <f t="shared" si="38"/>
        <v>0</v>
      </c>
      <c r="GE69" s="3">
        <f t="shared" si="38"/>
        <v>0</v>
      </c>
      <c r="GF69" s="3">
        <f t="shared" si="38"/>
        <v>0</v>
      </c>
      <c r="GG69" s="3">
        <f t="shared" si="38"/>
        <v>0</v>
      </c>
      <c r="GH69" s="3">
        <f t="shared" si="38"/>
        <v>0</v>
      </c>
      <c r="GI69" s="3">
        <f t="shared" si="38"/>
        <v>0</v>
      </c>
      <c r="GJ69" s="3">
        <f t="shared" si="38"/>
        <v>0</v>
      </c>
      <c r="GK69" s="3">
        <f t="shared" si="38"/>
        <v>0</v>
      </c>
      <c r="GL69" s="3">
        <f t="shared" si="38"/>
        <v>0</v>
      </c>
      <c r="GM69" s="3">
        <f t="shared" si="38"/>
        <v>0</v>
      </c>
      <c r="GN69" s="3">
        <f t="shared" si="38"/>
        <v>0</v>
      </c>
      <c r="GO69" s="3">
        <f t="shared" si="38"/>
        <v>0</v>
      </c>
      <c r="GP69" s="3">
        <f t="shared" si="38"/>
        <v>0</v>
      </c>
      <c r="GQ69" s="3">
        <f t="shared" si="38"/>
        <v>0</v>
      </c>
      <c r="GR69" s="3">
        <f t="shared" si="38"/>
        <v>0</v>
      </c>
      <c r="GS69" s="3">
        <f t="shared" si="38"/>
        <v>0</v>
      </c>
      <c r="GT69" s="3">
        <f t="shared" si="38"/>
        <v>0</v>
      </c>
      <c r="GU69" s="3">
        <f t="shared" si="38"/>
        <v>0</v>
      </c>
      <c r="GV69" s="3">
        <f t="shared" si="38"/>
        <v>0</v>
      </c>
      <c r="GW69" s="3">
        <f t="shared" si="38"/>
        <v>0</v>
      </c>
      <c r="GX69" s="3">
        <f t="shared" si="38"/>
        <v>0</v>
      </c>
    </row>
    <row r="71" spans="1:245" x14ac:dyDescent="0.2">
      <c r="A71">
        <v>17</v>
      </c>
      <c r="B71">
        <v>1</v>
      </c>
      <c r="D71">
        <f>ROW(EtalonRes!A10)</f>
        <v>10</v>
      </c>
      <c r="E71" t="s">
        <v>91</v>
      </c>
      <c r="F71" t="s">
        <v>92</v>
      </c>
      <c r="G71" t="s">
        <v>93</v>
      </c>
      <c r="H71" t="s">
        <v>94</v>
      </c>
      <c r="I71">
        <f>ROUND((34+13)/10,9)</f>
        <v>4.7</v>
      </c>
      <c r="J71">
        <v>0</v>
      </c>
      <c r="K71">
        <f>ROUND((34+13)/10,9)</f>
        <v>4.7</v>
      </c>
      <c r="O71">
        <f>ROUND(CP71,2)</f>
        <v>1305.99</v>
      </c>
      <c r="P71">
        <f>ROUND(CQ71*I71,2)</f>
        <v>0</v>
      </c>
      <c r="Q71">
        <f>ROUND(CR71*I71,2)</f>
        <v>0</v>
      </c>
      <c r="R71">
        <f>ROUND(CS71*I71,2)</f>
        <v>0</v>
      </c>
      <c r="S71">
        <f>ROUND(CT71*I71,2)</f>
        <v>1305.99</v>
      </c>
      <c r="T71">
        <f>ROUND(CU71*I71,2)</f>
        <v>0</v>
      </c>
      <c r="U71">
        <f>CV71*I71</f>
        <v>2.1150000000000002</v>
      </c>
      <c r="V71">
        <f>CW71*I71</f>
        <v>0</v>
      </c>
      <c r="W71">
        <f>ROUND(CX71*I71,2)</f>
        <v>0</v>
      </c>
      <c r="X71">
        <f t="shared" ref="X71:Y75" si="39">ROUND(CY71,2)</f>
        <v>914.19</v>
      </c>
      <c r="Y71">
        <f t="shared" si="39"/>
        <v>130.6</v>
      </c>
      <c r="AA71">
        <v>1472506909</v>
      </c>
      <c r="AB71">
        <f>ROUND((AC71+AD71+AF71),6)</f>
        <v>277.87</v>
      </c>
      <c r="AC71">
        <f>ROUND((ES71),6)</f>
        <v>0</v>
      </c>
      <c r="AD71">
        <f>ROUND((((ET71)-(EU71))+AE71),6)</f>
        <v>0</v>
      </c>
      <c r="AE71">
        <f t="shared" ref="AE71:AF73" si="40">ROUND((EU71),6)</f>
        <v>0</v>
      </c>
      <c r="AF71">
        <f t="shared" si="40"/>
        <v>277.87</v>
      </c>
      <c r="AG71">
        <f>ROUND((AP71),6)</f>
        <v>0</v>
      </c>
      <c r="AH71">
        <f t="shared" ref="AH71:AI73" si="41">(EW71)</f>
        <v>0.45</v>
      </c>
      <c r="AI71">
        <f t="shared" si="41"/>
        <v>0</v>
      </c>
      <c r="AJ71">
        <f>(AS71)</f>
        <v>0</v>
      </c>
      <c r="AK71">
        <v>277.87</v>
      </c>
      <c r="AL71">
        <v>0</v>
      </c>
      <c r="AM71">
        <v>0</v>
      </c>
      <c r="AN71">
        <v>0</v>
      </c>
      <c r="AO71">
        <v>277.87</v>
      </c>
      <c r="AP71">
        <v>0</v>
      </c>
      <c r="AQ71">
        <v>0.45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95</v>
      </c>
      <c r="BM71">
        <v>0</v>
      </c>
      <c r="BN71">
        <v>0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>(P71+Q71+S71)</f>
        <v>1305.99</v>
      </c>
      <c r="CQ71">
        <f>(AC71*BC71*AW71)</f>
        <v>0</v>
      </c>
      <c r="CR71">
        <f>((((ET71)*BB71-(EU71)*BS71)+AE71*BS71)*AV71)</f>
        <v>0</v>
      </c>
      <c r="CS71">
        <f>(AE71*BS71*AV71)</f>
        <v>0</v>
      </c>
      <c r="CT71">
        <f>(AF71*BA71*AV71)</f>
        <v>277.87</v>
      </c>
      <c r="CU71">
        <f>AG71</f>
        <v>0</v>
      </c>
      <c r="CV71">
        <f>(AH71*AV71)</f>
        <v>0.45</v>
      </c>
      <c r="CW71">
        <f t="shared" ref="CW71:CX75" si="42">AI71</f>
        <v>0</v>
      </c>
      <c r="CX71">
        <f t="shared" si="42"/>
        <v>0</v>
      </c>
      <c r="CY71">
        <f>((S71*BZ71)/100)</f>
        <v>914.19299999999998</v>
      </c>
      <c r="CZ71">
        <f>((S71*CA71)/100)</f>
        <v>130.59899999999999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16987630</v>
      </c>
      <c r="DV71" t="s">
        <v>94</v>
      </c>
      <c r="DW71" t="s">
        <v>94</v>
      </c>
      <c r="DX71">
        <v>10</v>
      </c>
      <c r="DZ71" t="s">
        <v>3</v>
      </c>
      <c r="EA71" t="s">
        <v>3</v>
      </c>
      <c r="EB71" t="s">
        <v>3</v>
      </c>
      <c r="EC71" t="s">
        <v>3</v>
      </c>
      <c r="EE71">
        <v>1441815344</v>
      </c>
      <c r="EF71">
        <v>1</v>
      </c>
      <c r="EG71" t="s">
        <v>22</v>
      </c>
      <c r="EH71">
        <v>0</v>
      </c>
      <c r="EI71" t="s">
        <v>3</v>
      </c>
      <c r="EJ71">
        <v>4</v>
      </c>
      <c r="EK71">
        <v>0</v>
      </c>
      <c r="EL71" t="s">
        <v>23</v>
      </c>
      <c r="EM71" t="s">
        <v>24</v>
      </c>
      <c r="EO71" t="s">
        <v>3</v>
      </c>
      <c r="EQ71">
        <v>0</v>
      </c>
      <c r="ER71">
        <v>277.87</v>
      </c>
      <c r="ES71">
        <v>0</v>
      </c>
      <c r="ET71">
        <v>0</v>
      </c>
      <c r="EU71">
        <v>0</v>
      </c>
      <c r="EV71">
        <v>277.87</v>
      </c>
      <c r="EW71">
        <v>0.45</v>
      </c>
      <c r="EX71">
        <v>0</v>
      </c>
      <c r="EY71">
        <v>0</v>
      </c>
      <c r="FQ71">
        <v>0</v>
      </c>
      <c r="FR71">
        <f>ROUND(IF(BI71=3,GM71,0),2)</f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-559430364</v>
      </c>
      <c r="GG71">
        <v>2</v>
      </c>
      <c r="GH71">
        <v>1</v>
      </c>
      <c r="GI71">
        <v>-2</v>
      </c>
      <c r="GJ71">
        <v>0</v>
      </c>
      <c r="GK71">
        <f>ROUND(R71*(R12)/100,2)</f>
        <v>0</v>
      </c>
      <c r="GL71">
        <f>ROUND(IF(AND(BH71=3,BI71=3,FS71&lt;&gt;0),P71,0),2)</f>
        <v>0</v>
      </c>
      <c r="GM71">
        <f>ROUND(O71+X71+Y71+GK71,2)+GX71</f>
        <v>2350.7800000000002</v>
      </c>
      <c r="GN71">
        <f>IF(OR(BI71=0,BI71=1),GM71-GX71,0)</f>
        <v>0</v>
      </c>
      <c r="GO71">
        <f>IF(BI71=2,GM71-GX71,0)</f>
        <v>0</v>
      </c>
      <c r="GP71">
        <f>IF(BI71=4,GM71-GX71,0)</f>
        <v>2350.7800000000002</v>
      </c>
      <c r="GR71">
        <v>0</v>
      </c>
      <c r="GS71">
        <v>3</v>
      </c>
      <c r="GT71">
        <v>0</v>
      </c>
      <c r="GU71" t="s">
        <v>3</v>
      </c>
      <c r="GV71">
        <f>ROUND((GT71),6)</f>
        <v>0</v>
      </c>
      <c r="GW71">
        <v>1</v>
      </c>
      <c r="GX71">
        <f>ROUND(HC71*I71,2)</f>
        <v>0</v>
      </c>
      <c r="HA71">
        <v>0</v>
      </c>
      <c r="HB71">
        <v>0</v>
      </c>
      <c r="HC71">
        <f>GV71*GW71</f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2" spans="1:245" x14ac:dyDescent="0.2">
      <c r="A72">
        <v>17</v>
      </c>
      <c r="B72">
        <v>1</v>
      </c>
      <c r="D72">
        <f>ROW(EtalonRes!A11)</f>
        <v>11</v>
      </c>
      <c r="E72" t="s">
        <v>96</v>
      </c>
      <c r="F72" t="s">
        <v>97</v>
      </c>
      <c r="G72" t="s">
        <v>98</v>
      </c>
      <c r="H72" t="s">
        <v>94</v>
      </c>
      <c r="I72">
        <f>ROUND(3/10,9)</f>
        <v>0.3</v>
      </c>
      <c r="J72">
        <v>0</v>
      </c>
      <c r="K72">
        <f>ROUND(3/10,9)</f>
        <v>0.3</v>
      </c>
      <c r="O72">
        <f>ROUND(CP72,2)</f>
        <v>113</v>
      </c>
      <c r="P72">
        <f>ROUND(CQ72*I72,2)</f>
        <v>0</v>
      </c>
      <c r="Q72">
        <f>ROUND(CR72*I72,2)</f>
        <v>0</v>
      </c>
      <c r="R72">
        <f>ROUND(CS72*I72,2)</f>
        <v>0</v>
      </c>
      <c r="S72">
        <f>ROUND(CT72*I72,2)</f>
        <v>113</v>
      </c>
      <c r="T72">
        <f>ROUND(CU72*I72,2)</f>
        <v>0</v>
      </c>
      <c r="U72">
        <f>CV72*I72</f>
        <v>0.183</v>
      </c>
      <c r="V72">
        <f>CW72*I72</f>
        <v>0</v>
      </c>
      <c r="W72">
        <f>ROUND(CX72*I72,2)</f>
        <v>0</v>
      </c>
      <c r="X72">
        <f t="shared" si="39"/>
        <v>79.099999999999994</v>
      </c>
      <c r="Y72">
        <f t="shared" si="39"/>
        <v>11.3</v>
      </c>
      <c r="AA72">
        <v>1472506909</v>
      </c>
      <c r="AB72">
        <f>ROUND((AC72+AD72+AF72),6)</f>
        <v>376.67</v>
      </c>
      <c r="AC72">
        <f>ROUND((ES72),6)</f>
        <v>0</v>
      </c>
      <c r="AD72">
        <f>ROUND((((ET72)-(EU72))+AE72),6)</f>
        <v>0</v>
      </c>
      <c r="AE72">
        <f t="shared" si="40"/>
        <v>0</v>
      </c>
      <c r="AF72">
        <f t="shared" si="40"/>
        <v>376.67</v>
      </c>
      <c r="AG72">
        <f>ROUND((AP72),6)</f>
        <v>0</v>
      </c>
      <c r="AH72">
        <f t="shared" si="41"/>
        <v>0.61</v>
      </c>
      <c r="AI72">
        <f t="shared" si="41"/>
        <v>0</v>
      </c>
      <c r="AJ72">
        <f>(AS72)</f>
        <v>0</v>
      </c>
      <c r="AK72">
        <v>376.67</v>
      </c>
      <c r="AL72">
        <v>0</v>
      </c>
      <c r="AM72">
        <v>0</v>
      </c>
      <c r="AN72">
        <v>0</v>
      </c>
      <c r="AO72">
        <v>376.67</v>
      </c>
      <c r="AP72">
        <v>0</v>
      </c>
      <c r="AQ72">
        <v>0.61</v>
      </c>
      <c r="AR72">
        <v>0</v>
      </c>
      <c r="AS72">
        <v>0</v>
      </c>
      <c r="AT72">
        <v>70</v>
      </c>
      <c r="AU72">
        <v>10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4</v>
      </c>
      <c r="BJ72" t="s">
        <v>99</v>
      </c>
      <c r="BM72">
        <v>0</v>
      </c>
      <c r="BN72">
        <v>0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70</v>
      </c>
      <c r="CA72">
        <v>10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>(P72+Q72+S72)</f>
        <v>113</v>
      </c>
      <c r="CQ72">
        <f>(AC72*BC72*AW72)</f>
        <v>0</v>
      </c>
      <c r="CR72">
        <f>((((ET72)*BB72-(EU72)*BS72)+AE72*BS72)*AV72)</f>
        <v>0</v>
      </c>
      <c r="CS72">
        <f>(AE72*BS72*AV72)</f>
        <v>0</v>
      </c>
      <c r="CT72">
        <f>(AF72*BA72*AV72)</f>
        <v>376.67</v>
      </c>
      <c r="CU72">
        <f>AG72</f>
        <v>0</v>
      </c>
      <c r="CV72">
        <f>(AH72*AV72)</f>
        <v>0.61</v>
      </c>
      <c r="CW72">
        <f t="shared" si="42"/>
        <v>0</v>
      </c>
      <c r="CX72">
        <f t="shared" si="42"/>
        <v>0</v>
      </c>
      <c r="CY72">
        <f>((S72*BZ72)/100)</f>
        <v>79.099999999999994</v>
      </c>
      <c r="CZ72">
        <f>((S72*CA72)/100)</f>
        <v>11.3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16987630</v>
      </c>
      <c r="DV72" t="s">
        <v>94</v>
      </c>
      <c r="DW72" t="s">
        <v>94</v>
      </c>
      <c r="DX72">
        <v>10</v>
      </c>
      <c r="DZ72" t="s">
        <v>3</v>
      </c>
      <c r="EA72" t="s">
        <v>3</v>
      </c>
      <c r="EB72" t="s">
        <v>3</v>
      </c>
      <c r="EC72" t="s">
        <v>3</v>
      </c>
      <c r="EE72">
        <v>1441815344</v>
      </c>
      <c r="EF72">
        <v>1</v>
      </c>
      <c r="EG72" t="s">
        <v>22</v>
      </c>
      <c r="EH72">
        <v>0</v>
      </c>
      <c r="EI72" t="s">
        <v>3</v>
      </c>
      <c r="EJ72">
        <v>4</v>
      </c>
      <c r="EK72">
        <v>0</v>
      </c>
      <c r="EL72" t="s">
        <v>23</v>
      </c>
      <c r="EM72" t="s">
        <v>24</v>
      </c>
      <c r="EO72" t="s">
        <v>3</v>
      </c>
      <c r="EQ72">
        <v>0</v>
      </c>
      <c r="ER72">
        <v>376.67</v>
      </c>
      <c r="ES72">
        <v>0</v>
      </c>
      <c r="ET72">
        <v>0</v>
      </c>
      <c r="EU72">
        <v>0</v>
      </c>
      <c r="EV72">
        <v>376.67</v>
      </c>
      <c r="EW72">
        <v>0.61</v>
      </c>
      <c r="EX72">
        <v>0</v>
      </c>
      <c r="EY72">
        <v>0</v>
      </c>
      <c r="FQ72">
        <v>0</v>
      </c>
      <c r="FR72">
        <f>ROUND(IF(BI72=3,GM72,0),2)</f>
        <v>0</v>
      </c>
      <c r="FS72">
        <v>0</v>
      </c>
      <c r="FX72">
        <v>70</v>
      </c>
      <c r="FY72">
        <v>10</v>
      </c>
      <c r="GA72" t="s">
        <v>3</v>
      </c>
      <c r="GD72">
        <v>0</v>
      </c>
      <c r="GF72">
        <v>357408898</v>
      </c>
      <c r="GG72">
        <v>2</v>
      </c>
      <c r="GH72">
        <v>1</v>
      </c>
      <c r="GI72">
        <v>-2</v>
      </c>
      <c r="GJ72">
        <v>0</v>
      </c>
      <c r="GK72">
        <f>ROUND(R72*(R12)/100,2)</f>
        <v>0</v>
      </c>
      <c r="GL72">
        <f>ROUND(IF(AND(BH72=3,BI72=3,FS72&lt;&gt;0),P72,0),2)</f>
        <v>0</v>
      </c>
      <c r="GM72">
        <f>ROUND(O72+X72+Y72+GK72,2)+GX72</f>
        <v>203.4</v>
      </c>
      <c r="GN72">
        <f>IF(OR(BI72=0,BI72=1),GM72-GX72,0)</f>
        <v>0</v>
      </c>
      <c r="GO72">
        <f>IF(BI72=2,GM72-GX72,0)</f>
        <v>0</v>
      </c>
      <c r="GP72">
        <f>IF(BI72=4,GM72-GX72,0)</f>
        <v>203.4</v>
      </c>
      <c r="GR72">
        <v>0</v>
      </c>
      <c r="GS72">
        <v>3</v>
      </c>
      <c r="GT72">
        <v>0</v>
      </c>
      <c r="GU72" t="s">
        <v>3</v>
      </c>
      <c r="GV72">
        <f>ROUND((GT72),6)</f>
        <v>0</v>
      </c>
      <c r="GW72">
        <v>1</v>
      </c>
      <c r="GX72">
        <f>ROUND(HC72*I72,2)</f>
        <v>0</v>
      </c>
      <c r="HA72">
        <v>0</v>
      </c>
      <c r="HB72">
        <v>0</v>
      </c>
      <c r="HC72">
        <f>GV72*GW72</f>
        <v>0</v>
      </c>
      <c r="HE72" t="s">
        <v>3</v>
      </c>
      <c r="HF72" t="s">
        <v>3</v>
      </c>
      <c r="HM72" t="s">
        <v>3</v>
      </c>
      <c r="HN72" t="s">
        <v>3</v>
      </c>
      <c r="HO72" t="s">
        <v>3</v>
      </c>
      <c r="HP72" t="s">
        <v>3</v>
      </c>
      <c r="HQ72" t="s">
        <v>3</v>
      </c>
      <c r="IK72">
        <v>0</v>
      </c>
    </row>
    <row r="73" spans="1:245" x14ac:dyDescent="0.2">
      <c r="A73">
        <v>17</v>
      </c>
      <c r="B73">
        <v>1</v>
      </c>
      <c r="D73">
        <f>ROW(EtalonRes!A13)</f>
        <v>13</v>
      </c>
      <c r="E73" t="s">
        <v>100</v>
      </c>
      <c r="F73" t="s">
        <v>30</v>
      </c>
      <c r="G73" t="s">
        <v>101</v>
      </c>
      <c r="H73" t="s">
        <v>20</v>
      </c>
      <c r="I73">
        <f>ROUND(14+10,9)</f>
        <v>24</v>
      </c>
      <c r="J73">
        <v>0</v>
      </c>
      <c r="K73">
        <f>ROUND(14+10,9)</f>
        <v>24</v>
      </c>
      <c r="O73">
        <f>ROUND(CP73,2)</f>
        <v>6868.32</v>
      </c>
      <c r="P73">
        <f>ROUND(CQ73*I73,2)</f>
        <v>0</v>
      </c>
      <c r="Q73">
        <f>ROUND(CR73*I73,2)</f>
        <v>1876.32</v>
      </c>
      <c r="R73">
        <f>ROUND(CS73*I73,2)</f>
        <v>1189.68</v>
      </c>
      <c r="S73">
        <f>ROUND(CT73*I73,2)</f>
        <v>4992</v>
      </c>
      <c r="T73">
        <f>ROUND(CU73*I73,2)</f>
        <v>0</v>
      </c>
      <c r="U73">
        <f>CV73*I73</f>
        <v>8.879999999999999</v>
      </c>
      <c r="V73">
        <f>CW73*I73</f>
        <v>0</v>
      </c>
      <c r="W73">
        <f>ROUND(CX73*I73,2)</f>
        <v>0</v>
      </c>
      <c r="X73">
        <f t="shared" si="39"/>
        <v>3494.4</v>
      </c>
      <c r="Y73">
        <f t="shared" si="39"/>
        <v>499.2</v>
      </c>
      <c r="AA73">
        <v>1472506909</v>
      </c>
      <c r="AB73">
        <f>ROUND((AC73+AD73+AF73),6)</f>
        <v>286.18</v>
      </c>
      <c r="AC73">
        <f>ROUND((ES73),6)</f>
        <v>0</v>
      </c>
      <c r="AD73">
        <f>ROUND((((ET73)-(EU73))+AE73),6)</f>
        <v>78.180000000000007</v>
      </c>
      <c r="AE73">
        <f t="shared" si="40"/>
        <v>49.57</v>
      </c>
      <c r="AF73">
        <f t="shared" si="40"/>
        <v>208</v>
      </c>
      <c r="AG73">
        <f>ROUND((AP73),6)</f>
        <v>0</v>
      </c>
      <c r="AH73">
        <f t="shared" si="41"/>
        <v>0.37</v>
      </c>
      <c r="AI73">
        <f t="shared" si="41"/>
        <v>0</v>
      </c>
      <c r="AJ73">
        <f>(AS73)</f>
        <v>0</v>
      </c>
      <c r="AK73">
        <v>286.18</v>
      </c>
      <c r="AL73">
        <v>0</v>
      </c>
      <c r="AM73">
        <v>78.180000000000007</v>
      </c>
      <c r="AN73">
        <v>49.57</v>
      </c>
      <c r="AO73">
        <v>208</v>
      </c>
      <c r="AP73">
        <v>0</v>
      </c>
      <c r="AQ73">
        <v>0.37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4</v>
      </c>
      <c r="BJ73" t="s">
        <v>32</v>
      </c>
      <c r="BM73">
        <v>0</v>
      </c>
      <c r="BN73">
        <v>0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>(P73+Q73+S73)</f>
        <v>6868.32</v>
      </c>
      <c r="CQ73">
        <f>(AC73*BC73*AW73)</f>
        <v>0</v>
      </c>
      <c r="CR73">
        <f>((((ET73)*BB73-(EU73)*BS73)+AE73*BS73)*AV73)</f>
        <v>78.180000000000007</v>
      </c>
      <c r="CS73">
        <f>(AE73*BS73*AV73)</f>
        <v>49.57</v>
      </c>
      <c r="CT73">
        <f>(AF73*BA73*AV73)</f>
        <v>208</v>
      </c>
      <c r="CU73">
        <f>AG73</f>
        <v>0</v>
      </c>
      <c r="CV73">
        <f>(AH73*AV73)</f>
        <v>0.37</v>
      </c>
      <c r="CW73">
        <f t="shared" si="42"/>
        <v>0</v>
      </c>
      <c r="CX73">
        <f t="shared" si="42"/>
        <v>0</v>
      </c>
      <c r="CY73">
        <f>((S73*BZ73)/100)</f>
        <v>3494.4</v>
      </c>
      <c r="CZ73">
        <f>((S73*CA73)/100)</f>
        <v>499.2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16987630</v>
      </c>
      <c r="DV73" t="s">
        <v>20</v>
      </c>
      <c r="DW73" t="s">
        <v>20</v>
      </c>
      <c r="DX73">
        <v>1</v>
      </c>
      <c r="DZ73" t="s">
        <v>3</v>
      </c>
      <c r="EA73" t="s">
        <v>3</v>
      </c>
      <c r="EB73" t="s">
        <v>3</v>
      </c>
      <c r="EC73" t="s">
        <v>3</v>
      </c>
      <c r="EE73">
        <v>1441815344</v>
      </c>
      <c r="EF73">
        <v>1</v>
      </c>
      <c r="EG73" t="s">
        <v>22</v>
      </c>
      <c r="EH73">
        <v>0</v>
      </c>
      <c r="EI73" t="s">
        <v>3</v>
      </c>
      <c r="EJ73">
        <v>4</v>
      </c>
      <c r="EK73">
        <v>0</v>
      </c>
      <c r="EL73" t="s">
        <v>23</v>
      </c>
      <c r="EM73" t="s">
        <v>24</v>
      </c>
      <c r="EO73" t="s">
        <v>3</v>
      </c>
      <c r="EQ73">
        <v>0</v>
      </c>
      <c r="ER73">
        <v>286.18</v>
      </c>
      <c r="ES73">
        <v>0</v>
      </c>
      <c r="ET73">
        <v>78.180000000000007</v>
      </c>
      <c r="EU73">
        <v>49.57</v>
      </c>
      <c r="EV73">
        <v>208</v>
      </c>
      <c r="EW73">
        <v>0.37</v>
      </c>
      <c r="EX73">
        <v>0</v>
      </c>
      <c r="EY73">
        <v>0</v>
      </c>
      <c r="FQ73">
        <v>0</v>
      </c>
      <c r="FR73">
        <f>ROUND(IF(BI73=3,GM73,0),2)</f>
        <v>0</v>
      </c>
      <c r="FS73">
        <v>0</v>
      </c>
      <c r="FX73">
        <v>70</v>
      </c>
      <c r="FY73">
        <v>10</v>
      </c>
      <c r="GA73" t="s">
        <v>3</v>
      </c>
      <c r="GD73">
        <v>0</v>
      </c>
      <c r="GF73">
        <v>-555728133</v>
      </c>
      <c r="GG73">
        <v>2</v>
      </c>
      <c r="GH73">
        <v>1</v>
      </c>
      <c r="GI73">
        <v>-2</v>
      </c>
      <c r="GJ73">
        <v>0</v>
      </c>
      <c r="GK73">
        <f>ROUND(R73*(R12)/100,2)</f>
        <v>1284.8499999999999</v>
      </c>
      <c r="GL73">
        <f>ROUND(IF(AND(BH73=3,BI73=3,FS73&lt;&gt;0),P73,0),2)</f>
        <v>0</v>
      </c>
      <c r="GM73">
        <f>ROUND(O73+X73+Y73+GK73,2)+GX73</f>
        <v>12146.77</v>
      </c>
      <c r="GN73">
        <f>IF(OR(BI73=0,BI73=1),GM73-GX73,0)</f>
        <v>0</v>
      </c>
      <c r="GO73">
        <f>IF(BI73=2,GM73-GX73,0)</f>
        <v>0</v>
      </c>
      <c r="GP73">
        <f>IF(BI73=4,GM73-GX73,0)</f>
        <v>12146.77</v>
      </c>
      <c r="GR73">
        <v>0</v>
      </c>
      <c r="GS73">
        <v>3</v>
      </c>
      <c r="GT73">
        <v>0</v>
      </c>
      <c r="GU73" t="s">
        <v>3</v>
      </c>
      <c r="GV73">
        <f>ROUND((GT73),6)</f>
        <v>0</v>
      </c>
      <c r="GW73">
        <v>1</v>
      </c>
      <c r="GX73">
        <f>ROUND(HC73*I73,2)</f>
        <v>0</v>
      </c>
      <c r="HA73">
        <v>0</v>
      </c>
      <c r="HB73">
        <v>0</v>
      </c>
      <c r="HC73">
        <f>GV73*GW73</f>
        <v>0</v>
      </c>
      <c r="HE73" t="s">
        <v>3</v>
      </c>
      <c r="HF73" t="s">
        <v>3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IK73">
        <v>0</v>
      </c>
    </row>
    <row r="74" spans="1:245" x14ac:dyDescent="0.2">
      <c r="A74">
        <v>17</v>
      </c>
      <c r="B74">
        <v>1</v>
      </c>
      <c r="D74">
        <f>ROW(EtalonRes!A14)</f>
        <v>14</v>
      </c>
      <c r="E74" t="s">
        <v>3</v>
      </c>
      <c r="F74" t="s">
        <v>102</v>
      </c>
      <c r="G74" t="s">
        <v>103</v>
      </c>
      <c r="H74" t="s">
        <v>104</v>
      </c>
      <c r="I74">
        <f>ROUND((223+104+88+44)*0.25*0.1/100,9)</f>
        <v>0.11475</v>
      </c>
      <c r="J74">
        <v>0</v>
      </c>
      <c r="K74">
        <f>ROUND((223+104+88+44)*0.25*0.1/100,9)</f>
        <v>0.11475</v>
      </c>
      <c r="O74">
        <f>ROUND(CP74,2)</f>
        <v>232.23</v>
      </c>
      <c r="P74">
        <f>ROUND(CQ74*I74,2)</f>
        <v>0</v>
      </c>
      <c r="Q74">
        <f>ROUND(CR74*I74,2)</f>
        <v>0</v>
      </c>
      <c r="R74">
        <f>ROUND(CS74*I74,2)</f>
        <v>0</v>
      </c>
      <c r="S74">
        <f>ROUND(CT74*I74,2)</f>
        <v>232.23</v>
      </c>
      <c r="T74">
        <f>ROUND(CU74*I74,2)</f>
        <v>0</v>
      </c>
      <c r="U74">
        <f>CV74*I74</f>
        <v>0.41310000000000002</v>
      </c>
      <c r="V74">
        <f>CW74*I74</f>
        <v>0</v>
      </c>
      <c r="W74">
        <f>ROUND(CX74*I74,2)</f>
        <v>0</v>
      </c>
      <c r="X74">
        <f t="shared" si="39"/>
        <v>162.56</v>
      </c>
      <c r="Y74">
        <f t="shared" si="39"/>
        <v>23.22</v>
      </c>
      <c r="AA74">
        <v>-1</v>
      </c>
      <c r="AB74">
        <f>ROUND((AC74+AD74+AF74),6)</f>
        <v>2023.8</v>
      </c>
      <c r="AC74">
        <f>ROUND(((ES74*4)),6)</f>
        <v>0</v>
      </c>
      <c r="AD74">
        <f>ROUND(((((ET74*4))-((EU74*4)))+AE74),6)</f>
        <v>0</v>
      </c>
      <c r="AE74">
        <f>ROUND(((EU74*4)),6)</f>
        <v>0</v>
      </c>
      <c r="AF74">
        <f>ROUND(((EV74*4)),6)</f>
        <v>2023.8</v>
      </c>
      <c r="AG74">
        <f>ROUND((AP74),6)</f>
        <v>0</v>
      </c>
      <c r="AH74">
        <f>((EW74*4))</f>
        <v>3.6</v>
      </c>
      <c r="AI74">
        <f>((EX74*4))</f>
        <v>0</v>
      </c>
      <c r="AJ74">
        <f>(AS74)</f>
        <v>0</v>
      </c>
      <c r="AK74">
        <v>505.95</v>
      </c>
      <c r="AL74">
        <v>0</v>
      </c>
      <c r="AM74">
        <v>0</v>
      </c>
      <c r="AN74">
        <v>0</v>
      </c>
      <c r="AO74">
        <v>505.95</v>
      </c>
      <c r="AP74">
        <v>0</v>
      </c>
      <c r="AQ74">
        <v>0.9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4</v>
      </c>
      <c r="BJ74" t="s">
        <v>105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>(P74+Q74+S74)</f>
        <v>232.23</v>
      </c>
      <c r="CQ74">
        <f>(AC74*BC74*AW74)</f>
        <v>0</v>
      </c>
      <c r="CR74">
        <f>(((((ET74*4))*BB74-((EU74*4))*BS74)+AE74*BS74)*AV74)</f>
        <v>0</v>
      </c>
      <c r="CS74">
        <f>(AE74*BS74*AV74)</f>
        <v>0</v>
      </c>
      <c r="CT74">
        <f>(AF74*BA74*AV74)</f>
        <v>2023.8</v>
      </c>
      <c r="CU74">
        <f>AG74</f>
        <v>0</v>
      </c>
      <c r="CV74">
        <f>(AH74*AV74)</f>
        <v>3.6</v>
      </c>
      <c r="CW74">
        <f t="shared" si="42"/>
        <v>0</v>
      </c>
      <c r="CX74">
        <f t="shared" si="42"/>
        <v>0</v>
      </c>
      <c r="CY74">
        <f>((S74*BZ74)/100)</f>
        <v>162.56099999999998</v>
      </c>
      <c r="CZ74">
        <f>((S74*CA74)/100)</f>
        <v>23.222999999999999</v>
      </c>
      <c r="DC74" t="s">
        <v>3</v>
      </c>
      <c r="DD74" t="s">
        <v>106</v>
      </c>
      <c r="DE74" t="s">
        <v>106</v>
      </c>
      <c r="DF74" t="s">
        <v>106</v>
      </c>
      <c r="DG74" t="s">
        <v>106</v>
      </c>
      <c r="DH74" t="s">
        <v>3</v>
      </c>
      <c r="DI74" t="s">
        <v>106</v>
      </c>
      <c r="DJ74" t="s">
        <v>106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1003</v>
      </c>
      <c r="DV74" t="s">
        <v>104</v>
      </c>
      <c r="DW74" t="s">
        <v>104</v>
      </c>
      <c r="DX74">
        <v>100</v>
      </c>
      <c r="DZ74" t="s">
        <v>3</v>
      </c>
      <c r="EA74" t="s">
        <v>3</v>
      </c>
      <c r="EB74" t="s">
        <v>3</v>
      </c>
      <c r="EC74" t="s">
        <v>3</v>
      </c>
      <c r="EE74">
        <v>1441815344</v>
      </c>
      <c r="EF74">
        <v>1</v>
      </c>
      <c r="EG74" t="s">
        <v>22</v>
      </c>
      <c r="EH74">
        <v>0</v>
      </c>
      <c r="EI74" t="s">
        <v>3</v>
      </c>
      <c r="EJ74">
        <v>4</v>
      </c>
      <c r="EK74">
        <v>0</v>
      </c>
      <c r="EL74" t="s">
        <v>23</v>
      </c>
      <c r="EM74" t="s">
        <v>24</v>
      </c>
      <c r="EO74" t="s">
        <v>3</v>
      </c>
      <c r="EQ74">
        <v>1024</v>
      </c>
      <c r="ER74">
        <v>505.95</v>
      </c>
      <c r="ES74">
        <v>0</v>
      </c>
      <c r="ET74">
        <v>0</v>
      </c>
      <c r="EU74">
        <v>0</v>
      </c>
      <c r="EV74">
        <v>505.95</v>
      </c>
      <c r="EW74">
        <v>0.9</v>
      </c>
      <c r="EX74">
        <v>0</v>
      </c>
      <c r="EY74">
        <v>0</v>
      </c>
      <c r="FQ74">
        <v>0</v>
      </c>
      <c r="FR74">
        <f>ROUND(IF(BI74=3,GM74,0),2)</f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-341239612</v>
      </c>
      <c r="GG74">
        <v>2</v>
      </c>
      <c r="GH74">
        <v>1</v>
      </c>
      <c r="GI74">
        <v>-2</v>
      </c>
      <c r="GJ74">
        <v>0</v>
      </c>
      <c r="GK74">
        <f>ROUND(R74*(R12)/100,2)</f>
        <v>0</v>
      </c>
      <c r="GL74">
        <f>ROUND(IF(AND(BH74=3,BI74=3,FS74&lt;&gt;0),P74,0),2)</f>
        <v>0</v>
      </c>
      <c r="GM74">
        <f>ROUND(O74+X74+Y74+GK74,2)+GX74</f>
        <v>418.01</v>
      </c>
      <c r="GN74">
        <f>IF(OR(BI74=0,BI74=1),GM74-GX74,0)</f>
        <v>0</v>
      </c>
      <c r="GO74">
        <f>IF(BI74=2,GM74-GX74,0)</f>
        <v>0</v>
      </c>
      <c r="GP74">
        <f>IF(BI74=4,GM74-GX74,0)</f>
        <v>418.01</v>
      </c>
      <c r="GR74">
        <v>0</v>
      </c>
      <c r="GS74">
        <v>3</v>
      </c>
      <c r="GT74">
        <v>0</v>
      </c>
      <c r="GU74" t="s">
        <v>3</v>
      </c>
      <c r="GV74">
        <f>ROUND((GT74),6)</f>
        <v>0</v>
      </c>
      <c r="GW74">
        <v>1</v>
      </c>
      <c r="GX74">
        <f>ROUND(HC74*I74,2)</f>
        <v>0</v>
      </c>
      <c r="HA74">
        <v>0</v>
      </c>
      <c r="HB74">
        <v>0</v>
      </c>
      <c r="HC74">
        <f>GV74*GW74</f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IK74">
        <v>0</v>
      </c>
    </row>
    <row r="75" spans="1:245" x14ac:dyDescent="0.2">
      <c r="A75">
        <v>17</v>
      </c>
      <c r="B75">
        <v>1</v>
      </c>
      <c r="D75">
        <f>ROW(EtalonRes!A15)</f>
        <v>15</v>
      </c>
      <c r="E75" t="s">
        <v>3</v>
      </c>
      <c r="F75" t="s">
        <v>107</v>
      </c>
      <c r="G75" t="s">
        <v>108</v>
      </c>
      <c r="H75" t="s">
        <v>104</v>
      </c>
      <c r="I75">
        <f>ROUND((223+104+88+44)*0.75*0.1/100,9)</f>
        <v>0.34425</v>
      </c>
      <c r="J75">
        <v>0</v>
      </c>
      <c r="K75">
        <f>ROUND((223+104+88+44)*0.75*0.1/100,9)</f>
        <v>0.34425</v>
      </c>
      <c r="O75">
        <f>ROUND(CP75,2)</f>
        <v>2043.65</v>
      </c>
      <c r="P75">
        <f>ROUND(CQ75*I75,2)</f>
        <v>0</v>
      </c>
      <c r="Q75">
        <f>ROUND(CR75*I75,2)</f>
        <v>0</v>
      </c>
      <c r="R75">
        <f>ROUND(CS75*I75,2)</f>
        <v>0</v>
      </c>
      <c r="S75">
        <f>ROUND(CT75*I75,2)</f>
        <v>2043.65</v>
      </c>
      <c r="T75">
        <f>ROUND(CU75*I75,2)</f>
        <v>0</v>
      </c>
      <c r="U75">
        <f>CV75*I75</f>
        <v>3.6352800000000003</v>
      </c>
      <c r="V75">
        <f>CW75*I75</f>
        <v>0</v>
      </c>
      <c r="W75">
        <f>ROUND(CX75*I75,2)</f>
        <v>0</v>
      </c>
      <c r="X75">
        <f t="shared" si="39"/>
        <v>1430.56</v>
      </c>
      <c r="Y75">
        <f t="shared" si="39"/>
        <v>204.37</v>
      </c>
      <c r="AA75">
        <v>-1</v>
      </c>
      <c r="AB75">
        <f>ROUND((AC75+AD75+AF75),6)</f>
        <v>5936.52</v>
      </c>
      <c r="AC75">
        <f>ROUND(((ES75*4)),6)</f>
        <v>0</v>
      </c>
      <c r="AD75">
        <f>ROUND(((((ET75*4))-((EU75*4)))+AE75),6)</f>
        <v>0</v>
      </c>
      <c r="AE75">
        <f>ROUND(((EU75*4)),6)</f>
        <v>0</v>
      </c>
      <c r="AF75">
        <f>ROUND(((EV75*4)),6)</f>
        <v>5936.52</v>
      </c>
      <c r="AG75">
        <f>ROUND((AP75),6)</f>
        <v>0</v>
      </c>
      <c r="AH75">
        <f>((EW75*4))</f>
        <v>10.56</v>
      </c>
      <c r="AI75">
        <f>((EX75*4))</f>
        <v>0</v>
      </c>
      <c r="AJ75">
        <f>(AS75)</f>
        <v>0</v>
      </c>
      <c r="AK75">
        <v>1484.13</v>
      </c>
      <c r="AL75">
        <v>0</v>
      </c>
      <c r="AM75">
        <v>0</v>
      </c>
      <c r="AN75">
        <v>0</v>
      </c>
      <c r="AO75">
        <v>1484.13</v>
      </c>
      <c r="AP75">
        <v>0</v>
      </c>
      <c r="AQ75">
        <v>2.64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4</v>
      </c>
      <c r="BJ75" t="s">
        <v>109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>(P75+Q75+S75)</f>
        <v>2043.65</v>
      </c>
      <c r="CQ75">
        <f>(AC75*BC75*AW75)</f>
        <v>0</v>
      </c>
      <c r="CR75">
        <f>(((((ET75*4))*BB75-((EU75*4))*BS75)+AE75*BS75)*AV75)</f>
        <v>0</v>
      </c>
      <c r="CS75">
        <f>(AE75*BS75*AV75)</f>
        <v>0</v>
      </c>
      <c r="CT75">
        <f>(AF75*BA75*AV75)</f>
        <v>5936.52</v>
      </c>
      <c r="CU75">
        <f>AG75</f>
        <v>0</v>
      </c>
      <c r="CV75">
        <f>(AH75*AV75)</f>
        <v>10.56</v>
      </c>
      <c r="CW75">
        <f t="shared" si="42"/>
        <v>0</v>
      </c>
      <c r="CX75">
        <f t="shared" si="42"/>
        <v>0</v>
      </c>
      <c r="CY75">
        <f>((S75*BZ75)/100)</f>
        <v>1430.5550000000001</v>
      </c>
      <c r="CZ75">
        <f>((S75*CA75)/100)</f>
        <v>204.36500000000001</v>
      </c>
      <c r="DC75" t="s">
        <v>3</v>
      </c>
      <c r="DD75" t="s">
        <v>106</v>
      </c>
      <c r="DE75" t="s">
        <v>106</v>
      </c>
      <c r="DF75" t="s">
        <v>106</v>
      </c>
      <c r="DG75" t="s">
        <v>106</v>
      </c>
      <c r="DH75" t="s">
        <v>3</v>
      </c>
      <c r="DI75" t="s">
        <v>106</v>
      </c>
      <c r="DJ75" t="s">
        <v>106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1003</v>
      </c>
      <c r="DV75" t="s">
        <v>104</v>
      </c>
      <c r="DW75" t="s">
        <v>104</v>
      </c>
      <c r="DX75">
        <v>100</v>
      </c>
      <c r="DZ75" t="s">
        <v>3</v>
      </c>
      <c r="EA75" t="s">
        <v>3</v>
      </c>
      <c r="EB75" t="s">
        <v>3</v>
      </c>
      <c r="EC75" t="s">
        <v>3</v>
      </c>
      <c r="EE75">
        <v>1441815344</v>
      </c>
      <c r="EF75">
        <v>1</v>
      </c>
      <c r="EG75" t="s">
        <v>22</v>
      </c>
      <c r="EH75">
        <v>0</v>
      </c>
      <c r="EI75" t="s">
        <v>3</v>
      </c>
      <c r="EJ75">
        <v>4</v>
      </c>
      <c r="EK75">
        <v>0</v>
      </c>
      <c r="EL75" t="s">
        <v>23</v>
      </c>
      <c r="EM75" t="s">
        <v>24</v>
      </c>
      <c r="EO75" t="s">
        <v>3</v>
      </c>
      <c r="EQ75">
        <v>1024</v>
      </c>
      <c r="ER75">
        <v>1484.13</v>
      </c>
      <c r="ES75">
        <v>0</v>
      </c>
      <c r="ET75">
        <v>0</v>
      </c>
      <c r="EU75">
        <v>0</v>
      </c>
      <c r="EV75">
        <v>1484.13</v>
      </c>
      <c r="EW75">
        <v>2.64</v>
      </c>
      <c r="EX75">
        <v>0</v>
      </c>
      <c r="EY75">
        <v>0</v>
      </c>
      <c r="FQ75">
        <v>0</v>
      </c>
      <c r="FR75">
        <f>ROUND(IF(BI75=3,GM75,0),2)</f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1802126441</v>
      </c>
      <c r="GG75">
        <v>2</v>
      </c>
      <c r="GH75">
        <v>1</v>
      </c>
      <c r="GI75">
        <v>-2</v>
      </c>
      <c r="GJ75">
        <v>0</v>
      </c>
      <c r="GK75">
        <f>ROUND(R75*(R12)/100,2)</f>
        <v>0</v>
      </c>
      <c r="GL75">
        <f>ROUND(IF(AND(BH75=3,BI75=3,FS75&lt;&gt;0),P75,0),2)</f>
        <v>0</v>
      </c>
      <c r="GM75">
        <f>ROUND(O75+X75+Y75+GK75,2)+GX75</f>
        <v>3678.58</v>
      </c>
      <c r="GN75">
        <f>IF(OR(BI75=0,BI75=1),GM75-GX75,0)</f>
        <v>0</v>
      </c>
      <c r="GO75">
        <f>IF(BI75=2,GM75-GX75,0)</f>
        <v>0</v>
      </c>
      <c r="GP75">
        <f>IF(BI75=4,GM75-GX75,0)</f>
        <v>3678.58</v>
      </c>
      <c r="GR75">
        <v>0</v>
      </c>
      <c r="GS75">
        <v>3</v>
      </c>
      <c r="GT75">
        <v>0</v>
      </c>
      <c r="GU75" t="s">
        <v>3</v>
      </c>
      <c r="GV75">
        <f>ROUND((GT75),6)</f>
        <v>0</v>
      </c>
      <c r="GW75">
        <v>1</v>
      </c>
      <c r="GX75">
        <f>ROUND(HC75*I75,2)</f>
        <v>0</v>
      </c>
      <c r="HA75">
        <v>0</v>
      </c>
      <c r="HB75">
        <v>0</v>
      </c>
      <c r="HC75">
        <f>GV75*GW75</f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IK75">
        <v>0</v>
      </c>
    </row>
    <row r="77" spans="1:245" x14ac:dyDescent="0.2">
      <c r="A77" s="2">
        <v>51</v>
      </c>
      <c r="B77" s="2">
        <f>B67</f>
        <v>1</v>
      </c>
      <c r="C77" s="2">
        <f>A67</f>
        <v>5</v>
      </c>
      <c r="D77" s="2">
        <f>ROW(A67)</f>
        <v>67</v>
      </c>
      <c r="E77" s="2"/>
      <c r="F77" s="2" t="str">
        <f>IF(F67&lt;&gt;"",F67,"")</f>
        <v>Новый подраздел</v>
      </c>
      <c r="G77" s="2" t="str">
        <f>IF(G67&lt;&gt;"",G67,"")</f>
        <v>Хозяйственно-питьевой водопровод холодной воды В1</v>
      </c>
      <c r="H77" s="2">
        <v>0</v>
      </c>
      <c r="I77" s="2"/>
      <c r="J77" s="2"/>
      <c r="K77" s="2"/>
      <c r="L77" s="2"/>
      <c r="M77" s="2"/>
      <c r="N77" s="2"/>
      <c r="O77" s="2">
        <f t="shared" ref="O77:T77" si="43">ROUND(AB77,2)</f>
        <v>8287.31</v>
      </c>
      <c r="P77" s="2">
        <f t="shared" si="43"/>
        <v>0</v>
      </c>
      <c r="Q77" s="2">
        <f t="shared" si="43"/>
        <v>1876.32</v>
      </c>
      <c r="R77" s="2">
        <f t="shared" si="43"/>
        <v>1189.68</v>
      </c>
      <c r="S77" s="2">
        <f t="shared" si="43"/>
        <v>6410.99</v>
      </c>
      <c r="T77" s="2">
        <f t="shared" si="43"/>
        <v>0</v>
      </c>
      <c r="U77" s="2">
        <f>AH77</f>
        <v>11.177999999999999</v>
      </c>
      <c r="V77" s="2">
        <f>AI77</f>
        <v>0</v>
      </c>
      <c r="W77" s="2">
        <f>ROUND(AJ77,2)</f>
        <v>0</v>
      </c>
      <c r="X77" s="2">
        <f>ROUND(AK77,2)</f>
        <v>4487.6899999999996</v>
      </c>
      <c r="Y77" s="2">
        <f>ROUND(AL77,2)</f>
        <v>641.1</v>
      </c>
      <c r="Z77" s="2"/>
      <c r="AA77" s="2"/>
      <c r="AB77" s="2">
        <f>ROUND(SUMIF(AA71:AA75,"=1472506909",O71:O75),2)</f>
        <v>8287.31</v>
      </c>
      <c r="AC77" s="2">
        <f>ROUND(SUMIF(AA71:AA75,"=1472506909",P71:P75),2)</f>
        <v>0</v>
      </c>
      <c r="AD77" s="2">
        <f>ROUND(SUMIF(AA71:AA75,"=1472506909",Q71:Q75),2)</f>
        <v>1876.32</v>
      </c>
      <c r="AE77" s="2">
        <f>ROUND(SUMIF(AA71:AA75,"=1472506909",R71:R75),2)</f>
        <v>1189.68</v>
      </c>
      <c r="AF77" s="2">
        <f>ROUND(SUMIF(AA71:AA75,"=1472506909",S71:S75),2)</f>
        <v>6410.99</v>
      </c>
      <c r="AG77" s="2">
        <f>ROUND(SUMIF(AA71:AA75,"=1472506909",T71:T75),2)</f>
        <v>0</v>
      </c>
      <c r="AH77" s="2">
        <f>SUMIF(AA71:AA75,"=1472506909",U71:U75)</f>
        <v>11.177999999999999</v>
      </c>
      <c r="AI77" s="2">
        <f>SUMIF(AA71:AA75,"=1472506909",V71:V75)</f>
        <v>0</v>
      </c>
      <c r="AJ77" s="2">
        <f>ROUND(SUMIF(AA71:AA75,"=1472506909",W71:W75),2)</f>
        <v>0</v>
      </c>
      <c r="AK77" s="2">
        <f>ROUND(SUMIF(AA71:AA75,"=1472506909",X71:X75),2)</f>
        <v>4487.6899999999996</v>
      </c>
      <c r="AL77" s="2">
        <f>ROUND(SUMIF(AA71:AA75,"=1472506909",Y71:Y75),2)</f>
        <v>641.1</v>
      </c>
      <c r="AM77" s="2"/>
      <c r="AN77" s="2"/>
      <c r="AO77" s="2">
        <f t="shared" ref="AO77:BD77" si="44">ROUND(BX77,2)</f>
        <v>0</v>
      </c>
      <c r="AP77" s="2">
        <f t="shared" si="44"/>
        <v>0</v>
      </c>
      <c r="AQ77" s="2">
        <f t="shared" si="44"/>
        <v>0</v>
      </c>
      <c r="AR77" s="2">
        <f t="shared" si="44"/>
        <v>14700.95</v>
      </c>
      <c r="AS77" s="2">
        <f t="shared" si="44"/>
        <v>0</v>
      </c>
      <c r="AT77" s="2">
        <f t="shared" si="44"/>
        <v>0</v>
      </c>
      <c r="AU77" s="2">
        <f t="shared" si="44"/>
        <v>14700.95</v>
      </c>
      <c r="AV77" s="2">
        <f t="shared" si="44"/>
        <v>0</v>
      </c>
      <c r="AW77" s="2">
        <f t="shared" si="44"/>
        <v>0</v>
      </c>
      <c r="AX77" s="2">
        <f t="shared" si="44"/>
        <v>0</v>
      </c>
      <c r="AY77" s="2">
        <f t="shared" si="44"/>
        <v>0</v>
      </c>
      <c r="AZ77" s="2">
        <f t="shared" si="44"/>
        <v>0</v>
      </c>
      <c r="BA77" s="2">
        <f t="shared" si="44"/>
        <v>0</v>
      </c>
      <c r="BB77" s="2">
        <f t="shared" si="44"/>
        <v>0</v>
      </c>
      <c r="BC77" s="2">
        <f t="shared" si="44"/>
        <v>0</v>
      </c>
      <c r="BD77" s="2">
        <f t="shared" si="44"/>
        <v>0</v>
      </c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>
        <f>ROUND(SUMIF(AA71:AA75,"=1472506909",FQ71:FQ75),2)</f>
        <v>0</v>
      </c>
      <c r="BY77" s="2">
        <f>ROUND(SUMIF(AA71:AA75,"=1472506909",FR71:FR75),2)</f>
        <v>0</v>
      </c>
      <c r="BZ77" s="2">
        <f>ROUND(SUMIF(AA71:AA75,"=1472506909",GL71:GL75),2)</f>
        <v>0</v>
      </c>
      <c r="CA77" s="2">
        <f>ROUND(SUMIF(AA71:AA75,"=1472506909",GM71:GM75),2)</f>
        <v>14700.95</v>
      </c>
      <c r="CB77" s="2">
        <f>ROUND(SUMIF(AA71:AA75,"=1472506909",GN71:GN75),2)</f>
        <v>0</v>
      </c>
      <c r="CC77" s="2">
        <f>ROUND(SUMIF(AA71:AA75,"=1472506909",GO71:GO75),2)</f>
        <v>0</v>
      </c>
      <c r="CD77" s="2">
        <f>ROUND(SUMIF(AA71:AA75,"=1472506909",GP71:GP75),2)</f>
        <v>14700.95</v>
      </c>
      <c r="CE77" s="2">
        <f>AC77-BX77</f>
        <v>0</v>
      </c>
      <c r="CF77" s="2">
        <f>AC77-BY77</f>
        <v>0</v>
      </c>
      <c r="CG77" s="2">
        <f>BX77-BZ77</f>
        <v>0</v>
      </c>
      <c r="CH77" s="2">
        <f>AC77-BX77-BY77+BZ77</f>
        <v>0</v>
      </c>
      <c r="CI77" s="2">
        <f>BY77-BZ77</f>
        <v>0</v>
      </c>
      <c r="CJ77" s="2">
        <f>ROUND(SUMIF(AA71:AA75,"=1472506909",GX71:GX75),2)</f>
        <v>0</v>
      </c>
      <c r="CK77" s="2">
        <f>ROUND(SUMIF(AA71:AA75,"=1472506909",GY71:GY75),2)</f>
        <v>0</v>
      </c>
      <c r="CL77" s="2">
        <f>ROUND(SUMIF(AA71:AA75,"=1472506909",GZ71:GZ75),2)</f>
        <v>0</v>
      </c>
      <c r="CM77" s="2">
        <f>ROUND(SUMIF(AA71:AA75,"=1472506909",HD71:HD75),2)</f>
        <v>0</v>
      </c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>
        <v>0</v>
      </c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201</v>
      </c>
      <c r="F79" s="4">
        <f>ROUND(Source!O77,O79)</f>
        <v>8287.31</v>
      </c>
      <c r="G79" s="4" t="s">
        <v>36</v>
      </c>
      <c r="H79" s="4" t="s">
        <v>37</v>
      </c>
      <c r="I79" s="4"/>
      <c r="J79" s="4"/>
      <c r="K79" s="4">
        <v>201</v>
      </c>
      <c r="L79" s="4">
        <v>1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8287.31</v>
      </c>
      <c r="X79" s="4">
        <v>1</v>
      </c>
      <c r="Y79" s="4">
        <v>8287.31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202</v>
      </c>
      <c r="F80" s="4">
        <f>ROUND(Source!P77,O80)</f>
        <v>0</v>
      </c>
      <c r="G80" s="4" t="s">
        <v>38</v>
      </c>
      <c r="H80" s="4" t="s">
        <v>39</v>
      </c>
      <c r="I80" s="4"/>
      <c r="J80" s="4"/>
      <c r="K80" s="4">
        <v>202</v>
      </c>
      <c r="L80" s="4">
        <v>2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222</v>
      </c>
      <c r="F81" s="4">
        <f>ROUND(Source!AO77,O81)</f>
        <v>0</v>
      </c>
      <c r="G81" s="4" t="s">
        <v>40</v>
      </c>
      <c r="H81" s="4" t="s">
        <v>41</v>
      </c>
      <c r="I81" s="4"/>
      <c r="J81" s="4"/>
      <c r="K81" s="4">
        <v>222</v>
      </c>
      <c r="L81" s="4">
        <v>3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225</v>
      </c>
      <c r="F82" s="4">
        <f>ROUND(Source!AV77,O82)</f>
        <v>0</v>
      </c>
      <c r="G82" s="4" t="s">
        <v>42</v>
      </c>
      <c r="H82" s="4" t="s">
        <v>43</v>
      </c>
      <c r="I82" s="4"/>
      <c r="J82" s="4"/>
      <c r="K82" s="4">
        <v>225</v>
      </c>
      <c r="L82" s="4">
        <v>4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226</v>
      </c>
      <c r="F83" s="4">
        <f>ROUND(Source!AW77,O83)</f>
        <v>0</v>
      </c>
      <c r="G83" s="4" t="s">
        <v>44</v>
      </c>
      <c r="H83" s="4" t="s">
        <v>45</v>
      </c>
      <c r="I83" s="4"/>
      <c r="J83" s="4"/>
      <c r="K83" s="4">
        <v>226</v>
      </c>
      <c r="L83" s="4">
        <v>5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227</v>
      </c>
      <c r="F84" s="4">
        <f>ROUND(Source!AX77,O84)</f>
        <v>0</v>
      </c>
      <c r="G84" s="4" t="s">
        <v>46</v>
      </c>
      <c r="H84" s="4" t="s">
        <v>47</v>
      </c>
      <c r="I84" s="4"/>
      <c r="J84" s="4"/>
      <c r="K84" s="4">
        <v>227</v>
      </c>
      <c r="L84" s="4">
        <v>6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228</v>
      </c>
      <c r="F85" s="4">
        <f>ROUND(Source!AY77,O85)</f>
        <v>0</v>
      </c>
      <c r="G85" s="4" t="s">
        <v>48</v>
      </c>
      <c r="H85" s="4" t="s">
        <v>49</v>
      </c>
      <c r="I85" s="4"/>
      <c r="J85" s="4"/>
      <c r="K85" s="4">
        <v>228</v>
      </c>
      <c r="L85" s="4">
        <v>7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216</v>
      </c>
      <c r="F86" s="4">
        <f>ROUND(Source!AP77,O86)</f>
        <v>0</v>
      </c>
      <c r="G86" s="4" t="s">
        <v>50</v>
      </c>
      <c r="H86" s="4" t="s">
        <v>51</v>
      </c>
      <c r="I86" s="4"/>
      <c r="J86" s="4"/>
      <c r="K86" s="4">
        <v>216</v>
      </c>
      <c r="L86" s="4">
        <v>8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223</v>
      </c>
      <c r="F87" s="4">
        <f>ROUND(Source!AQ77,O87)</f>
        <v>0</v>
      </c>
      <c r="G87" s="4" t="s">
        <v>52</v>
      </c>
      <c r="H87" s="4" t="s">
        <v>53</v>
      </c>
      <c r="I87" s="4"/>
      <c r="J87" s="4"/>
      <c r="K87" s="4">
        <v>223</v>
      </c>
      <c r="L87" s="4">
        <v>9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229</v>
      </c>
      <c r="F88" s="4">
        <f>ROUND(Source!AZ77,O88)</f>
        <v>0</v>
      </c>
      <c r="G88" s="4" t="s">
        <v>54</v>
      </c>
      <c r="H88" s="4" t="s">
        <v>55</v>
      </c>
      <c r="I88" s="4"/>
      <c r="J88" s="4"/>
      <c r="K88" s="4">
        <v>229</v>
      </c>
      <c r="L88" s="4">
        <v>10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203</v>
      </c>
      <c r="F89" s="4">
        <f>ROUND(Source!Q77,O89)</f>
        <v>1876.32</v>
      </c>
      <c r="G89" s="4" t="s">
        <v>56</v>
      </c>
      <c r="H89" s="4" t="s">
        <v>57</v>
      </c>
      <c r="I89" s="4"/>
      <c r="J89" s="4"/>
      <c r="K89" s="4">
        <v>203</v>
      </c>
      <c r="L89" s="4">
        <v>11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1876.32</v>
      </c>
      <c r="X89" s="4">
        <v>1</v>
      </c>
      <c r="Y89" s="4">
        <v>1876.32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231</v>
      </c>
      <c r="F90" s="4">
        <f>ROUND(Source!BB77,O90)</f>
        <v>0</v>
      </c>
      <c r="G90" s="4" t="s">
        <v>58</v>
      </c>
      <c r="H90" s="4" t="s">
        <v>59</v>
      </c>
      <c r="I90" s="4"/>
      <c r="J90" s="4"/>
      <c r="K90" s="4">
        <v>231</v>
      </c>
      <c r="L90" s="4">
        <v>12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204</v>
      </c>
      <c r="F91" s="4">
        <f>ROUND(Source!R77,O91)</f>
        <v>1189.68</v>
      </c>
      <c r="G91" s="4" t="s">
        <v>60</v>
      </c>
      <c r="H91" s="4" t="s">
        <v>61</v>
      </c>
      <c r="I91" s="4"/>
      <c r="J91" s="4"/>
      <c r="K91" s="4">
        <v>204</v>
      </c>
      <c r="L91" s="4">
        <v>13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1189.68</v>
      </c>
      <c r="X91" s="4">
        <v>1</v>
      </c>
      <c r="Y91" s="4">
        <v>1189.68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205</v>
      </c>
      <c r="F92" s="4">
        <f>ROUND(Source!S77,O92)</f>
        <v>6410.99</v>
      </c>
      <c r="G92" s="4" t="s">
        <v>62</v>
      </c>
      <c r="H92" s="4" t="s">
        <v>63</v>
      </c>
      <c r="I92" s="4"/>
      <c r="J92" s="4"/>
      <c r="K92" s="4">
        <v>205</v>
      </c>
      <c r="L92" s="4">
        <v>14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6410.99</v>
      </c>
      <c r="X92" s="4">
        <v>1</v>
      </c>
      <c r="Y92" s="4">
        <v>6410.99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232</v>
      </c>
      <c r="F93" s="4">
        <f>ROUND(Source!BC77,O93)</f>
        <v>0</v>
      </c>
      <c r="G93" s="4" t="s">
        <v>64</v>
      </c>
      <c r="H93" s="4" t="s">
        <v>65</v>
      </c>
      <c r="I93" s="4"/>
      <c r="J93" s="4"/>
      <c r="K93" s="4">
        <v>232</v>
      </c>
      <c r="L93" s="4">
        <v>15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214</v>
      </c>
      <c r="F94" s="4">
        <f>ROUND(Source!AS77,O94)</f>
        <v>0</v>
      </c>
      <c r="G94" s="4" t="s">
        <v>66</v>
      </c>
      <c r="H94" s="4" t="s">
        <v>67</v>
      </c>
      <c r="I94" s="4"/>
      <c r="J94" s="4"/>
      <c r="K94" s="4">
        <v>214</v>
      </c>
      <c r="L94" s="4">
        <v>16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215</v>
      </c>
      <c r="F95" s="4">
        <f>ROUND(Source!AT77,O95)</f>
        <v>0</v>
      </c>
      <c r="G95" s="4" t="s">
        <v>68</v>
      </c>
      <c r="H95" s="4" t="s">
        <v>69</v>
      </c>
      <c r="I95" s="4"/>
      <c r="J95" s="4"/>
      <c r="K95" s="4">
        <v>215</v>
      </c>
      <c r="L95" s="4">
        <v>17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217</v>
      </c>
      <c r="F96" s="4">
        <f>ROUND(Source!AU77,O96)</f>
        <v>14700.95</v>
      </c>
      <c r="G96" s="4" t="s">
        <v>70</v>
      </c>
      <c r="H96" s="4" t="s">
        <v>71</v>
      </c>
      <c r="I96" s="4"/>
      <c r="J96" s="4"/>
      <c r="K96" s="4">
        <v>217</v>
      </c>
      <c r="L96" s="4">
        <v>18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14700.95</v>
      </c>
      <c r="X96" s="4">
        <v>1</v>
      </c>
      <c r="Y96" s="4">
        <v>14700.95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230</v>
      </c>
      <c r="F97" s="4">
        <f>ROUND(Source!BA77,O97)</f>
        <v>0</v>
      </c>
      <c r="G97" s="4" t="s">
        <v>72</v>
      </c>
      <c r="H97" s="4" t="s">
        <v>73</v>
      </c>
      <c r="I97" s="4"/>
      <c r="J97" s="4"/>
      <c r="K97" s="4">
        <v>230</v>
      </c>
      <c r="L97" s="4">
        <v>19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206</v>
      </c>
      <c r="F98" s="4">
        <f>ROUND(Source!T77,O98)</f>
        <v>0</v>
      </c>
      <c r="G98" s="4" t="s">
        <v>74</v>
      </c>
      <c r="H98" s="4" t="s">
        <v>75</v>
      </c>
      <c r="I98" s="4"/>
      <c r="J98" s="4"/>
      <c r="K98" s="4">
        <v>206</v>
      </c>
      <c r="L98" s="4">
        <v>20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207</v>
      </c>
      <c r="F99" s="4">
        <f>Source!U77</f>
        <v>11.177999999999999</v>
      </c>
      <c r="G99" s="4" t="s">
        <v>76</v>
      </c>
      <c r="H99" s="4" t="s">
        <v>77</v>
      </c>
      <c r="I99" s="4"/>
      <c r="J99" s="4"/>
      <c r="K99" s="4">
        <v>207</v>
      </c>
      <c r="L99" s="4">
        <v>21</v>
      </c>
      <c r="M99" s="4">
        <v>3</v>
      </c>
      <c r="N99" s="4" t="s">
        <v>3</v>
      </c>
      <c r="O99" s="4">
        <v>-1</v>
      </c>
      <c r="P99" s="4"/>
      <c r="Q99" s="4"/>
      <c r="R99" s="4"/>
      <c r="S99" s="4"/>
      <c r="T99" s="4"/>
      <c r="U99" s="4"/>
      <c r="V99" s="4"/>
      <c r="W99" s="4">
        <v>11.178000000000001</v>
      </c>
      <c r="X99" s="4">
        <v>1</v>
      </c>
      <c r="Y99" s="4">
        <v>11.178000000000001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208</v>
      </c>
      <c r="F100" s="4">
        <f>Source!V77</f>
        <v>0</v>
      </c>
      <c r="G100" s="4" t="s">
        <v>78</v>
      </c>
      <c r="H100" s="4" t="s">
        <v>79</v>
      </c>
      <c r="I100" s="4"/>
      <c r="J100" s="4"/>
      <c r="K100" s="4">
        <v>208</v>
      </c>
      <c r="L100" s="4">
        <v>22</v>
      </c>
      <c r="M100" s="4">
        <v>3</v>
      </c>
      <c r="N100" s="4" t="s">
        <v>3</v>
      </c>
      <c r="O100" s="4">
        <v>-1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209</v>
      </c>
      <c r="F101" s="4">
        <f>ROUND(Source!W77,O101)</f>
        <v>0</v>
      </c>
      <c r="G101" s="4" t="s">
        <v>80</v>
      </c>
      <c r="H101" s="4" t="s">
        <v>81</v>
      </c>
      <c r="I101" s="4"/>
      <c r="J101" s="4"/>
      <c r="K101" s="4">
        <v>209</v>
      </c>
      <c r="L101" s="4">
        <v>23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233</v>
      </c>
      <c r="F102" s="4">
        <f>ROUND(Source!BD77,O102)</f>
        <v>0</v>
      </c>
      <c r="G102" s="4" t="s">
        <v>82</v>
      </c>
      <c r="H102" s="4" t="s">
        <v>83</v>
      </c>
      <c r="I102" s="4"/>
      <c r="J102" s="4"/>
      <c r="K102" s="4">
        <v>233</v>
      </c>
      <c r="L102" s="4">
        <v>24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210</v>
      </c>
      <c r="F103" s="4">
        <f>ROUND(Source!X77,O103)</f>
        <v>4487.6899999999996</v>
      </c>
      <c r="G103" s="4" t="s">
        <v>84</v>
      </c>
      <c r="H103" s="4" t="s">
        <v>85</v>
      </c>
      <c r="I103" s="4"/>
      <c r="J103" s="4"/>
      <c r="K103" s="4">
        <v>210</v>
      </c>
      <c r="L103" s="4">
        <v>25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4487.6899999999996</v>
      </c>
      <c r="X103" s="4">
        <v>1</v>
      </c>
      <c r="Y103" s="4">
        <v>4487.6899999999996</v>
      </c>
      <c r="Z103" s="4"/>
      <c r="AA103" s="4"/>
      <c r="AB103" s="4"/>
    </row>
    <row r="104" spans="1:245" x14ac:dyDescent="0.2">
      <c r="A104" s="4">
        <v>50</v>
      </c>
      <c r="B104" s="4">
        <v>0</v>
      </c>
      <c r="C104" s="4">
        <v>0</v>
      </c>
      <c r="D104" s="4">
        <v>1</v>
      </c>
      <c r="E104" s="4">
        <v>211</v>
      </c>
      <c r="F104" s="4">
        <f>ROUND(Source!Y77,O104)</f>
        <v>641.1</v>
      </c>
      <c r="G104" s="4" t="s">
        <v>86</v>
      </c>
      <c r="H104" s="4" t="s">
        <v>87</v>
      </c>
      <c r="I104" s="4"/>
      <c r="J104" s="4"/>
      <c r="K104" s="4">
        <v>211</v>
      </c>
      <c r="L104" s="4">
        <v>26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641.1</v>
      </c>
      <c r="X104" s="4">
        <v>1</v>
      </c>
      <c r="Y104" s="4">
        <v>641.1</v>
      </c>
      <c r="Z104" s="4"/>
      <c r="AA104" s="4"/>
      <c r="AB104" s="4"/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224</v>
      </c>
      <c r="F105" s="4">
        <f>ROUND(Source!AR77,O105)</f>
        <v>14700.95</v>
      </c>
      <c r="G105" s="4" t="s">
        <v>88</v>
      </c>
      <c r="H105" s="4" t="s">
        <v>89</v>
      </c>
      <c r="I105" s="4"/>
      <c r="J105" s="4"/>
      <c r="K105" s="4">
        <v>224</v>
      </c>
      <c r="L105" s="4">
        <v>27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14700.95</v>
      </c>
      <c r="X105" s="4">
        <v>1</v>
      </c>
      <c r="Y105" s="4">
        <v>14700.95</v>
      </c>
      <c r="Z105" s="4"/>
      <c r="AA105" s="4"/>
      <c r="AB105" s="4"/>
    </row>
    <row r="107" spans="1:245" x14ac:dyDescent="0.2">
      <c r="A107" s="1">
        <v>5</v>
      </c>
      <c r="B107" s="1">
        <v>1</v>
      </c>
      <c r="C107" s="1"/>
      <c r="D107" s="1">
        <f>ROW(A115)</f>
        <v>115</v>
      </c>
      <c r="E107" s="1"/>
      <c r="F107" s="1" t="s">
        <v>15</v>
      </c>
      <c r="G107" s="1" t="s">
        <v>110</v>
      </c>
      <c r="H107" s="1" t="s">
        <v>3</v>
      </c>
      <c r="I107" s="1">
        <v>0</v>
      </c>
      <c r="J107" s="1"/>
      <c r="K107" s="1">
        <v>0</v>
      </c>
      <c r="L107" s="1"/>
      <c r="M107" s="1" t="s">
        <v>3</v>
      </c>
      <c r="N107" s="1"/>
      <c r="O107" s="1"/>
      <c r="P107" s="1"/>
      <c r="Q107" s="1"/>
      <c r="R107" s="1"/>
      <c r="S107" s="1">
        <v>0</v>
      </c>
      <c r="T107" s="1"/>
      <c r="U107" s="1" t="s">
        <v>3</v>
      </c>
      <c r="V107" s="1">
        <v>0</v>
      </c>
      <c r="W107" s="1"/>
      <c r="X107" s="1"/>
      <c r="Y107" s="1"/>
      <c r="Z107" s="1"/>
      <c r="AA107" s="1"/>
      <c r="AB107" s="1" t="s">
        <v>3</v>
      </c>
      <c r="AC107" s="1" t="s">
        <v>3</v>
      </c>
      <c r="AD107" s="1" t="s">
        <v>3</v>
      </c>
      <c r="AE107" s="1" t="s">
        <v>3</v>
      </c>
      <c r="AF107" s="1" t="s">
        <v>3</v>
      </c>
      <c r="AG107" s="1" t="s">
        <v>3</v>
      </c>
      <c r="AH107" s="1"/>
      <c r="AI107" s="1"/>
      <c r="AJ107" s="1"/>
      <c r="AK107" s="1"/>
      <c r="AL107" s="1"/>
      <c r="AM107" s="1"/>
      <c r="AN107" s="1"/>
      <c r="AO107" s="1"/>
      <c r="AP107" s="1" t="s">
        <v>3</v>
      </c>
      <c r="AQ107" s="1" t="s">
        <v>3</v>
      </c>
      <c r="AR107" s="1" t="s">
        <v>3</v>
      </c>
      <c r="AS107" s="1"/>
      <c r="AT107" s="1"/>
      <c r="AU107" s="1"/>
      <c r="AV107" s="1"/>
      <c r="AW107" s="1"/>
      <c r="AX107" s="1"/>
      <c r="AY107" s="1"/>
      <c r="AZ107" s="1" t="s">
        <v>3</v>
      </c>
      <c r="BA107" s="1"/>
      <c r="BB107" s="1" t="s">
        <v>3</v>
      </c>
      <c r="BC107" s="1" t="s">
        <v>3</v>
      </c>
      <c r="BD107" s="1" t="s">
        <v>3</v>
      </c>
      <c r="BE107" s="1" t="s">
        <v>3</v>
      </c>
      <c r="BF107" s="1" t="s">
        <v>3</v>
      </c>
      <c r="BG107" s="1" t="s">
        <v>3</v>
      </c>
      <c r="BH107" s="1" t="s">
        <v>3</v>
      </c>
      <c r="BI107" s="1" t="s">
        <v>3</v>
      </c>
      <c r="BJ107" s="1" t="s">
        <v>3</v>
      </c>
      <c r="BK107" s="1" t="s">
        <v>3</v>
      </c>
      <c r="BL107" s="1" t="s">
        <v>3</v>
      </c>
      <c r="BM107" s="1" t="s">
        <v>3</v>
      </c>
      <c r="BN107" s="1" t="s">
        <v>3</v>
      </c>
      <c r="BO107" s="1" t="s">
        <v>3</v>
      </c>
      <c r="BP107" s="1" t="s">
        <v>3</v>
      </c>
      <c r="BQ107" s="1"/>
      <c r="BR107" s="1"/>
      <c r="BS107" s="1"/>
      <c r="BT107" s="1"/>
      <c r="BU107" s="1"/>
      <c r="BV107" s="1"/>
      <c r="BW107" s="1"/>
      <c r="BX107" s="1">
        <v>0</v>
      </c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>
        <v>0</v>
      </c>
    </row>
    <row r="109" spans="1:245" x14ac:dyDescent="0.2">
      <c r="A109" s="2">
        <v>52</v>
      </c>
      <c r="B109" s="2">
        <f t="shared" ref="B109:G109" si="45">B115</f>
        <v>1</v>
      </c>
      <c r="C109" s="2">
        <f t="shared" si="45"/>
        <v>5</v>
      </c>
      <c r="D109" s="2">
        <f t="shared" si="45"/>
        <v>107</v>
      </c>
      <c r="E109" s="2">
        <f t="shared" si="45"/>
        <v>0</v>
      </c>
      <c r="F109" s="2" t="str">
        <f t="shared" si="45"/>
        <v>Новый подраздел</v>
      </c>
      <c r="G109" s="2" t="str">
        <f t="shared" si="45"/>
        <v>Горячий и циркуляционный Водопровод Т3, Т4</v>
      </c>
      <c r="H109" s="2"/>
      <c r="I109" s="2"/>
      <c r="J109" s="2"/>
      <c r="K109" s="2"/>
      <c r="L109" s="2"/>
      <c r="M109" s="2"/>
      <c r="N109" s="2"/>
      <c r="O109" s="2">
        <f t="shared" ref="O109:AT109" si="46">O115</f>
        <v>889.18</v>
      </c>
      <c r="P109" s="2">
        <f t="shared" si="46"/>
        <v>0</v>
      </c>
      <c r="Q109" s="2">
        <f t="shared" si="46"/>
        <v>0</v>
      </c>
      <c r="R109" s="2">
        <f t="shared" si="46"/>
        <v>0</v>
      </c>
      <c r="S109" s="2">
        <f t="shared" si="46"/>
        <v>889.18</v>
      </c>
      <c r="T109" s="2">
        <f t="shared" si="46"/>
        <v>0</v>
      </c>
      <c r="U109" s="2">
        <f t="shared" si="46"/>
        <v>1.4400000000000002</v>
      </c>
      <c r="V109" s="2">
        <f t="shared" si="46"/>
        <v>0</v>
      </c>
      <c r="W109" s="2">
        <f t="shared" si="46"/>
        <v>0</v>
      </c>
      <c r="X109" s="2">
        <f t="shared" si="46"/>
        <v>622.42999999999995</v>
      </c>
      <c r="Y109" s="2">
        <f t="shared" si="46"/>
        <v>88.92</v>
      </c>
      <c r="Z109" s="2">
        <f t="shared" si="46"/>
        <v>0</v>
      </c>
      <c r="AA109" s="2">
        <f t="shared" si="46"/>
        <v>0</v>
      </c>
      <c r="AB109" s="2">
        <f t="shared" si="46"/>
        <v>889.18</v>
      </c>
      <c r="AC109" s="2">
        <f t="shared" si="46"/>
        <v>0</v>
      </c>
      <c r="AD109" s="2">
        <f t="shared" si="46"/>
        <v>0</v>
      </c>
      <c r="AE109" s="2">
        <f t="shared" si="46"/>
        <v>0</v>
      </c>
      <c r="AF109" s="2">
        <f t="shared" si="46"/>
        <v>889.18</v>
      </c>
      <c r="AG109" s="2">
        <f t="shared" si="46"/>
        <v>0</v>
      </c>
      <c r="AH109" s="2">
        <f t="shared" si="46"/>
        <v>1.4400000000000002</v>
      </c>
      <c r="AI109" s="2">
        <f t="shared" si="46"/>
        <v>0</v>
      </c>
      <c r="AJ109" s="2">
        <f t="shared" si="46"/>
        <v>0</v>
      </c>
      <c r="AK109" s="2">
        <f t="shared" si="46"/>
        <v>622.42999999999995</v>
      </c>
      <c r="AL109" s="2">
        <f t="shared" si="46"/>
        <v>88.92</v>
      </c>
      <c r="AM109" s="2">
        <f t="shared" si="46"/>
        <v>0</v>
      </c>
      <c r="AN109" s="2">
        <f t="shared" si="46"/>
        <v>0</v>
      </c>
      <c r="AO109" s="2">
        <f t="shared" si="46"/>
        <v>0</v>
      </c>
      <c r="AP109" s="2">
        <f t="shared" si="46"/>
        <v>0</v>
      </c>
      <c r="AQ109" s="2">
        <f t="shared" si="46"/>
        <v>0</v>
      </c>
      <c r="AR109" s="2">
        <f t="shared" si="46"/>
        <v>1600.53</v>
      </c>
      <c r="AS109" s="2">
        <f t="shared" si="46"/>
        <v>0</v>
      </c>
      <c r="AT109" s="2">
        <f t="shared" si="46"/>
        <v>0</v>
      </c>
      <c r="AU109" s="2">
        <f t="shared" ref="AU109:BZ109" si="47">AU115</f>
        <v>1600.53</v>
      </c>
      <c r="AV109" s="2">
        <f t="shared" si="47"/>
        <v>0</v>
      </c>
      <c r="AW109" s="2">
        <f t="shared" si="47"/>
        <v>0</v>
      </c>
      <c r="AX109" s="2">
        <f t="shared" si="47"/>
        <v>0</v>
      </c>
      <c r="AY109" s="2">
        <f t="shared" si="47"/>
        <v>0</v>
      </c>
      <c r="AZ109" s="2">
        <f t="shared" si="47"/>
        <v>0</v>
      </c>
      <c r="BA109" s="2">
        <f t="shared" si="47"/>
        <v>0</v>
      </c>
      <c r="BB109" s="2">
        <f t="shared" si="47"/>
        <v>0</v>
      </c>
      <c r="BC109" s="2">
        <f t="shared" si="47"/>
        <v>0</v>
      </c>
      <c r="BD109" s="2">
        <f t="shared" si="47"/>
        <v>0</v>
      </c>
      <c r="BE109" s="2">
        <f t="shared" si="47"/>
        <v>0</v>
      </c>
      <c r="BF109" s="2">
        <f t="shared" si="47"/>
        <v>0</v>
      </c>
      <c r="BG109" s="2">
        <f t="shared" si="47"/>
        <v>0</v>
      </c>
      <c r="BH109" s="2">
        <f t="shared" si="47"/>
        <v>0</v>
      </c>
      <c r="BI109" s="2">
        <f t="shared" si="47"/>
        <v>0</v>
      </c>
      <c r="BJ109" s="2">
        <f t="shared" si="47"/>
        <v>0</v>
      </c>
      <c r="BK109" s="2">
        <f t="shared" si="47"/>
        <v>0</v>
      </c>
      <c r="BL109" s="2">
        <f t="shared" si="47"/>
        <v>0</v>
      </c>
      <c r="BM109" s="2">
        <f t="shared" si="47"/>
        <v>0</v>
      </c>
      <c r="BN109" s="2">
        <f t="shared" si="47"/>
        <v>0</v>
      </c>
      <c r="BO109" s="2">
        <f t="shared" si="47"/>
        <v>0</v>
      </c>
      <c r="BP109" s="2">
        <f t="shared" si="47"/>
        <v>0</v>
      </c>
      <c r="BQ109" s="2">
        <f t="shared" si="47"/>
        <v>0</v>
      </c>
      <c r="BR109" s="2">
        <f t="shared" si="47"/>
        <v>0</v>
      </c>
      <c r="BS109" s="2">
        <f t="shared" si="47"/>
        <v>0</v>
      </c>
      <c r="BT109" s="2">
        <f t="shared" si="47"/>
        <v>0</v>
      </c>
      <c r="BU109" s="2">
        <f t="shared" si="47"/>
        <v>0</v>
      </c>
      <c r="BV109" s="2">
        <f t="shared" si="47"/>
        <v>0</v>
      </c>
      <c r="BW109" s="2">
        <f t="shared" si="47"/>
        <v>0</v>
      </c>
      <c r="BX109" s="2">
        <f t="shared" si="47"/>
        <v>0</v>
      </c>
      <c r="BY109" s="2">
        <f t="shared" si="47"/>
        <v>0</v>
      </c>
      <c r="BZ109" s="2">
        <f t="shared" si="47"/>
        <v>0</v>
      </c>
      <c r="CA109" s="2">
        <f t="shared" ref="CA109:DF109" si="48">CA115</f>
        <v>1600.53</v>
      </c>
      <c r="CB109" s="2">
        <f t="shared" si="48"/>
        <v>0</v>
      </c>
      <c r="CC109" s="2">
        <f t="shared" si="48"/>
        <v>0</v>
      </c>
      <c r="CD109" s="2">
        <f t="shared" si="48"/>
        <v>1600.53</v>
      </c>
      <c r="CE109" s="2">
        <f t="shared" si="48"/>
        <v>0</v>
      </c>
      <c r="CF109" s="2">
        <f t="shared" si="48"/>
        <v>0</v>
      </c>
      <c r="CG109" s="2">
        <f t="shared" si="48"/>
        <v>0</v>
      </c>
      <c r="CH109" s="2">
        <f t="shared" si="48"/>
        <v>0</v>
      </c>
      <c r="CI109" s="2">
        <f t="shared" si="48"/>
        <v>0</v>
      </c>
      <c r="CJ109" s="2">
        <f t="shared" si="48"/>
        <v>0</v>
      </c>
      <c r="CK109" s="2">
        <f t="shared" si="48"/>
        <v>0</v>
      </c>
      <c r="CL109" s="2">
        <f t="shared" si="48"/>
        <v>0</v>
      </c>
      <c r="CM109" s="2">
        <f t="shared" si="48"/>
        <v>0</v>
      </c>
      <c r="CN109" s="2">
        <f t="shared" si="48"/>
        <v>0</v>
      </c>
      <c r="CO109" s="2">
        <f t="shared" si="48"/>
        <v>0</v>
      </c>
      <c r="CP109" s="2">
        <f t="shared" si="48"/>
        <v>0</v>
      </c>
      <c r="CQ109" s="2">
        <f t="shared" si="48"/>
        <v>0</v>
      </c>
      <c r="CR109" s="2">
        <f t="shared" si="48"/>
        <v>0</v>
      </c>
      <c r="CS109" s="2">
        <f t="shared" si="48"/>
        <v>0</v>
      </c>
      <c r="CT109" s="2">
        <f t="shared" si="48"/>
        <v>0</v>
      </c>
      <c r="CU109" s="2">
        <f t="shared" si="48"/>
        <v>0</v>
      </c>
      <c r="CV109" s="2">
        <f t="shared" si="48"/>
        <v>0</v>
      </c>
      <c r="CW109" s="2">
        <f t="shared" si="48"/>
        <v>0</v>
      </c>
      <c r="CX109" s="2">
        <f t="shared" si="48"/>
        <v>0</v>
      </c>
      <c r="CY109" s="2">
        <f t="shared" si="48"/>
        <v>0</v>
      </c>
      <c r="CZ109" s="2">
        <f t="shared" si="48"/>
        <v>0</v>
      </c>
      <c r="DA109" s="2">
        <f t="shared" si="48"/>
        <v>0</v>
      </c>
      <c r="DB109" s="2">
        <f t="shared" si="48"/>
        <v>0</v>
      </c>
      <c r="DC109" s="2">
        <f t="shared" si="48"/>
        <v>0</v>
      </c>
      <c r="DD109" s="2">
        <f t="shared" si="48"/>
        <v>0</v>
      </c>
      <c r="DE109" s="2">
        <f t="shared" si="48"/>
        <v>0</v>
      </c>
      <c r="DF109" s="2">
        <f t="shared" si="48"/>
        <v>0</v>
      </c>
      <c r="DG109" s="3">
        <f t="shared" ref="DG109:EL109" si="49">DG115</f>
        <v>0</v>
      </c>
      <c r="DH109" s="3">
        <f t="shared" si="49"/>
        <v>0</v>
      </c>
      <c r="DI109" s="3">
        <f t="shared" si="49"/>
        <v>0</v>
      </c>
      <c r="DJ109" s="3">
        <f t="shared" si="49"/>
        <v>0</v>
      </c>
      <c r="DK109" s="3">
        <f t="shared" si="49"/>
        <v>0</v>
      </c>
      <c r="DL109" s="3">
        <f t="shared" si="49"/>
        <v>0</v>
      </c>
      <c r="DM109" s="3">
        <f t="shared" si="49"/>
        <v>0</v>
      </c>
      <c r="DN109" s="3">
        <f t="shared" si="49"/>
        <v>0</v>
      </c>
      <c r="DO109" s="3">
        <f t="shared" si="49"/>
        <v>0</v>
      </c>
      <c r="DP109" s="3">
        <f t="shared" si="49"/>
        <v>0</v>
      </c>
      <c r="DQ109" s="3">
        <f t="shared" si="49"/>
        <v>0</v>
      </c>
      <c r="DR109" s="3">
        <f t="shared" si="49"/>
        <v>0</v>
      </c>
      <c r="DS109" s="3">
        <f t="shared" si="49"/>
        <v>0</v>
      </c>
      <c r="DT109" s="3">
        <f t="shared" si="49"/>
        <v>0</v>
      </c>
      <c r="DU109" s="3">
        <f t="shared" si="49"/>
        <v>0</v>
      </c>
      <c r="DV109" s="3">
        <f t="shared" si="49"/>
        <v>0</v>
      </c>
      <c r="DW109" s="3">
        <f t="shared" si="49"/>
        <v>0</v>
      </c>
      <c r="DX109" s="3">
        <f t="shared" si="49"/>
        <v>0</v>
      </c>
      <c r="DY109" s="3">
        <f t="shared" si="49"/>
        <v>0</v>
      </c>
      <c r="DZ109" s="3">
        <f t="shared" si="49"/>
        <v>0</v>
      </c>
      <c r="EA109" s="3">
        <f t="shared" si="49"/>
        <v>0</v>
      </c>
      <c r="EB109" s="3">
        <f t="shared" si="49"/>
        <v>0</v>
      </c>
      <c r="EC109" s="3">
        <f t="shared" si="49"/>
        <v>0</v>
      </c>
      <c r="ED109" s="3">
        <f t="shared" si="49"/>
        <v>0</v>
      </c>
      <c r="EE109" s="3">
        <f t="shared" si="49"/>
        <v>0</v>
      </c>
      <c r="EF109" s="3">
        <f t="shared" si="49"/>
        <v>0</v>
      </c>
      <c r="EG109" s="3">
        <f t="shared" si="49"/>
        <v>0</v>
      </c>
      <c r="EH109" s="3">
        <f t="shared" si="49"/>
        <v>0</v>
      </c>
      <c r="EI109" s="3">
        <f t="shared" si="49"/>
        <v>0</v>
      </c>
      <c r="EJ109" s="3">
        <f t="shared" si="49"/>
        <v>0</v>
      </c>
      <c r="EK109" s="3">
        <f t="shared" si="49"/>
        <v>0</v>
      </c>
      <c r="EL109" s="3">
        <f t="shared" si="49"/>
        <v>0</v>
      </c>
      <c r="EM109" s="3">
        <f t="shared" ref="EM109:FR109" si="50">EM115</f>
        <v>0</v>
      </c>
      <c r="EN109" s="3">
        <f t="shared" si="50"/>
        <v>0</v>
      </c>
      <c r="EO109" s="3">
        <f t="shared" si="50"/>
        <v>0</v>
      </c>
      <c r="EP109" s="3">
        <f t="shared" si="50"/>
        <v>0</v>
      </c>
      <c r="EQ109" s="3">
        <f t="shared" si="50"/>
        <v>0</v>
      </c>
      <c r="ER109" s="3">
        <f t="shared" si="50"/>
        <v>0</v>
      </c>
      <c r="ES109" s="3">
        <f t="shared" si="50"/>
        <v>0</v>
      </c>
      <c r="ET109" s="3">
        <f t="shared" si="50"/>
        <v>0</v>
      </c>
      <c r="EU109" s="3">
        <f t="shared" si="50"/>
        <v>0</v>
      </c>
      <c r="EV109" s="3">
        <f t="shared" si="50"/>
        <v>0</v>
      </c>
      <c r="EW109" s="3">
        <f t="shared" si="50"/>
        <v>0</v>
      </c>
      <c r="EX109" s="3">
        <f t="shared" si="50"/>
        <v>0</v>
      </c>
      <c r="EY109" s="3">
        <f t="shared" si="50"/>
        <v>0</v>
      </c>
      <c r="EZ109" s="3">
        <f t="shared" si="50"/>
        <v>0</v>
      </c>
      <c r="FA109" s="3">
        <f t="shared" si="50"/>
        <v>0</v>
      </c>
      <c r="FB109" s="3">
        <f t="shared" si="50"/>
        <v>0</v>
      </c>
      <c r="FC109" s="3">
        <f t="shared" si="50"/>
        <v>0</v>
      </c>
      <c r="FD109" s="3">
        <f t="shared" si="50"/>
        <v>0</v>
      </c>
      <c r="FE109" s="3">
        <f t="shared" si="50"/>
        <v>0</v>
      </c>
      <c r="FF109" s="3">
        <f t="shared" si="50"/>
        <v>0</v>
      </c>
      <c r="FG109" s="3">
        <f t="shared" si="50"/>
        <v>0</v>
      </c>
      <c r="FH109" s="3">
        <f t="shared" si="50"/>
        <v>0</v>
      </c>
      <c r="FI109" s="3">
        <f t="shared" si="50"/>
        <v>0</v>
      </c>
      <c r="FJ109" s="3">
        <f t="shared" si="50"/>
        <v>0</v>
      </c>
      <c r="FK109" s="3">
        <f t="shared" si="50"/>
        <v>0</v>
      </c>
      <c r="FL109" s="3">
        <f t="shared" si="50"/>
        <v>0</v>
      </c>
      <c r="FM109" s="3">
        <f t="shared" si="50"/>
        <v>0</v>
      </c>
      <c r="FN109" s="3">
        <f t="shared" si="50"/>
        <v>0</v>
      </c>
      <c r="FO109" s="3">
        <f t="shared" si="50"/>
        <v>0</v>
      </c>
      <c r="FP109" s="3">
        <f t="shared" si="50"/>
        <v>0</v>
      </c>
      <c r="FQ109" s="3">
        <f t="shared" si="50"/>
        <v>0</v>
      </c>
      <c r="FR109" s="3">
        <f t="shared" si="50"/>
        <v>0</v>
      </c>
      <c r="FS109" s="3">
        <f t="shared" ref="FS109:GX109" si="51">FS115</f>
        <v>0</v>
      </c>
      <c r="FT109" s="3">
        <f t="shared" si="51"/>
        <v>0</v>
      </c>
      <c r="FU109" s="3">
        <f t="shared" si="51"/>
        <v>0</v>
      </c>
      <c r="FV109" s="3">
        <f t="shared" si="51"/>
        <v>0</v>
      </c>
      <c r="FW109" s="3">
        <f t="shared" si="51"/>
        <v>0</v>
      </c>
      <c r="FX109" s="3">
        <f t="shared" si="51"/>
        <v>0</v>
      </c>
      <c r="FY109" s="3">
        <f t="shared" si="51"/>
        <v>0</v>
      </c>
      <c r="FZ109" s="3">
        <f t="shared" si="51"/>
        <v>0</v>
      </c>
      <c r="GA109" s="3">
        <f t="shared" si="51"/>
        <v>0</v>
      </c>
      <c r="GB109" s="3">
        <f t="shared" si="51"/>
        <v>0</v>
      </c>
      <c r="GC109" s="3">
        <f t="shared" si="51"/>
        <v>0</v>
      </c>
      <c r="GD109" s="3">
        <f t="shared" si="51"/>
        <v>0</v>
      </c>
      <c r="GE109" s="3">
        <f t="shared" si="51"/>
        <v>0</v>
      </c>
      <c r="GF109" s="3">
        <f t="shared" si="51"/>
        <v>0</v>
      </c>
      <c r="GG109" s="3">
        <f t="shared" si="51"/>
        <v>0</v>
      </c>
      <c r="GH109" s="3">
        <f t="shared" si="51"/>
        <v>0</v>
      </c>
      <c r="GI109" s="3">
        <f t="shared" si="51"/>
        <v>0</v>
      </c>
      <c r="GJ109" s="3">
        <f t="shared" si="51"/>
        <v>0</v>
      </c>
      <c r="GK109" s="3">
        <f t="shared" si="51"/>
        <v>0</v>
      </c>
      <c r="GL109" s="3">
        <f t="shared" si="51"/>
        <v>0</v>
      </c>
      <c r="GM109" s="3">
        <f t="shared" si="51"/>
        <v>0</v>
      </c>
      <c r="GN109" s="3">
        <f t="shared" si="51"/>
        <v>0</v>
      </c>
      <c r="GO109" s="3">
        <f t="shared" si="51"/>
        <v>0</v>
      </c>
      <c r="GP109" s="3">
        <f t="shared" si="51"/>
        <v>0</v>
      </c>
      <c r="GQ109" s="3">
        <f t="shared" si="51"/>
        <v>0</v>
      </c>
      <c r="GR109" s="3">
        <f t="shared" si="51"/>
        <v>0</v>
      </c>
      <c r="GS109" s="3">
        <f t="shared" si="51"/>
        <v>0</v>
      </c>
      <c r="GT109" s="3">
        <f t="shared" si="51"/>
        <v>0</v>
      </c>
      <c r="GU109" s="3">
        <f t="shared" si="51"/>
        <v>0</v>
      </c>
      <c r="GV109" s="3">
        <f t="shared" si="51"/>
        <v>0</v>
      </c>
      <c r="GW109" s="3">
        <f t="shared" si="51"/>
        <v>0</v>
      </c>
      <c r="GX109" s="3">
        <f t="shared" si="51"/>
        <v>0</v>
      </c>
    </row>
    <row r="111" spans="1:245" x14ac:dyDescent="0.2">
      <c r="A111">
        <v>17</v>
      </c>
      <c r="B111">
        <v>1</v>
      </c>
      <c r="D111">
        <f>ROW(EtalonRes!A16)</f>
        <v>16</v>
      </c>
      <c r="E111" t="s">
        <v>111</v>
      </c>
      <c r="F111" t="s">
        <v>92</v>
      </c>
      <c r="G111" t="s">
        <v>93</v>
      </c>
      <c r="H111" t="s">
        <v>94</v>
      </c>
      <c r="I111">
        <f>ROUND((32)/10,9)</f>
        <v>3.2</v>
      </c>
      <c r="J111">
        <v>0</v>
      </c>
      <c r="K111">
        <f>ROUND((32)/10,9)</f>
        <v>3.2</v>
      </c>
      <c r="O111">
        <f>ROUND(CP111,2)</f>
        <v>889.18</v>
      </c>
      <c r="P111">
        <f>ROUND(CQ111*I111,2)</f>
        <v>0</v>
      </c>
      <c r="Q111">
        <f>ROUND(CR111*I111,2)</f>
        <v>0</v>
      </c>
      <c r="R111">
        <f>ROUND(CS111*I111,2)</f>
        <v>0</v>
      </c>
      <c r="S111">
        <f>ROUND(CT111*I111,2)</f>
        <v>889.18</v>
      </c>
      <c r="T111">
        <f>ROUND(CU111*I111,2)</f>
        <v>0</v>
      </c>
      <c r="U111">
        <f>CV111*I111</f>
        <v>1.4400000000000002</v>
      </c>
      <c r="V111">
        <f>CW111*I111</f>
        <v>0</v>
      </c>
      <c r="W111">
        <f>ROUND(CX111*I111,2)</f>
        <v>0</v>
      </c>
      <c r="X111">
        <f t="shared" ref="X111:Y113" si="52">ROUND(CY111,2)</f>
        <v>622.42999999999995</v>
      </c>
      <c r="Y111">
        <f t="shared" si="52"/>
        <v>88.92</v>
      </c>
      <c r="AA111">
        <v>1472506909</v>
      </c>
      <c r="AB111">
        <f>ROUND((AC111+AD111+AF111),6)</f>
        <v>277.87</v>
      </c>
      <c r="AC111">
        <f>ROUND((ES111),6)</f>
        <v>0</v>
      </c>
      <c r="AD111">
        <f>ROUND((((ET111)-(EU111))+AE111),6)</f>
        <v>0</v>
      </c>
      <c r="AE111">
        <f>ROUND((EU111),6)</f>
        <v>0</v>
      </c>
      <c r="AF111">
        <f>ROUND((EV111),6)</f>
        <v>277.87</v>
      </c>
      <c r="AG111">
        <f>ROUND((AP111),6)</f>
        <v>0</v>
      </c>
      <c r="AH111">
        <f>(EW111)</f>
        <v>0.45</v>
      </c>
      <c r="AI111">
        <f>(EX111)</f>
        <v>0</v>
      </c>
      <c r="AJ111">
        <f>(AS111)</f>
        <v>0</v>
      </c>
      <c r="AK111">
        <v>277.87</v>
      </c>
      <c r="AL111">
        <v>0</v>
      </c>
      <c r="AM111">
        <v>0</v>
      </c>
      <c r="AN111">
        <v>0</v>
      </c>
      <c r="AO111">
        <v>277.87</v>
      </c>
      <c r="AP111">
        <v>0</v>
      </c>
      <c r="AQ111">
        <v>0.45</v>
      </c>
      <c r="AR111">
        <v>0</v>
      </c>
      <c r="AS111">
        <v>0</v>
      </c>
      <c r="AT111">
        <v>70</v>
      </c>
      <c r="AU111">
        <v>10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4</v>
      </c>
      <c r="BJ111" t="s">
        <v>95</v>
      </c>
      <c r="BM111">
        <v>0</v>
      </c>
      <c r="BN111">
        <v>0</v>
      </c>
      <c r="BO111" t="s">
        <v>3</v>
      </c>
      <c r="BP111">
        <v>0</v>
      </c>
      <c r="BQ111">
        <v>1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70</v>
      </c>
      <c r="CA111">
        <v>10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>(P111+Q111+S111)</f>
        <v>889.18</v>
      </c>
      <c r="CQ111">
        <f>(AC111*BC111*AW111)</f>
        <v>0</v>
      </c>
      <c r="CR111">
        <f>((((ET111)*BB111-(EU111)*BS111)+AE111*BS111)*AV111)</f>
        <v>0</v>
      </c>
      <c r="CS111">
        <f>(AE111*BS111*AV111)</f>
        <v>0</v>
      </c>
      <c r="CT111">
        <f>(AF111*BA111*AV111)</f>
        <v>277.87</v>
      </c>
      <c r="CU111">
        <f>AG111</f>
        <v>0</v>
      </c>
      <c r="CV111">
        <f>(AH111*AV111)</f>
        <v>0.45</v>
      </c>
      <c r="CW111">
        <f t="shared" ref="CW111:CX113" si="53">AI111</f>
        <v>0</v>
      </c>
      <c r="CX111">
        <f t="shared" si="53"/>
        <v>0</v>
      </c>
      <c r="CY111">
        <f>((S111*BZ111)/100)</f>
        <v>622.42599999999993</v>
      </c>
      <c r="CZ111">
        <f>((S111*CA111)/100)</f>
        <v>88.917999999999992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16987630</v>
      </c>
      <c r="DV111" t="s">
        <v>94</v>
      </c>
      <c r="DW111" t="s">
        <v>94</v>
      </c>
      <c r="DX111">
        <v>10</v>
      </c>
      <c r="DZ111" t="s">
        <v>3</v>
      </c>
      <c r="EA111" t="s">
        <v>3</v>
      </c>
      <c r="EB111" t="s">
        <v>3</v>
      </c>
      <c r="EC111" t="s">
        <v>3</v>
      </c>
      <c r="EE111">
        <v>1441815344</v>
      </c>
      <c r="EF111">
        <v>1</v>
      </c>
      <c r="EG111" t="s">
        <v>22</v>
      </c>
      <c r="EH111">
        <v>0</v>
      </c>
      <c r="EI111" t="s">
        <v>3</v>
      </c>
      <c r="EJ111">
        <v>4</v>
      </c>
      <c r="EK111">
        <v>0</v>
      </c>
      <c r="EL111" t="s">
        <v>23</v>
      </c>
      <c r="EM111" t="s">
        <v>24</v>
      </c>
      <c r="EO111" t="s">
        <v>3</v>
      </c>
      <c r="EQ111">
        <v>0</v>
      </c>
      <c r="ER111">
        <v>277.87</v>
      </c>
      <c r="ES111">
        <v>0</v>
      </c>
      <c r="ET111">
        <v>0</v>
      </c>
      <c r="EU111">
        <v>0</v>
      </c>
      <c r="EV111">
        <v>277.87</v>
      </c>
      <c r="EW111">
        <v>0.45</v>
      </c>
      <c r="EX111">
        <v>0</v>
      </c>
      <c r="EY111">
        <v>0</v>
      </c>
      <c r="FQ111">
        <v>0</v>
      </c>
      <c r="FR111">
        <f>ROUND(IF(BI111=3,GM111,0),2)</f>
        <v>0</v>
      </c>
      <c r="FS111">
        <v>0</v>
      </c>
      <c r="FX111">
        <v>70</v>
      </c>
      <c r="FY111">
        <v>10</v>
      </c>
      <c r="GA111" t="s">
        <v>3</v>
      </c>
      <c r="GD111">
        <v>0</v>
      </c>
      <c r="GF111">
        <v>-559430364</v>
      </c>
      <c r="GG111">
        <v>2</v>
      </c>
      <c r="GH111">
        <v>1</v>
      </c>
      <c r="GI111">
        <v>-2</v>
      </c>
      <c r="GJ111">
        <v>0</v>
      </c>
      <c r="GK111">
        <f>ROUND(R111*(R12)/100,2)</f>
        <v>0</v>
      </c>
      <c r="GL111">
        <f>ROUND(IF(AND(BH111=3,BI111=3,FS111&lt;&gt;0),P111,0),2)</f>
        <v>0</v>
      </c>
      <c r="GM111">
        <f>ROUND(O111+X111+Y111+GK111,2)+GX111</f>
        <v>1600.53</v>
      </c>
      <c r="GN111">
        <f>IF(OR(BI111=0,BI111=1),GM111-GX111,0)</f>
        <v>0</v>
      </c>
      <c r="GO111">
        <f>IF(BI111=2,GM111-GX111,0)</f>
        <v>0</v>
      </c>
      <c r="GP111">
        <f>IF(BI111=4,GM111-GX111,0)</f>
        <v>1600.53</v>
      </c>
      <c r="GR111">
        <v>0</v>
      </c>
      <c r="GS111">
        <v>3</v>
      </c>
      <c r="GT111">
        <v>0</v>
      </c>
      <c r="GU111" t="s">
        <v>3</v>
      </c>
      <c r="GV111">
        <f>ROUND((GT111),6)</f>
        <v>0</v>
      </c>
      <c r="GW111">
        <v>1</v>
      </c>
      <c r="GX111">
        <f>ROUND(HC111*I111,2)</f>
        <v>0</v>
      </c>
      <c r="HA111">
        <v>0</v>
      </c>
      <c r="HB111">
        <v>0</v>
      </c>
      <c r="HC111">
        <f>GV111*GW111</f>
        <v>0</v>
      </c>
      <c r="HE111" t="s">
        <v>3</v>
      </c>
      <c r="HF111" t="s">
        <v>3</v>
      </c>
      <c r="HM111" t="s">
        <v>3</v>
      </c>
      <c r="HN111" t="s">
        <v>3</v>
      </c>
      <c r="HO111" t="s">
        <v>3</v>
      </c>
      <c r="HP111" t="s">
        <v>3</v>
      </c>
      <c r="HQ111" t="s">
        <v>3</v>
      </c>
      <c r="IK111">
        <v>0</v>
      </c>
    </row>
    <row r="112" spans="1:245" x14ac:dyDescent="0.2">
      <c r="A112">
        <v>17</v>
      </c>
      <c r="B112">
        <v>1</v>
      </c>
      <c r="D112">
        <f>ROW(EtalonRes!A17)</f>
        <v>17</v>
      </c>
      <c r="E112" t="s">
        <v>3</v>
      </c>
      <c r="F112" t="s">
        <v>102</v>
      </c>
      <c r="G112" t="s">
        <v>103</v>
      </c>
      <c r="H112" t="s">
        <v>104</v>
      </c>
      <c r="I112">
        <f>ROUND((75)*0.25*0.1/100,9)</f>
        <v>1.8749999999999999E-2</v>
      </c>
      <c r="J112">
        <v>0</v>
      </c>
      <c r="K112">
        <f>ROUND((75)*0.25*0.1/100,9)</f>
        <v>1.8749999999999999E-2</v>
      </c>
      <c r="O112">
        <f>ROUND(CP112,2)</f>
        <v>37.950000000000003</v>
      </c>
      <c r="P112">
        <f>ROUND(CQ112*I112,2)</f>
        <v>0</v>
      </c>
      <c r="Q112">
        <f>ROUND(CR112*I112,2)</f>
        <v>0</v>
      </c>
      <c r="R112">
        <f>ROUND(CS112*I112,2)</f>
        <v>0</v>
      </c>
      <c r="S112">
        <f>ROUND(CT112*I112,2)</f>
        <v>37.950000000000003</v>
      </c>
      <c r="T112">
        <f>ROUND(CU112*I112,2)</f>
        <v>0</v>
      </c>
      <c r="U112">
        <f>CV112*I112</f>
        <v>6.7500000000000004E-2</v>
      </c>
      <c r="V112">
        <f>CW112*I112</f>
        <v>0</v>
      </c>
      <c r="W112">
        <f>ROUND(CX112*I112,2)</f>
        <v>0</v>
      </c>
      <c r="X112">
        <f t="shared" si="52"/>
        <v>26.57</v>
      </c>
      <c r="Y112">
        <f t="shared" si="52"/>
        <v>3.8</v>
      </c>
      <c r="AA112">
        <v>-1</v>
      </c>
      <c r="AB112">
        <f>ROUND((AC112+AD112+AF112),6)</f>
        <v>2023.8</v>
      </c>
      <c r="AC112">
        <f>ROUND(((ES112*4)),6)</f>
        <v>0</v>
      </c>
      <c r="AD112">
        <f>ROUND(((((ET112*4))-((EU112*4)))+AE112),6)</f>
        <v>0</v>
      </c>
      <c r="AE112">
        <f>ROUND(((EU112*4)),6)</f>
        <v>0</v>
      </c>
      <c r="AF112">
        <f>ROUND(((EV112*4)),6)</f>
        <v>2023.8</v>
      </c>
      <c r="AG112">
        <f>ROUND((AP112),6)</f>
        <v>0</v>
      </c>
      <c r="AH112">
        <f>((EW112*4))</f>
        <v>3.6</v>
      </c>
      <c r="AI112">
        <f>((EX112*4))</f>
        <v>0</v>
      </c>
      <c r="AJ112">
        <f>(AS112)</f>
        <v>0</v>
      </c>
      <c r="AK112">
        <v>505.95</v>
      </c>
      <c r="AL112">
        <v>0</v>
      </c>
      <c r="AM112">
        <v>0</v>
      </c>
      <c r="AN112">
        <v>0</v>
      </c>
      <c r="AO112">
        <v>505.95</v>
      </c>
      <c r="AP112">
        <v>0</v>
      </c>
      <c r="AQ112">
        <v>0.9</v>
      </c>
      <c r="AR112">
        <v>0</v>
      </c>
      <c r="AS112">
        <v>0</v>
      </c>
      <c r="AT112">
        <v>70</v>
      </c>
      <c r="AU112">
        <v>10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4</v>
      </c>
      <c r="BJ112" t="s">
        <v>105</v>
      </c>
      <c r="BM112">
        <v>0</v>
      </c>
      <c r="BN112">
        <v>0</v>
      </c>
      <c r="BO112" t="s">
        <v>3</v>
      </c>
      <c r="BP112">
        <v>0</v>
      </c>
      <c r="BQ112">
        <v>1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70</v>
      </c>
      <c r="CA112">
        <v>10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>(P112+Q112+S112)</f>
        <v>37.950000000000003</v>
      </c>
      <c r="CQ112">
        <f>(AC112*BC112*AW112)</f>
        <v>0</v>
      </c>
      <c r="CR112">
        <f>(((((ET112*4))*BB112-((EU112*4))*BS112)+AE112*BS112)*AV112)</f>
        <v>0</v>
      </c>
      <c r="CS112">
        <f>(AE112*BS112*AV112)</f>
        <v>0</v>
      </c>
      <c r="CT112">
        <f>(AF112*BA112*AV112)</f>
        <v>2023.8</v>
      </c>
      <c r="CU112">
        <f>AG112</f>
        <v>0</v>
      </c>
      <c r="CV112">
        <f>(AH112*AV112)</f>
        <v>3.6</v>
      </c>
      <c r="CW112">
        <f t="shared" si="53"/>
        <v>0</v>
      </c>
      <c r="CX112">
        <f t="shared" si="53"/>
        <v>0</v>
      </c>
      <c r="CY112">
        <f>((S112*BZ112)/100)</f>
        <v>26.565000000000001</v>
      </c>
      <c r="CZ112">
        <f>((S112*CA112)/100)</f>
        <v>3.7949999999999999</v>
      </c>
      <c r="DC112" t="s">
        <v>3</v>
      </c>
      <c r="DD112" t="s">
        <v>106</v>
      </c>
      <c r="DE112" t="s">
        <v>106</v>
      </c>
      <c r="DF112" t="s">
        <v>106</v>
      </c>
      <c r="DG112" t="s">
        <v>106</v>
      </c>
      <c r="DH112" t="s">
        <v>3</v>
      </c>
      <c r="DI112" t="s">
        <v>106</v>
      </c>
      <c r="DJ112" t="s">
        <v>106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1003</v>
      </c>
      <c r="DV112" t="s">
        <v>104</v>
      </c>
      <c r="DW112" t="s">
        <v>104</v>
      </c>
      <c r="DX112">
        <v>100</v>
      </c>
      <c r="DZ112" t="s">
        <v>3</v>
      </c>
      <c r="EA112" t="s">
        <v>3</v>
      </c>
      <c r="EB112" t="s">
        <v>3</v>
      </c>
      <c r="EC112" t="s">
        <v>3</v>
      </c>
      <c r="EE112">
        <v>1441815344</v>
      </c>
      <c r="EF112">
        <v>1</v>
      </c>
      <c r="EG112" t="s">
        <v>22</v>
      </c>
      <c r="EH112">
        <v>0</v>
      </c>
      <c r="EI112" t="s">
        <v>3</v>
      </c>
      <c r="EJ112">
        <v>4</v>
      </c>
      <c r="EK112">
        <v>0</v>
      </c>
      <c r="EL112" t="s">
        <v>23</v>
      </c>
      <c r="EM112" t="s">
        <v>24</v>
      </c>
      <c r="EO112" t="s">
        <v>3</v>
      </c>
      <c r="EQ112">
        <v>1024</v>
      </c>
      <c r="ER112">
        <v>505.95</v>
      </c>
      <c r="ES112">
        <v>0</v>
      </c>
      <c r="ET112">
        <v>0</v>
      </c>
      <c r="EU112">
        <v>0</v>
      </c>
      <c r="EV112">
        <v>505.95</v>
      </c>
      <c r="EW112">
        <v>0.9</v>
      </c>
      <c r="EX112">
        <v>0</v>
      </c>
      <c r="EY112">
        <v>0</v>
      </c>
      <c r="FQ112">
        <v>0</v>
      </c>
      <c r="FR112">
        <f>ROUND(IF(BI112=3,GM112,0),2)</f>
        <v>0</v>
      </c>
      <c r="FS112">
        <v>0</v>
      </c>
      <c r="FX112">
        <v>70</v>
      </c>
      <c r="FY112">
        <v>10</v>
      </c>
      <c r="GA112" t="s">
        <v>3</v>
      </c>
      <c r="GD112">
        <v>0</v>
      </c>
      <c r="GF112">
        <v>-341239612</v>
      </c>
      <c r="GG112">
        <v>2</v>
      </c>
      <c r="GH112">
        <v>1</v>
      </c>
      <c r="GI112">
        <v>-2</v>
      </c>
      <c r="GJ112">
        <v>0</v>
      </c>
      <c r="GK112">
        <f>ROUND(R112*(R12)/100,2)</f>
        <v>0</v>
      </c>
      <c r="GL112">
        <f>ROUND(IF(AND(BH112=3,BI112=3,FS112&lt;&gt;0),P112,0),2)</f>
        <v>0</v>
      </c>
      <c r="GM112">
        <f>ROUND(O112+X112+Y112+GK112,2)+GX112</f>
        <v>68.319999999999993</v>
      </c>
      <c r="GN112">
        <f>IF(OR(BI112=0,BI112=1),GM112-GX112,0)</f>
        <v>0</v>
      </c>
      <c r="GO112">
        <f>IF(BI112=2,GM112-GX112,0)</f>
        <v>0</v>
      </c>
      <c r="GP112">
        <f>IF(BI112=4,GM112-GX112,0)</f>
        <v>68.319999999999993</v>
      </c>
      <c r="GR112">
        <v>0</v>
      </c>
      <c r="GS112">
        <v>3</v>
      </c>
      <c r="GT112">
        <v>0</v>
      </c>
      <c r="GU112" t="s">
        <v>3</v>
      </c>
      <c r="GV112">
        <f>ROUND((GT112),6)</f>
        <v>0</v>
      </c>
      <c r="GW112">
        <v>1</v>
      </c>
      <c r="GX112">
        <f>ROUND(HC112*I112,2)</f>
        <v>0</v>
      </c>
      <c r="HA112">
        <v>0</v>
      </c>
      <c r="HB112">
        <v>0</v>
      </c>
      <c r="HC112">
        <f>GV112*GW112</f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D113">
        <f>ROW(EtalonRes!A18)</f>
        <v>18</v>
      </c>
      <c r="E113" t="s">
        <v>3</v>
      </c>
      <c r="F113" t="s">
        <v>107</v>
      </c>
      <c r="G113" t="s">
        <v>108</v>
      </c>
      <c r="H113" t="s">
        <v>104</v>
      </c>
      <c r="I113">
        <f>ROUND((75)*0.75*0.1/100,9)</f>
        <v>5.6250000000000001E-2</v>
      </c>
      <c r="J113">
        <v>0</v>
      </c>
      <c r="K113">
        <f>ROUND((75)*0.75*0.1/100,9)</f>
        <v>5.6250000000000001E-2</v>
      </c>
      <c r="O113">
        <f>ROUND(CP113,2)</f>
        <v>333.93</v>
      </c>
      <c r="P113">
        <f>ROUND(CQ113*I113,2)</f>
        <v>0</v>
      </c>
      <c r="Q113">
        <f>ROUND(CR113*I113,2)</f>
        <v>0</v>
      </c>
      <c r="R113">
        <f>ROUND(CS113*I113,2)</f>
        <v>0</v>
      </c>
      <c r="S113">
        <f>ROUND(CT113*I113,2)</f>
        <v>333.93</v>
      </c>
      <c r="T113">
        <f>ROUND(CU113*I113,2)</f>
        <v>0</v>
      </c>
      <c r="U113">
        <f>CV113*I113</f>
        <v>0.59400000000000008</v>
      </c>
      <c r="V113">
        <f>CW113*I113</f>
        <v>0</v>
      </c>
      <c r="W113">
        <f>ROUND(CX113*I113,2)</f>
        <v>0</v>
      </c>
      <c r="X113">
        <f t="shared" si="52"/>
        <v>233.75</v>
      </c>
      <c r="Y113">
        <f t="shared" si="52"/>
        <v>33.39</v>
      </c>
      <c r="AA113">
        <v>-1</v>
      </c>
      <c r="AB113">
        <f>ROUND((AC113+AD113+AF113),6)</f>
        <v>5936.52</v>
      </c>
      <c r="AC113">
        <f>ROUND(((ES113*4)),6)</f>
        <v>0</v>
      </c>
      <c r="AD113">
        <f>ROUND(((((ET113*4))-((EU113*4)))+AE113),6)</f>
        <v>0</v>
      </c>
      <c r="AE113">
        <f>ROUND(((EU113*4)),6)</f>
        <v>0</v>
      </c>
      <c r="AF113">
        <f>ROUND(((EV113*4)),6)</f>
        <v>5936.52</v>
      </c>
      <c r="AG113">
        <f>ROUND((AP113),6)</f>
        <v>0</v>
      </c>
      <c r="AH113">
        <f>((EW113*4))</f>
        <v>10.56</v>
      </c>
      <c r="AI113">
        <f>((EX113*4))</f>
        <v>0</v>
      </c>
      <c r="AJ113">
        <f>(AS113)</f>
        <v>0</v>
      </c>
      <c r="AK113">
        <v>1484.13</v>
      </c>
      <c r="AL113">
        <v>0</v>
      </c>
      <c r="AM113">
        <v>0</v>
      </c>
      <c r="AN113">
        <v>0</v>
      </c>
      <c r="AO113">
        <v>1484.13</v>
      </c>
      <c r="AP113">
        <v>0</v>
      </c>
      <c r="AQ113">
        <v>2.64</v>
      </c>
      <c r="AR113">
        <v>0</v>
      </c>
      <c r="AS113">
        <v>0</v>
      </c>
      <c r="AT113">
        <v>70</v>
      </c>
      <c r="AU113">
        <v>10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4</v>
      </c>
      <c r="BJ113" t="s">
        <v>109</v>
      </c>
      <c r="BM113">
        <v>0</v>
      </c>
      <c r="BN113">
        <v>0</v>
      </c>
      <c r="BO113" t="s">
        <v>3</v>
      </c>
      <c r="BP113">
        <v>0</v>
      </c>
      <c r="BQ113">
        <v>1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70</v>
      </c>
      <c r="CA113">
        <v>10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>(P113+Q113+S113)</f>
        <v>333.93</v>
      </c>
      <c r="CQ113">
        <f>(AC113*BC113*AW113)</f>
        <v>0</v>
      </c>
      <c r="CR113">
        <f>(((((ET113*4))*BB113-((EU113*4))*BS113)+AE113*BS113)*AV113)</f>
        <v>0</v>
      </c>
      <c r="CS113">
        <f>(AE113*BS113*AV113)</f>
        <v>0</v>
      </c>
      <c r="CT113">
        <f>(AF113*BA113*AV113)</f>
        <v>5936.52</v>
      </c>
      <c r="CU113">
        <f>AG113</f>
        <v>0</v>
      </c>
      <c r="CV113">
        <f>(AH113*AV113)</f>
        <v>10.56</v>
      </c>
      <c r="CW113">
        <f t="shared" si="53"/>
        <v>0</v>
      </c>
      <c r="CX113">
        <f t="shared" si="53"/>
        <v>0</v>
      </c>
      <c r="CY113">
        <f>((S113*BZ113)/100)</f>
        <v>233.75100000000003</v>
      </c>
      <c r="CZ113">
        <f>((S113*CA113)/100)</f>
        <v>33.393000000000001</v>
      </c>
      <c r="DC113" t="s">
        <v>3</v>
      </c>
      <c r="DD113" t="s">
        <v>106</v>
      </c>
      <c r="DE113" t="s">
        <v>106</v>
      </c>
      <c r="DF113" t="s">
        <v>106</v>
      </c>
      <c r="DG113" t="s">
        <v>106</v>
      </c>
      <c r="DH113" t="s">
        <v>3</v>
      </c>
      <c r="DI113" t="s">
        <v>106</v>
      </c>
      <c r="DJ113" t="s">
        <v>106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1003</v>
      </c>
      <c r="DV113" t="s">
        <v>104</v>
      </c>
      <c r="DW113" t="s">
        <v>104</v>
      </c>
      <c r="DX113">
        <v>100</v>
      </c>
      <c r="DZ113" t="s">
        <v>3</v>
      </c>
      <c r="EA113" t="s">
        <v>3</v>
      </c>
      <c r="EB113" t="s">
        <v>3</v>
      </c>
      <c r="EC113" t="s">
        <v>3</v>
      </c>
      <c r="EE113">
        <v>1441815344</v>
      </c>
      <c r="EF113">
        <v>1</v>
      </c>
      <c r="EG113" t="s">
        <v>22</v>
      </c>
      <c r="EH113">
        <v>0</v>
      </c>
      <c r="EI113" t="s">
        <v>3</v>
      </c>
      <c r="EJ113">
        <v>4</v>
      </c>
      <c r="EK113">
        <v>0</v>
      </c>
      <c r="EL113" t="s">
        <v>23</v>
      </c>
      <c r="EM113" t="s">
        <v>24</v>
      </c>
      <c r="EO113" t="s">
        <v>3</v>
      </c>
      <c r="EQ113">
        <v>1024</v>
      </c>
      <c r="ER113">
        <v>1484.13</v>
      </c>
      <c r="ES113">
        <v>0</v>
      </c>
      <c r="ET113">
        <v>0</v>
      </c>
      <c r="EU113">
        <v>0</v>
      </c>
      <c r="EV113">
        <v>1484.13</v>
      </c>
      <c r="EW113">
        <v>2.64</v>
      </c>
      <c r="EX113">
        <v>0</v>
      </c>
      <c r="EY113">
        <v>0</v>
      </c>
      <c r="FQ113">
        <v>0</v>
      </c>
      <c r="FR113">
        <f>ROUND(IF(BI113=3,GM113,0),2)</f>
        <v>0</v>
      </c>
      <c r="FS113">
        <v>0</v>
      </c>
      <c r="FX113">
        <v>70</v>
      </c>
      <c r="FY113">
        <v>10</v>
      </c>
      <c r="GA113" t="s">
        <v>3</v>
      </c>
      <c r="GD113">
        <v>0</v>
      </c>
      <c r="GF113">
        <v>1802126441</v>
      </c>
      <c r="GG113">
        <v>2</v>
      </c>
      <c r="GH113">
        <v>1</v>
      </c>
      <c r="GI113">
        <v>-2</v>
      </c>
      <c r="GJ113">
        <v>0</v>
      </c>
      <c r="GK113">
        <f>ROUND(R113*(R12)/100,2)</f>
        <v>0</v>
      </c>
      <c r="GL113">
        <f>ROUND(IF(AND(BH113=3,BI113=3,FS113&lt;&gt;0),P113,0),2)</f>
        <v>0</v>
      </c>
      <c r="GM113">
        <f>ROUND(O113+X113+Y113+GK113,2)+GX113</f>
        <v>601.07000000000005</v>
      </c>
      <c r="GN113">
        <f>IF(OR(BI113=0,BI113=1),GM113-GX113,0)</f>
        <v>0</v>
      </c>
      <c r="GO113">
        <f>IF(BI113=2,GM113-GX113,0)</f>
        <v>0</v>
      </c>
      <c r="GP113">
        <f>IF(BI113=4,GM113-GX113,0)</f>
        <v>601.07000000000005</v>
      </c>
      <c r="GR113">
        <v>0</v>
      </c>
      <c r="GS113">
        <v>3</v>
      </c>
      <c r="GT113">
        <v>0</v>
      </c>
      <c r="GU113" t="s">
        <v>3</v>
      </c>
      <c r="GV113">
        <f>ROUND((GT113),6)</f>
        <v>0</v>
      </c>
      <c r="GW113">
        <v>1</v>
      </c>
      <c r="GX113">
        <f>ROUND(HC113*I113,2)</f>
        <v>0</v>
      </c>
      <c r="HA113">
        <v>0</v>
      </c>
      <c r="HB113">
        <v>0</v>
      </c>
      <c r="HC113">
        <f>GV113*GW113</f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5" spans="1:245" x14ac:dyDescent="0.2">
      <c r="A115" s="2">
        <v>51</v>
      </c>
      <c r="B115" s="2">
        <f>B107</f>
        <v>1</v>
      </c>
      <c r="C115" s="2">
        <f>A107</f>
        <v>5</v>
      </c>
      <c r="D115" s="2">
        <f>ROW(A107)</f>
        <v>107</v>
      </c>
      <c r="E115" s="2"/>
      <c r="F115" s="2" t="str">
        <f>IF(F107&lt;&gt;"",F107,"")</f>
        <v>Новый подраздел</v>
      </c>
      <c r="G115" s="2" t="str">
        <f>IF(G107&lt;&gt;"",G107,"")</f>
        <v>Горячий и циркуляционный Водопровод Т3, Т4</v>
      </c>
      <c r="H115" s="2">
        <v>0</v>
      </c>
      <c r="I115" s="2"/>
      <c r="J115" s="2"/>
      <c r="K115" s="2"/>
      <c r="L115" s="2"/>
      <c r="M115" s="2"/>
      <c r="N115" s="2"/>
      <c r="O115" s="2">
        <f t="shared" ref="O115:T115" si="54">ROUND(AB115,2)</f>
        <v>889.18</v>
      </c>
      <c r="P115" s="2">
        <f t="shared" si="54"/>
        <v>0</v>
      </c>
      <c r="Q115" s="2">
        <f t="shared" si="54"/>
        <v>0</v>
      </c>
      <c r="R115" s="2">
        <f t="shared" si="54"/>
        <v>0</v>
      </c>
      <c r="S115" s="2">
        <f t="shared" si="54"/>
        <v>889.18</v>
      </c>
      <c r="T115" s="2">
        <f t="shared" si="54"/>
        <v>0</v>
      </c>
      <c r="U115" s="2">
        <f>AH115</f>
        <v>1.4400000000000002</v>
      </c>
      <c r="V115" s="2">
        <f>AI115</f>
        <v>0</v>
      </c>
      <c r="W115" s="2">
        <f>ROUND(AJ115,2)</f>
        <v>0</v>
      </c>
      <c r="X115" s="2">
        <f>ROUND(AK115,2)</f>
        <v>622.42999999999995</v>
      </c>
      <c r="Y115" s="2">
        <f>ROUND(AL115,2)</f>
        <v>88.92</v>
      </c>
      <c r="Z115" s="2"/>
      <c r="AA115" s="2"/>
      <c r="AB115" s="2">
        <f>ROUND(SUMIF(AA111:AA113,"=1472506909",O111:O113),2)</f>
        <v>889.18</v>
      </c>
      <c r="AC115" s="2">
        <f>ROUND(SUMIF(AA111:AA113,"=1472506909",P111:P113),2)</f>
        <v>0</v>
      </c>
      <c r="AD115" s="2">
        <f>ROUND(SUMIF(AA111:AA113,"=1472506909",Q111:Q113),2)</f>
        <v>0</v>
      </c>
      <c r="AE115" s="2">
        <f>ROUND(SUMIF(AA111:AA113,"=1472506909",R111:R113),2)</f>
        <v>0</v>
      </c>
      <c r="AF115" s="2">
        <f>ROUND(SUMIF(AA111:AA113,"=1472506909",S111:S113),2)</f>
        <v>889.18</v>
      </c>
      <c r="AG115" s="2">
        <f>ROUND(SUMIF(AA111:AA113,"=1472506909",T111:T113),2)</f>
        <v>0</v>
      </c>
      <c r="AH115" s="2">
        <f>SUMIF(AA111:AA113,"=1472506909",U111:U113)</f>
        <v>1.4400000000000002</v>
      </c>
      <c r="AI115" s="2">
        <f>SUMIF(AA111:AA113,"=1472506909",V111:V113)</f>
        <v>0</v>
      </c>
      <c r="AJ115" s="2">
        <f>ROUND(SUMIF(AA111:AA113,"=1472506909",W111:W113),2)</f>
        <v>0</v>
      </c>
      <c r="AK115" s="2">
        <f>ROUND(SUMIF(AA111:AA113,"=1472506909",X111:X113),2)</f>
        <v>622.42999999999995</v>
      </c>
      <c r="AL115" s="2">
        <f>ROUND(SUMIF(AA111:AA113,"=1472506909",Y111:Y113),2)</f>
        <v>88.92</v>
      </c>
      <c r="AM115" s="2"/>
      <c r="AN115" s="2"/>
      <c r="AO115" s="2">
        <f t="shared" ref="AO115:BD115" si="55">ROUND(BX115,2)</f>
        <v>0</v>
      </c>
      <c r="AP115" s="2">
        <f t="shared" si="55"/>
        <v>0</v>
      </c>
      <c r="AQ115" s="2">
        <f t="shared" si="55"/>
        <v>0</v>
      </c>
      <c r="AR115" s="2">
        <f t="shared" si="55"/>
        <v>1600.53</v>
      </c>
      <c r="AS115" s="2">
        <f t="shared" si="55"/>
        <v>0</v>
      </c>
      <c r="AT115" s="2">
        <f t="shared" si="55"/>
        <v>0</v>
      </c>
      <c r="AU115" s="2">
        <f t="shared" si="55"/>
        <v>1600.53</v>
      </c>
      <c r="AV115" s="2">
        <f t="shared" si="55"/>
        <v>0</v>
      </c>
      <c r="AW115" s="2">
        <f t="shared" si="55"/>
        <v>0</v>
      </c>
      <c r="AX115" s="2">
        <f t="shared" si="55"/>
        <v>0</v>
      </c>
      <c r="AY115" s="2">
        <f t="shared" si="55"/>
        <v>0</v>
      </c>
      <c r="AZ115" s="2">
        <f t="shared" si="55"/>
        <v>0</v>
      </c>
      <c r="BA115" s="2">
        <f t="shared" si="55"/>
        <v>0</v>
      </c>
      <c r="BB115" s="2">
        <f t="shared" si="55"/>
        <v>0</v>
      </c>
      <c r="BC115" s="2">
        <f t="shared" si="55"/>
        <v>0</v>
      </c>
      <c r="BD115" s="2">
        <f t="shared" si="55"/>
        <v>0</v>
      </c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>
        <f>ROUND(SUMIF(AA111:AA113,"=1472506909",FQ111:FQ113),2)</f>
        <v>0</v>
      </c>
      <c r="BY115" s="2">
        <f>ROUND(SUMIF(AA111:AA113,"=1472506909",FR111:FR113),2)</f>
        <v>0</v>
      </c>
      <c r="BZ115" s="2">
        <f>ROUND(SUMIF(AA111:AA113,"=1472506909",GL111:GL113),2)</f>
        <v>0</v>
      </c>
      <c r="CA115" s="2">
        <f>ROUND(SUMIF(AA111:AA113,"=1472506909",GM111:GM113),2)</f>
        <v>1600.53</v>
      </c>
      <c r="CB115" s="2">
        <f>ROUND(SUMIF(AA111:AA113,"=1472506909",GN111:GN113),2)</f>
        <v>0</v>
      </c>
      <c r="CC115" s="2">
        <f>ROUND(SUMIF(AA111:AA113,"=1472506909",GO111:GO113),2)</f>
        <v>0</v>
      </c>
      <c r="CD115" s="2">
        <f>ROUND(SUMIF(AA111:AA113,"=1472506909",GP111:GP113),2)</f>
        <v>1600.53</v>
      </c>
      <c r="CE115" s="2">
        <f>AC115-BX115</f>
        <v>0</v>
      </c>
      <c r="CF115" s="2">
        <f>AC115-BY115</f>
        <v>0</v>
      </c>
      <c r="CG115" s="2">
        <f>BX115-BZ115</f>
        <v>0</v>
      </c>
      <c r="CH115" s="2">
        <f>AC115-BX115-BY115+BZ115</f>
        <v>0</v>
      </c>
      <c r="CI115" s="2">
        <f>BY115-BZ115</f>
        <v>0</v>
      </c>
      <c r="CJ115" s="2">
        <f>ROUND(SUMIF(AA111:AA113,"=1472506909",GX111:GX113),2)</f>
        <v>0</v>
      </c>
      <c r="CK115" s="2">
        <f>ROUND(SUMIF(AA111:AA113,"=1472506909",GY111:GY113),2)</f>
        <v>0</v>
      </c>
      <c r="CL115" s="2">
        <f>ROUND(SUMIF(AA111:AA113,"=1472506909",GZ111:GZ113),2)</f>
        <v>0</v>
      </c>
      <c r="CM115" s="2">
        <f>ROUND(SUMIF(AA111:AA113,"=1472506909",HD111:HD113),2)</f>
        <v>0</v>
      </c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>
        <v>0</v>
      </c>
    </row>
    <row r="117" spans="1:245" x14ac:dyDescent="0.2">
      <c r="A117" s="4">
        <v>50</v>
      </c>
      <c r="B117" s="4">
        <v>0</v>
      </c>
      <c r="C117" s="4">
        <v>0</v>
      </c>
      <c r="D117" s="4">
        <v>1</v>
      </c>
      <c r="E117" s="4">
        <v>201</v>
      </c>
      <c r="F117" s="4">
        <f>ROUND(Source!O115,O117)</f>
        <v>889.18</v>
      </c>
      <c r="G117" s="4" t="s">
        <v>36</v>
      </c>
      <c r="H117" s="4" t="s">
        <v>37</v>
      </c>
      <c r="I117" s="4"/>
      <c r="J117" s="4"/>
      <c r="K117" s="4">
        <v>201</v>
      </c>
      <c r="L117" s="4">
        <v>1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889.18</v>
      </c>
      <c r="X117" s="4">
        <v>1</v>
      </c>
      <c r="Y117" s="4">
        <v>889.18</v>
      </c>
      <c r="Z117" s="4"/>
      <c r="AA117" s="4"/>
      <c r="AB117" s="4"/>
    </row>
    <row r="118" spans="1:245" x14ac:dyDescent="0.2">
      <c r="A118" s="4">
        <v>50</v>
      </c>
      <c r="B118" s="4">
        <v>0</v>
      </c>
      <c r="C118" s="4">
        <v>0</v>
      </c>
      <c r="D118" s="4">
        <v>1</v>
      </c>
      <c r="E118" s="4">
        <v>202</v>
      </c>
      <c r="F118" s="4">
        <f>ROUND(Source!P115,O118)</f>
        <v>0</v>
      </c>
      <c r="G118" s="4" t="s">
        <v>38</v>
      </c>
      <c r="H118" s="4" t="s">
        <v>39</v>
      </c>
      <c r="I118" s="4"/>
      <c r="J118" s="4"/>
      <c r="K118" s="4">
        <v>202</v>
      </c>
      <c r="L118" s="4">
        <v>2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45" x14ac:dyDescent="0.2">
      <c r="A119" s="4">
        <v>50</v>
      </c>
      <c r="B119" s="4">
        <v>0</v>
      </c>
      <c r="C119" s="4">
        <v>0</v>
      </c>
      <c r="D119" s="4">
        <v>1</v>
      </c>
      <c r="E119" s="4">
        <v>222</v>
      </c>
      <c r="F119" s="4">
        <f>ROUND(Source!AO115,O119)</f>
        <v>0</v>
      </c>
      <c r="G119" s="4" t="s">
        <v>40</v>
      </c>
      <c r="H119" s="4" t="s">
        <v>41</v>
      </c>
      <c r="I119" s="4"/>
      <c r="J119" s="4"/>
      <c r="K119" s="4">
        <v>222</v>
      </c>
      <c r="L119" s="4">
        <v>3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45" x14ac:dyDescent="0.2">
      <c r="A120" s="4">
        <v>50</v>
      </c>
      <c r="B120" s="4">
        <v>0</v>
      </c>
      <c r="C120" s="4">
        <v>0</v>
      </c>
      <c r="D120" s="4">
        <v>1</v>
      </c>
      <c r="E120" s="4">
        <v>225</v>
      </c>
      <c r="F120" s="4">
        <f>ROUND(Source!AV115,O120)</f>
        <v>0</v>
      </c>
      <c r="G120" s="4" t="s">
        <v>42</v>
      </c>
      <c r="H120" s="4" t="s">
        <v>43</v>
      </c>
      <c r="I120" s="4"/>
      <c r="J120" s="4"/>
      <c r="K120" s="4">
        <v>225</v>
      </c>
      <c r="L120" s="4">
        <v>4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45" x14ac:dyDescent="0.2">
      <c r="A121" s="4">
        <v>50</v>
      </c>
      <c r="B121" s="4">
        <v>0</v>
      </c>
      <c r="C121" s="4">
        <v>0</v>
      </c>
      <c r="D121" s="4">
        <v>1</v>
      </c>
      <c r="E121" s="4">
        <v>226</v>
      </c>
      <c r="F121" s="4">
        <f>ROUND(Source!AW115,O121)</f>
        <v>0</v>
      </c>
      <c r="G121" s="4" t="s">
        <v>44</v>
      </c>
      <c r="H121" s="4" t="s">
        <v>45</v>
      </c>
      <c r="I121" s="4"/>
      <c r="J121" s="4"/>
      <c r="K121" s="4">
        <v>226</v>
      </c>
      <c r="L121" s="4">
        <v>5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45" x14ac:dyDescent="0.2">
      <c r="A122" s="4">
        <v>50</v>
      </c>
      <c r="B122" s="4">
        <v>0</v>
      </c>
      <c r="C122" s="4">
        <v>0</v>
      </c>
      <c r="D122" s="4">
        <v>1</v>
      </c>
      <c r="E122" s="4">
        <v>227</v>
      </c>
      <c r="F122" s="4">
        <f>ROUND(Source!AX115,O122)</f>
        <v>0</v>
      </c>
      <c r="G122" s="4" t="s">
        <v>46</v>
      </c>
      <c r="H122" s="4" t="s">
        <v>47</v>
      </c>
      <c r="I122" s="4"/>
      <c r="J122" s="4"/>
      <c r="K122" s="4">
        <v>227</v>
      </c>
      <c r="L122" s="4">
        <v>6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228</v>
      </c>
      <c r="F123" s="4">
        <f>ROUND(Source!AY115,O123)</f>
        <v>0</v>
      </c>
      <c r="G123" s="4" t="s">
        <v>48</v>
      </c>
      <c r="H123" s="4" t="s">
        <v>49</v>
      </c>
      <c r="I123" s="4"/>
      <c r="J123" s="4"/>
      <c r="K123" s="4">
        <v>228</v>
      </c>
      <c r="L123" s="4">
        <v>7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216</v>
      </c>
      <c r="F124" s="4">
        <f>ROUND(Source!AP115,O124)</f>
        <v>0</v>
      </c>
      <c r="G124" s="4" t="s">
        <v>50</v>
      </c>
      <c r="H124" s="4" t="s">
        <v>51</v>
      </c>
      <c r="I124" s="4"/>
      <c r="J124" s="4"/>
      <c r="K124" s="4">
        <v>216</v>
      </c>
      <c r="L124" s="4">
        <v>8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223</v>
      </c>
      <c r="F125" s="4">
        <f>ROUND(Source!AQ115,O125)</f>
        <v>0</v>
      </c>
      <c r="G125" s="4" t="s">
        <v>52</v>
      </c>
      <c r="H125" s="4" t="s">
        <v>53</v>
      </c>
      <c r="I125" s="4"/>
      <c r="J125" s="4"/>
      <c r="K125" s="4">
        <v>223</v>
      </c>
      <c r="L125" s="4">
        <v>9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229</v>
      </c>
      <c r="F126" s="4">
        <f>ROUND(Source!AZ115,O126)</f>
        <v>0</v>
      </c>
      <c r="G126" s="4" t="s">
        <v>54</v>
      </c>
      <c r="H126" s="4" t="s">
        <v>55</v>
      </c>
      <c r="I126" s="4"/>
      <c r="J126" s="4"/>
      <c r="K126" s="4">
        <v>229</v>
      </c>
      <c r="L126" s="4">
        <v>10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203</v>
      </c>
      <c r="F127" s="4">
        <f>ROUND(Source!Q115,O127)</f>
        <v>0</v>
      </c>
      <c r="G127" s="4" t="s">
        <v>56</v>
      </c>
      <c r="H127" s="4" t="s">
        <v>57</v>
      </c>
      <c r="I127" s="4"/>
      <c r="J127" s="4"/>
      <c r="K127" s="4">
        <v>203</v>
      </c>
      <c r="L127" s="4">
        <v>11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231</v>
      </c>
      <c r="F128" s="4">
        <f>ROUND(Source!BB115,O128)</f>
        <v>0</v>
      </c>
      <c r="G128" s="4" t="s">
        <v>58</v>
      </c>
      <c r="H128" s="4" t="s">
        <v>59</v>
      </c>
      <c r="I128" s="4"/>
      <c r="J128" s="4"/>
      <c r="K128" s="4">
        <v>231</v>
      </c>
      <c r="L128" s="4">
        <v>12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204</v>
      </c>
      <c r="F129" s="4">
        <f>ROUND(Source!R115,O129)</f>
        <v>0</v>
      </c>
      <c r="G129" s="4" t="s">
        <v>60</v>
      </c>
      <c r="H129" s="4" t="s">
        <v>61</v>
      </c>
      <c r="I129" s="4"/>
      <c r="J129" s="4"/>
      <c r="K129" s="4">
        <v>204</v>
      </c>
      <c r="L129" s="4">
        <v>13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205</v>
      </c>
      <c r="F130" s="4">
        <f>ROUND(Source!S115,O130)</f>
        <v>889.18</v>
      </c>
      <c r="G130" s="4" t="s">
        <v>62</v>
      </c>
      <c r="H130" s="4" t="s">
        <v>63</v>
      </c>
      <c r="I130" s="4"/>
      <c r="J130" s="4"/>
      <c r="K130" s="4">
        <v>205</v>
      </c>
      <c r="L130" s="4">
        <v>14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889.18</v>
      </c>
      <c r="X130" s="4">
        <v>1</v>
      </c>
      <c r="Y130" s="4">
        <v>889.18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232</v>
      </c>
      <c r="F131" s="4">
        <f>ROUND(Source!BC115,O131)</f>
        <v>0</v>
      </c>
      <c r="G131" s="4" t="s">
        <v>64</v>
      </c>
      <c r="H131" s="4" t="s">
        <v>65</v>
      </c>
      <c r="I131" s="4"/>
      <c r="J131" s="4"/>
      <c r="K131" s="4">
        <v>232</v>
      </c>
      <c r="L131" s="4">
        <v>15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214</v>
      </c>
      <c r="F132" s="4">
        <f>ROUND(Source!AS115,O132)</f>
        <v>0</v>
      </c>
      <c r="G132" s="4" t="s">
        <v>66</v>
      </c>
      <c r="H132" s="4" t="s">
        <v>67</v>
      </c>
      <c r="I132" s="4"/>
      <c r="J132" s="4"/>
      <c r="K132" s="4">
        <v>214</v>
      </c>
      <c r="L132" s="4">
        <v>16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215</v>
      </c>
      <c r="F133" s="4">
        <f>ROUND(Source!AT115,O133)</f>
        <v>0</v>
      </c>
      <c r="G133" s="4" t="s">
        <v>68</v>
      </c>
      <c r="H133" s="4" t="s">
        <v>69</v>
      </c>
      <c r="I133" s="4"/>
      <c r="J133" s="4"/>
      <c r="K133" s="4">
        <v>215</v>
      </c>
      <c r="L133" s="4">
        <v>17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217</v>
      </c>
      <c r="F134" s="4">
        <f>ROUND(Source!AU115,O134)</f>
        <v>1600.53</v>
      </c>
      <c r="G134" s="4" t="s">
        <v>70</v>
      </c>
      <c r="H134" s="4" t="s">
        <v>71</v>
      </c>
      <c r="I134" s="4"/>
      <c r="J134" s="4"/>
      <c r="K134" s="4">
        <v>217</v>
      </c>
      <c r="L134" s="4">
        <v>18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1600.53</v>
      </c>
      <c r="X134" s="4">
        <v>1</v>
      </c>
      <c r="Y134" s="4">
        <v>1600.53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230</v>
      </c>
      <c r="F135" s="4">
        <f>ROUND(Source!BA115,O135)</f>
        <v>0</v>
      </c>
      <c r="G135" s="4" t="s">
        <v>72</v>
      </c>
      <c r="H135" s="4" t="s">
        <v>73</v>
      </c>
      <c r="I135" s="4"/>
      <c r="J135" s="4"/>
      <c r="K135" s="4">
        <v>230</v>
      </c>
      <c r="L135" s="4">
        <v>19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206</v>
      </c>
      <c r="F136" s="4">
        <f>ROUND(Source!T115,O136)</f>
        <v>0</v>
      </c>
      <c r="G136" s="4" t="s">
        <v>74</v>
      </c>
      <c r="H136" s="4" t="s">
        <v>75</v>
      </c>
      <c r="I136" s="4"/>
      <c r="J136" s="4"/>
      <c r="K136" s="4">
        <v>206</v>
      </c>
      <c r="L136" s="4">
        <v>20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207</v>
      </c>
      <c r="F137" s="4">
        <f>Source!U115</f>
        <v>1.4400000000000002</v>
      </c>
      <c r="G137" s="4" t="s">
        <v>76</v>
      </c>
      <c r="H137" s="4" t="s">
        <v>77</v>
      </c>
      <c r="I137" s="4"/>
      <c r="J137" s="4"/>
      <c r="K137" s="4">
        <v>207</v>
      </c>
      <c r="L137" s="4">
        <v>21</v>
      </c>
      <c r="M137" s="4">
        <v>3</v>
      </c>
      <c r="N137" s="4" t="s">
        <v>3</v>
      </c>
      <c r="O137" s="4">
        <v>-1</v>
      </c>
      <c r="P137" s="4"/>
      <c r="Q137" s="4"/>
      <c r="R137" s="4"/>
      <c r="S137" s="4"/>
      <c r="T137" s="4"/>
      <c r="U137" s="4"/>
      <c r="V137" s="4"/>
      <c r="W137" s="4">
        <v>1.44</v>
      </c>
      <c r="X137" s="4">
        <v>1</v>
      </c>
      <c r="Y137" s="4">
        <v>1.44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208</v>
      </c>
      <c r="F138" s="4">
        <f>Source!V115</f>
        <v>0</v>
      </c>
      <c r="G138" s="4" t="s">
        <v>78</v>
      </c>
      <c r="H138" s="4" t="s">
        <v>79</v>
      </c>
      <c r="I138" s="4"/>
      <c r="J138" s="4"/>
      <c r="K138" s="4">
        <v>208</v>
      </c>
      <c r="L138" s="4">
        <v>22</v>
      </c>
      <c r="M138" s="4">
        <v>3</v>
      </c>
      <c r="N138" s="4" t="s">
        <v>3</v>
      </c>
      <c r="O138" s="4">
        <v>-1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209</v>
      </c>
      <c r="F139" s="4">
        <f>ROUND(Source!W115,O139)</f>
        <v>0</v>
      </c>
      <c r="G139" s="4" t="s">
        <v>80</v>
      </c>
      <c r="H139" s="4" t="s">
        <v>81</v>
      </c>
      <c r="I139" s="4"/>
      <c r="J139" s="4"/>
      <c r="K139" s="4">
        <v>209</v>
      </c>
      <c r="L139" s="4">
        <v>23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233</v>
      </c>
      <c r="F140" s="4">
        <f>ROUND(Source!BD115,O140)</f>
        <v>0</v>
      </c>
      <c r="G140" s="4" t="s">
        <v>82</v>
      </c>
      <c r="H140" s="4" t="s">
        <v>83</v>
      </c>
      <c r="I140" s="4"/>
      <c r="J140" s="4"/>
      <c r="K140" s="4">
        <v>233</v>
      </c>
      <c r="L140" s="4">
        <v>24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210</v>
      </c>
      <c r="F141" s="4">
        <f>ROUND(Source!X115,O141)</f>
        <v>622.42999999999995</v>
      </c>
      <c r="G141" s="4" t="s">
        <v>84</v>
      </c>
      <c r="H141" s="4" t="s">
        <v>85</v>
      </c>
      <c r="I141" s="4"/>
      <c r="J141" s="4"/>
      <c r="K141" s="4">
        <v>210</v>
      </c>
      <c r="L141" s="4">
        <v>25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622.42999999999995</v>
      </c>
      <c r="X141" s="4">
        <v>1</v>
      </c>
      <c r="Y141" s="4">
        <v>622.42999999999995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211</v>
      </c>
      <c r="F142" s="4">
        <f>ROUND(Source!Y115,O142)</f>
        <v>88.92</v>
      </c>
      <c r="G142" s="4" t="s">
        <v>86</v>
      </c>
      <c r="H142" s="4" t="s">
        <v>87</v>
      </c>
      <c r="I142" s="4"/>
      <c r="J142" s="4"/>
      <c r="K142" s="4">
        <v>211</v>
      </c>
      <c r="L142" s="4">
        <v>26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88.92</v>
      </c>
      <c r="X142" s="4">
        <v>1</v>
      </c>
      <c r="Y142" s="4">
        <v>88.92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224</v>
      </c>
      <c r="F143" s="4">
        <f>ROUND(Source!AR115,O143)</f>
        <v>1600.53</v>
      </c>
      <c r="G143" s="4" t="s">
        <v>88</v>
      </c>
      <c r="H143" s="4" t="s">
        <v>89</v>
      </c>
      <c r="I143" s="4"/>
      <c r="J143" s="4"/>
      <c r="K143" s="4">
        <v>224</v>
      </c>
      <c r="L143" s="4">
        <v>27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1600.53</v>
      </c>
      <c r="X143" s="4">
        <v>1</v>
      </c>
      <c r="Y143" s="4">
        <v>1600.53</v>
      </c>
      <c r="Z143" s="4"/>
      <c r="AA143" s="4"/>
      <c r="AB143" s="4"/>
    </row>
    <row r="145" spans="1:245" x14ac:dyDescent="0.2">
      <c r="A145" s="1">
        <v>5</v>
      </c>
      <c r="B145" s="1">
        <v>1</v>
      </c>
      <c r="C145" s="1"/>
      <c r="D145" s="1">
        <f>ROW(A157)</f>
        <v>157</v>
      </c>
      <c r="E145" s="1"/>
      <c r="F145" s="1" t="s">
        <v>15</v>
      </c>
      <c r="G145" s="1" t="s">
        <v>112</v>
      </c>
      <c r="H145" s="1" t="s">
        <v>3</v>
      </c>
      <c r="I145" s="1">
        <v>0</v>
      </c>
      <c r="J145" s="1"/>
      <c r="K145" s="1">
        <v>-1</v>
      </c>
      <c r="L145" s="1"/>
      <c r="M145" s="1" t="s">
        <v>3</v>
      </c>
      <c r="N145" s="1"/>
      <c r="O145" s="1"/>
      <c r="P145" s="1"/>
      <c r="Q145" s="1"/>
      <c r="R145" s="1"/>
      <c r="S145" s="1">
        <v>0</v>
      </c>
      <c r="T145" s="1"/>
      <c r="U145" s="1" t="s">
        <v>3</v>
      </c>
      <c r="V145" s="1">
        <v>0</v>
      </c>
      <c r="W145" s="1"/>
      <c r="X145" s="1"/>
      <c r="Y145" s="1"/>
      <c r="Z145" s="1"/>
      <c r="AA145" s="1"/>
      <c r="AB145" s="1" t="s">
        <v>3</v>
      </c>
      <c r="AC145" s="1" t="s">
        <v>3</v>
      </c>
      <c r="AD145" s="1" t="s">
        <v>3</v>
      </c>
      <c r="AE145" s="1" t="s">
        <v>3</v>
      </c>
      <c r="AF145" s="1" t="s">
        <v>3</v>
      </c>
      <c r="AG145" s="1" t="s">
        <v>3</v>
      </c>
      <c r="AH145" s="1"/>
      <c r="AI145" s="1"/>
      <c r="AJ145" s="1"/>
      <c r="AK145" s="1"/>
      <c r="AL145" s="1"/>
      <c r="AM145" s="1"/>
      <c r="AN145" s="1"/>
      <c r="AO145" s="1"/>
      <c r="AP145" s="1" t="s">
        <v>3</v>
      </c>
      <c r="AQ145" s="1" t="s">
        <v>3</v>
      </c>
      <c r="AR145" s="1" t="s">
        <v>3</v>
      </c>
      <c r="AS145" s="1"/>
      <c r="AT145" s="1"/>
      <c r="AU145" s="1"/>
      <c r="AV145" s="1"/>
      <c r="AW145" s="1"/>
      <c r="AX145" s="1"/>
      <c r="AY145" s="1"/>
      <c r="AZ145" s="1" t="s">
        <v>3</v>
      </c>
      <c r="BA145" s="1"/>
      <c r="BB145" s="1" t="s">
        <v>3</v>
      </c>
      <c r="BC145" s="1" t="s">
        <v>3</v>
      </c>
      <c r="BD145" s="1" t="s">
        <v>3</v>
      </c>
      <c r="BE145" s="1" t="s">
        <v>3</v>
      </c>
      <c r="BF145" s="1" t="s">
        <v>3</v>
      </c>
      <c r="BG145" s="1" t="s">
        <v>3</v>
      </c>
      <c r="BH145" s="1" t="s">
        <v>3</v>
      </c>
      <c r="BI145" s="1" t="s">
        <v>3</v>
      </c>
      <c r="BJ145" s="1" t="s">
        <v>3</v>
      </c>
      <c r="BK145" s="1" t="s">
        <v>3</v>
      </c>
      <c r="BL145" s="1" t="s">
        <v>3</v>
      </c>
      <c r="BM145" s="1" t="s">
        <v>3</v>
      </c>
      <c r="BN145" s="1" t="s">
        <v>3</v>
      </c>
      <c r="BO145" s="1" t="s">
        <v>3</v>
      </c>
      <c r="BP145" s="1" t="s">
        <v>3</v>
      </c>
      <c r="BQ145" s="1"/>
      <c r="BR145" s="1"/>
      <c r="BS145" s="1"/>
      <c r="BT145" s="1"/>
      <c r="BU145" s="1"/>
      <c r="BV145" s="1"/>
      <c r="BW145" s="1"/>
      <c r="BX145" s="1">
        <v>0</v>
      </c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>
        <v>0</v>
      </c>
    </row>
    <row r="147" spans="1:245" x14ac:dyDescent="0.2">
      <c r="A147" s="2">
        <v>52</v>
      </c>
      <c r="B147" s="2">
        <f t="shared" ref="B147:G147" si="56">B157</f>
        <v>1</v>
      </c>
      <c r="C147" s="2">
        <f t="shared" si="56"/>
        <v>5</v>
      </c>
      <c r="D147" s="2">
        <f t="shared" si="56"/>
        <v>145</v>
      </c>
      <c r="E147" s="2">
        <f t="shared" si="56"/>
        <v>0</v>
      </c>
      <c r="F147" s="2" t="str">
        <f t="shared" si="56"/>
        <v>Новый подраздел</v>
      </c>
      <c r="G147" s="2" t="str">
        <f t="shared" si="56"/>
        <v>Хозяйственно-бытовая канализация К1</v>
      </c>
      <c r="H147" s="2"/>
      <c r="I147" s="2"/>
      <c r="J147" s="2"/>
      <c r="K147" s="2"/>
      <c r="L147" s="2"/>
      <c r="M147" s="2"/>
      <c r="N147" s="2"/>
      <c r="O147" s="2">
        <f t="shared" ref="O147:AT147" si="57">O157</f>
        <v>0</v>
      </c>
      <c r="P147" s="2">
        <f t="shared" si="57"/>
        <v>0</v>
      </c>
      <c r="Q147" s="2">
        <f t="shared" si="57"/>
        <v>0</v>
      </c>
      <c r="R147" s="2">
        <f t="shared" si="57"/>
        <v>0</v>
      </c>
      <c r="S147" s="2">
        <f t="shared" si="57"/>
        <v>0</v>
      </c>
      <c r="T147" s="2">
        <f t="shared" si="57"/>
        <v>0</v>
      </c>
      <c r="U147" s="2">
        <f t="shared" si="57"/>
        <v>0</v>
      </c>
      <c r="V147" s="2">
        <f t="shared" si="57"/>
        <v>0</v>
      </c>
      <c r="W147" s="2">
        <f t="shared" si="57"/>
        <v>0</v>
      </c>
      <c r="X147" s="2">
        <f t="shared" si="57"/>
        <v>0</v>
      </c>
      <c r="Y147" s="2">
        <f t="shared" si="57"/>
        <v>0</v>
      </c>
      <c r="Z147" s="2">
        <f t="shared" si="57"/>
        <v>0</v>
      </c>
      <c r="AA147" s="2">
        <f t="shared" si="57"/>
        <v>0</v>
      </c>
      <c r="AB147" s="2">
        <f t="shared" si="57"/>
        <v>0</v>
      </c>
      <c r="AC147" s="2">
        <f t="shared" si="57"/>
        <v>0</v>
      </c>
      <c r="AD147" s="2">
        <f t="shared" si="57"/>
        <v>0</v>
      </c>
      <c r="AE147" s="2">
        <f t="shared" si="57"/>
        <v>0</v>
      </c>
      <c r="AF147" s="2">
        <f t="shared" si="57"/>
        <v>0</v>
      </c>
      <c r="AG147" s="2">
        <f t="shared" si="57"/>
        <v>0</v>
      </c>
      <c r="AH147" s="2">
        <f t="shared" si="57"/>
        <v>0</v>
      </c>
      <c r="AI147" s="2">
        <f t="shared" si="57"/>
        <v>0</v>
      </c>
      <c r="AJ147" s="2">
        <f t="shared" si="57"/>
        <v>0</v>
      </c>
      <c r="AK147" s="2">
        <f t="shared" si="57"/>
        <v>0</v>
      </c>
      <c r="AL147" s="2">
        <f t="shared" si="57"/>
        <v>0</v>
      </c>
      <c r="AM147" s="2">
        <f t="shared" si="57"/>
        <v>0</v>
      </c>
      <c r="AN147" s="2">
        <f t="shared" si="57"/>
        <v>0</v>
      </c>
      <c r="AO147" s="2">
        <f t="shared" si="57"/>
        <v>0</v>
      </c>
      <c r="AP147" s="2">
        <f t="shared" si="57"/>
        <v>0</v>
      </c>
      <c r="AQ147" s="2">
        <f t="shared" si="57"/>
        <v>0</v>
      </c>
      <c r="AR147" s="2">
        <f t="shared" si="57"/>
        <v>0</v>
      </c>
      <c r="AS147" s="2">
        <f t="shared" si="57"/>
        <v>0</v>
      </c>
      <c r="AT147" s="2">
        <f t="shared" si="57"/>
        <v>0</v>
      </c>
      <c r="AU147" s="2">
        <f t="shared" ref="AU147:BZ147" si="58">AU157</f>
        <v>0</v>
      </c>
      <c r="AV147" s="2">
        <f t="shared" si="58"/>
        <v>0</v>
      </c>
      <c r="AW147" s="2">
        <f t="shared" si="58"/>
        <v>0</v>
      </c>
      <c r="AX147" s="2">
        <f t="shared" si="58"/>
        <v>0</v>
      </c>
      <c r="AY147" s="2">
        <f t="shared" si="58"/>
        <v>0</v>
      </c>
      <c r="AZ147" s="2">
        <f t="shared" si="58"/>
        <v>0</v>
      </c>
      <c r="BA147" s="2">
        <f t="shared" si="58"/>
        <v>0</v>
      </c>
      <c r="BB147" s="2">
        <f t="shared" si="58"/>
        <v>0</v>
      </c>
      <c r="BC147" s="2">
        <f t="shared" si="58"/>
        <v>0</v>
      </c>
      <c r="BD147" s="2">
        <f t="shared" si="58"/>
        <v>0</v>
      </c>
      <c r="BE147" s="2">
        <f t="shared" si="58"/>
        <v>0</v>
      </c>
      <c r="BF147" s="2">
        <f t="shared" si="58"/>
        <v>0</v>
      </c>
      <c r="BG147" s="2">
        <f t="shared" si="58"/>
        <v>0</v>
      </c>
      <c r="BH147" s="2">
        <f t="shared" si="58"/>
        <v>0</v>
      </c>
      <c r="BI147" s="2">
        <f t="shared" si="58"/>
        <v>0</v>
      </c>
      <c r="BJ147" s="2">
        <f t="shared" si="58"/>
        <v>0</v>
      </c>
      <c r="BK147" s="2">
        <f t="shared" si="58"/>
        <v>0</v>
      </c>
      <c r="BL147" s="2">
        <f t="shared" si="58"/>
        <v>0</v>
      </c>
      <c r="BM147" s="2">
        <f t="shared" si="58"/>
        <v>0</v>
      </c>
      <c r="BN147" s="2">
        <f t="shared" si="58"/>
        <v>0</v>
      </c>
      <c r="BO147" s="2">
        <f t="shared" si="58"/>
        <v>0</v>
      </c>
      <c r="BP147" s="2">
        <f t="shared" si="58"/>
        <v>0</v>
      </c>
      <c r="BQ147" s="2">
        <f t="shared" si="58"/>
        <v>0</v>
      </c>
      <c r="BR147" s="2">
        <f t="shared" si="58"/>
        <v>0</v>
      </c>
      <c r="BS147" s="2">
        <f t="shared" si="58"/>
        <v>0</v>
      </c>
      <c r="BT147" s="2">
        <f t="shared" si="58"/>
        <v>0</v>
      </c>
      <c r="BU147" s="2">
        <f t="shared" si="58"/>
        <v>0</v>
      </c>
      <c r="BV147" s="2">
        <f t="shared" si="58"/>
        <v>0</v>
      </c>
      <c r="BW147" s="2">
        <f t="shared" si="58"/>
        <v>0</v>
      </c>
      <c r="BX147" s="2">
        <f t="shared" si="58"/>
        <v>0</v>
      </c>
      <c r="BY147" s="2">
        <f t="shared" si="58"/>
        <v>0</v>
      </c>
      <c r="BZ147" s="2">
        <f t="shared" si="58"/>
        <v>0</v>
      </c>
      <c r="CA147" s="2">
        <f t="shared" ref="CA147:DF147" si="59">CA157</f>
        <v>0</v>
      </c>
      <c r="CB147" s="2">
        <f t="shared" si="59"/>
        <v>0</v>
      </c>
      <c r="CC147" s="2">
        <f t="shared" si="59"/>
        <v>0</v>
      </c>
      <c r="CD147" s="2">
        <f t="shared" si="59"/>
        <v>0</v>
      </c>
      <c r="CE147" s="2">
        <f t="shared" si="59"/>
        <v>0</v>
      </c>
      <c r="CF147" s="2">
        <f t="shared" si="59"/>
        <v>0</v>
      </c>
      <c r="CG147" s="2">
        <f t="shared" si="59"/>
        <v>0</v>
      </c>
      <c r="CH147" s="2">
        <f t="shared" si="59"/>
        <v>0</v>
      </c>
      <c r="CI147" s="2">
        <f t="shared" si="59"/>
        <v>0</v>
      </c>
      <c r="CJ147" s="2">
        <f t="shared" si="59"/>
        <v>0</v>
      </c>
      <c r="CK147" s="2">
        <f t="shared" si="59"/>
        <v>0</v>
      </c>
      <c r="CL147" s="2">
        <f t="shared" si="59"/>
        <v>0</v>
      </c>
      <c r="CM147" s="2">
        <f t="shared" si="59"/>
        <v>0</v>
      </c>
      <c r="CN147" s="2">
        <f t="shared" si="59"/>
        <v>0</v>
      </c>
      <c r="CO147" s="2">
        <f t="shared" si="59"/>
        <v>0</v>
      </c>
      <c r="CP147" s="2">
        <f t="shared" si="59"/>
        <v>0</v>
      </c>
      <c r="CQ147" s="2">
        <f t="shared" si="59"/>
        <v>0</v>
      </c>
      <c r="CR147" s="2">
        <f t="shared" si="59"/>
        <v>0</v>
      </c>
      <c r="CS147" s="2">
        <f t="shared" si="59"/>
        <v>0</v>
      </c>
      <c r="CT147" s="2">
        <f t="shared" si="59"/>
        <v>0</v>
      </c>
      <c r="CU147" s="2">
        <f t="shared" si="59"/>
        <v>0</v>
      </c>
      <c r="CV147" s="2">
        <f t="shared" si="59"/>
        <v>0</v>
      </c>
      <c r="CW147" s="2">
        <f t="shared" si="59"/>
        <v>0</v>
      </c>
      <c r="CX147" s="2">
        <f t="shared" si="59"/>
        <v>0</v>
      </c>
      <c r="CY147" s="2">
        <f t="shared" si="59"/>
        <v>0</v>
      </c>
      <c r="CZ147" s="2">
        <f t="shared" si="59"/>
        <v>0</v>
      </c>
      <c r="DA147" s="2">
        <f t="shared" si="59"/>
        <v>0</v>
      </c>
      <c r="DB147" s="2">
        <f t="shared" si="59"/>
        <v>0</v>
      </c>
      <c r="DC147" s="2">
        <f t="shared" si="59"/>
        <v>0</v>
      </c>
      <c r="DD147" s="2">
        <f t="shared" si="59"/>
        <v>0</v>
      </c>
      <c r="DE147" s="2">
        <f t="shared" si="59"/>
        <v>0</v>
      </c>
      <c r="DF147" s="2">
        <f t="shared" si="59"/>
        <v>0</v>
      </c>
      <c r="DG147" s="3">
        <f t="shared" ref="DG147:EL147" si="60">DG157</f>
        <v>0</v>
      </c>
      <c r="DH147" s="3">
        <f t="shared" si="60"/>
        <v>0</v>
      </c>
      <c r="DI147" s="3">
        <f t="shared" si="60"/>
        <v>0</v>
      </c>
      <c r="DJ147" s="3">
        <f t="shared" si="60"/>
        <v>0</v>
      </c>
      <c r="DK147" s="3">
        <f t="shared" si="60"/>
        <v>0</v>
      </c>
      <c r="DL147" s="3">
        <f t="shared" si="60"/>
        <v>0</v>
      </c>
      <c r="DM147" s="3">
        <f t="shared" si="60"/>
        <v>0</v>
      </c>
      <c r="DN147" s="3">
        <f t="shared" si="60"/>
        <v>0</v>
      </c>
      <c r="DO147" s="3">
        <f t="shared" si="60"/>
        <v>0</v>
      </c>
      <c r="DP147" s="3">
        <f t="shared" si="60"/>
        <v>0</v>
      </c>
      <c r="DQ147" s="3">
        <f t="shared" si="60"/>
        <v>0</v>
      </c>
      <c r="DR147" s="3">
        <f t="shared" si="60"/>
        <v>0</v>
      </c>
      <c r="DS147" s="3">
        <f t="shared" si="60"/>
        <v>0</v>
      </c>
      <c r="DT147" s="3">
        <f t="shared" si="60"/>
        <v>0</v>
      </c>
      <c r="DU147" s="3">
        <f t="shared" si="60"/>
        <v>0</v>
      </c>
      <c r="DV147" s="3">
        <f t="shared" si="60"/>
        <v>0</v>
      </c>
      <c r="DW147" s="3">
        <f t="shared" si="60"/>
        <v>0</v>
      </c>
      <c r="DX147" s="3">
        <f t="shared" si="60"/>
        <v>0</v>
      </c>
      <c r="DY147" s="3">
        <f t="shared" si="60"/>
        <v>0</v>
      </c>
      <c r="DZ147" s="3">
        <f t="shared" si="60"/>
        <v>0</v>
      </c>
      <c r="EA147" s="3">
        <f t="shared" si="60"/>
        <v>0</v>
      </c>
      <c r="EB147" s="3">
        <f t="shared" si="60"/>
        <v>0</v>
      </c>
      <c r="EC147" s="3">
        <f t="shared" si="60"/>
        <v>0</v>
      </c>
      <c r="ED147" s="3">
        <f t="shared" si="60"/>
        <v>0</v>
      </c>
      <c r="EE147" s="3">
        <f t="shared" si="60"/>
        <v>0</v>
      </c>
      <c r="EF147" s="3">
        <f t="shared" si="60"/>
        <v>0</v>
      </c>
      <c r="EG147" s="3">
        <f t="shared" si="60"/>
        <v>0</v>
      </c>
      <c r="EH147" s="3">
        <f t="shared" si="60"/>
        <v>0</v>
      </c>
      <c r="EI147" s="3">
        <f t="shared" si="60"/>
        <v>0</v>
      </c>
      <c r="EJ147" s="3">
        <f t="shared" si="60"/>
        <v>0</v>
      </c>
      <c r="EK147" s="3">
        <f t="shared" si="60"/>
        <v>0</v>
      </c>
      <c r="EL147" s="3">
        <f t="shared" si="60"/>
        <v>0</v>
      </c>
      <c r="EM147" s="3">
        <f t="shared" ref="EM147:FR147" si="61">EM157</f>
        <v>0</v>
      </c>
      <c r="EN147" s="3">
        <f t="shared" si="61"/>
        <v>0</v>
      </c>
      <c r="EO147" s="3">
        <f t="shared" si="61"/>
        <v>0</v>
      </c>
      <c r="EP147" s="3">
        <f t="shared" si="61"/>
        <v>0</v>
      </c>
      <c r="EQ147" s="3">
        <f t="shared" si="61"/>
        <v>0</v>
      </c>
      <c r="ER147" s="3">
        <f t="shared" si="61"/>
        <v>0</v>
      </c>
      <c r="ES147" s="3">
        <f t="shared" si="61"/>
        <v>0</v>
      </c>
      <c r="ET147" s="3">
        <f t="shared" si="61"/>
        <v>0</v>
      </c>
      <c r="EU147" s="3">
        <f t="shared" si="61"/>
        <v>0</v>
      </c>
      <c r="EV147" s="3">
        <f t="shared" si="61"/>
        <v>0</v>
      </c>
      <c r="EW147" s="3">
        <f t="shared" si="61"/>
        <v>0</v>
      </c>
      <c r="EX147" s="3">
        <f t="shared" si="61"/>
        <v>0</v>
      </c>
      <c r="EY147" s="3">
        <f t="shared" si="61"/>
        <v>0</v>
      </c>
      <c r="EZ147" s="3">
        <f t="shared" si="61"/>
        <v>0</v>
      </c>
      <c r="FA147" s="3">
        <f t="shared" si="61"/>
        <v>0</v>
      </c>
      <c r="FB147" s="3">
        <f t="shared" si="61"/>
        <v>0</v>
      </c>
      <c r="FC147" s="3">
        <f t="shared" si="61"/>
        <v>0</v>
      </c>
      <c r="FD147" s="3">
        <f t="shared" si="61"/>
        <v>0</v>
      </c>
      <c r="FE147" s="3">
        <f t="shared" si="61"/>
        <v>0</v>
      </c>
      <c r="FF147" s="3">
        <f t="shared" si="61"/>
        <v>0</v>
      </c>
      <c r="FG147" s="3">
        <f t="shared" si="61"/>
        <v>0</v>
      </c>
      <c r="FH147" s="3">
        <f t="shared" si="61"/>
        <v>0</v>
      </c>
      <c r="FI147" s="3">
        <f t="shared" si="61"/>
        <v>0</v>
      </c>
      <c r="FJ147" s="3">
        <f t="shared" si="61"/>
        <v>0</v>
      </c>
      <c r="FK147" s="3">
        <f t="shared" si="61"/>
        <v>0</v>
      </c>
      <c r="FL147" s="3">
        <f t="shared" si="61"/>
        <v>0</v>
      </c>
      <c r="FM147" s="3">
        <f t="shared" si="61"/>
        <v>0</v>
      </c>
      <c r="FN147" s="3">
        <f t="shared" si="61"/>
        <v>0</v>
      </c>
      <c r="FO147" s="3">
        <f t="shared" si="61"/>
        <v>0</v>
      </c>
      <c r="FP147" s="3">
        <f t="shared" si="61"/>
        <v>0</v>
      </c>
      <c r="FQ147" s="3">
        <f t="shared" si="61"/>
        <v>0</v>
      </c>
      <c r="FR147" s="3">
        <f t="shared" si="61"/>
        <v>0</v>
      </c>
      <c r="FS147" s="3">
        <f t="shared" ref="FS147:GX147" si="62">FS157</f>
        <v>0</v>
      </c>
      <c r="FT147" s="3">
        <f t="shared" si="62"/>
        <v>0</v>
      </c>
      <c r="FU147" s="3">
        <f t="shared" si="62"/>
        <v>0</v>
      </c>
      <c r="FV147" s="3">
        <f t="shared" si="62"/>
        <v>0</v>
      </c>
      <c r="FW147" s="3">
        <f t="shared" si="62"/>
        <v>0</v>
      </c>
      <c r="FX147" s="3">
        <f t="shared" si="62"/>
        <v>0</v>
      </c>
      <c r="FY147" s="3">
        <f t="shared" si="62"/>
        <v>0</v>
      </c>
      <c r="FZ147" s="3">
        <f t="shared" si="62"/>
        <v>0</v>
      </c>
      <c r="GA147" s="3">
        <f t="shared" si="62"/>
        <v>0</v>
      </c>
      <c r="GB147" s="3">
        <f t="shared" si="62"/>
        <v>0</v>
      </c>
      <c r="GC147" s="3">
        <f t="shared" si="62"/>
        <v>0</v>
      </c>
      <c r="GD147" s="3">
        <f t="shared" si="62"/>
        <v>0</v>
      </c>
      <c r="GE147" s="3">
        <f t="shared" si="62"/>
        <v>0</v>
      </c>
      <c r="GF147" s="3">
        <f t="shared" si="62"/>
        <v>0</v>
      </c>
      <c r="GG147" s="3">
        <f t="shared" si="62"/>
        <v>0</v>
      </c>
      <c r="GH147" s="3">
        <f t="shared" si="62"/>
        <v>0</v>
      </c>
      <c r="GI147" s="3">
        <f t="shared" si="62"/>
        <v>0</v>
      </c>
      <c r="GJ147" s="3">
        <f t="shared" si="62"/>
        <v>0</v>
      </c>
      <c r="GK147" s="3">
        <f t="shared" si="62"/>
        <v>0</v>
      </c>
      <c r="GL147" s="3">
        <f t="shared" si="62"/>
        <v>0</v>
      </c>
      <c r="GM147" s="3">
        <f t="shared" si="62"/>
        <v>0</v>
      </c>
      <c r="GN147" s="3">
        <f t="shared" si="62"/>
        <v>0</v>
      </c>
      <c r="GO147" s="3">
        <f t="shared" si="62"/>
        <v>0</v>
      </c>
      <c r="GP147" s="3">
        <f t="shared" si="62"/>
        <v>0</v>
      </c>
      <c r="GQ147" s="3">
        <f t="shared" si="62"/>
        <v>0</v>
      </c>
      <c r="GR147" s="3">
        <f t="shared" si="62"/>
        <v>0</v>
      </c>
      <c r="GS147" s="3">
        <f t="shared" si="62"/>
        <v>0</v>
      </c>
      <c r="GT147" s="3">
        <f t="shared" si="62"/>
        <v>0</v>
      </c>
      <c r="GU147" s="3">
        <f t="shared" si="62"/>
        <v>0</v>
      </c>
      <c r="GV147" s="3">
        <f t="shared" si="62"/>
        <v>0</v>
      </c>
      <c r="GW147" s="3">
        <f t="shared" si="62"/>
        <v>0</v>
      </c>
      <c r="GX147" s="3">
        <f t="shared" si="62"/>
        <v>0</v>
      </c>
    </row>
    <row r="149" spans="1:245" x14ac:dyDescent="0.2">
      <c r="A149">
        <v>17</v>
      </c>
      <c r="B149">
        <v>1</v>
      </c>
      <c r="D149">
        <f>ROW(EtalonRes!A22)</f>
        <v>22</v>
      </c>
      <c r="E149" t="s">
        <v>3</v>
      </c>
      <c r="F149" t="s">
        <v>113</v>
      </c>
      <c r="G149" t="s">
        <v>114</v>
      </c>
      <c r="H149" t="s">
        <v>104</v>
      </c>
      <c r="I149">
        <f>ROUND((32+150)*0.1/100,9)</f>
        <v>0.182</v>
      </c>
      <c r="J149">
        <v>0</v>
      </c>
      <c r="K149">
        <f>ROUND((32+150)*0.1/100,9)</f>
        <v>0.182</v>
      </c>
      <c r="O149">
        <f t="shared" ref="O149:O155" si="63">ROUND(CP149,2)</f>
        <v>3077.15</v>
      </c>
      <c r="P149">
        <f t="shared" ref="P149:P155" si="64">ROUND(CQ149*I149,2)</f>
        <v>496.54</v>
      </c>
      <c r="Q149">
        <f t="shared" ref="Q149:Q155" si="65">ROUND(CR149*I149,2)</f>
        <v>0</v>
      </c>
      <c r="R149">
        <f t="shared" ref="R149:R155" si="66">ROUND(CS149*I149,2)</f>
        <v>0</v>
      </c>
      <c r="S149">
        <f t="shared" ref="S149:S155" si="67">ROUND(CT149*I149,2)</f>
        <v>2580.61</v>
      </c>
      <c r="T149">
        <f t="shared" ref="T149:T155" si="68">ROUND(CU149*I149,2)</f>
        <v>0</v>
      </c>
      <c r="U149">
        <f t="shared" ref="U149:U155" si="69">CV149*I149</f>
        <v>5.3762799999999995</v>
      </c>
      <c r="V149">
        <f t="shared" ref="V149:V155" si="70">CW149*I149</f>
        <v>0</v>
      </c>
      <c r="W149">
        <f t="shared" ref="W149:W155" si="71">ROUND(CX149*I149,2)</f>
        <v>0</v>
      </c>
      <c r="X149">
        <f t="shared" ref="X149:Y155" si="72">ROUND(CY149,2)</f>
        <v>1806.43</v>
      </c>
      <c r="Y149">
        <f t="shared" si="72"/>
        <v>258.06</v>
      </c>
      <c r="AA149">
        <v>-1</v>
      </c>
      <c r="AB149">
        <f t="shared" ref="AB149:AB155" si="73">ROUND((AC149+AD149+AF149),6)</f>
        <v>16907.419999999998</v>
      </c>
      <c r="AC149">
        <f>ROUND((ES149),6)</f>
        <v>2728.22</v>
      </c>
      <c r="AD149">
        <f>ROUND((((ET149)-(EU149))+AE149),6)</f>
        <v>0</v>
      </c>
      <c r="AE149">
        <f>ROUND((EU149),6)</f>
        <v>0</v>
      </c>
      <c r="AF149">
        <f>ROUND((EV149),6)</f>
        <v>14179.2</v>
      </c>
      <c r="AG149">
        <f t="shared" ref="AG149:AG155" si="74">ROUND((AP149),6)</f>
        <v>0</v>
      </c>
      <c r="AH149">
        <f>(EW149)</f>
        <v>29.54</v>
      </c>
      <c r="AI149">
        <f>(EX149)</f>
        <v>0</v>
      </c>
      <c r="AJ149">
        <f t="shared" ref="AJ149:AJ155" si="75">(AS149)</f>
        <v>0</v>
      </c>
      <c r="AK149">
        <v>16907.419999999998</v>
      </c>
      <c r="AL149">
        <v>2728.22</v>
      </c>
      <c r="AM149">
        <v>0</v>
      </c>
      <c r="AN149">
        <v>0</v>
      </c>
      <c r="AO149">
        <v>14179.2</v>
      </c>
      <c r="AP149">
        <v>0</v>
      </c>
      <c r="AQ149">
        <v>29.54</v>
      </c>
      <c r="AR149">
        <v>0</v>
      </c>
      <c r="AS149">
        <v>0</v>
      </c>
      <c r="AT149">
        <v>70</v>
      </c>
      <c r="AU149">
        <v>10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4</v>
      </c>
      <c r="BJ149" t="s">
        <v>115</v>
      </c>
      <c r="BM149">
        <v>0</v>
      </c>
      <c r="BN149">
        <v>0</v>
      </c>
      <c r="BO149" t="s">
        <v>3</v>
      </c>
      <c r="BP149">
        <v>0</v>
      </c>
      <c r="BQ149">
        <v>1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70</v>
      </c>
      <c r="CA149">
        <v>10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ref="CP149:CP155" si="76">(P149+Q149+S149)</f>
        <v>3077.15</v>
      </c>
      <c r="CQ149">
        <f t="shared" ref="CQ149:CQ155" si="77">(AC149*BC149*AW149)</f>
        <v>2728.22</v>
      </c>
      <c r="CR149">
        <f>((((ET149)*BB149-(EU149)*BS149)+AE149*BS149)*AV149)</f>
        <v>0</v>
      </c>
      <c r="CS149">
        <f t="shared" ref="CS149:CS155" si="78">(AE149*BS149*AV149)</f>
        <v>0</v>
      </c>
      <c r="CT149">
        <f t="shared" ref="CT149:CT155" si="79">(AF149*BA149*AV149)</f>
        <v>14179.2</v>
      </c>
      <c r="CU149">
        <f t="shared" ref="CU149:CU155" si="80">AG149</f>
        <v>0</v>
      </c>
      <c r="CV149">
        <f t="shared" ref="CV149:CV155" si="81">(AH149*AV149)</f>
        <v>29.54</v>
      </c>
      <c r="CW149">
        <f t="shared" ref="CW149:CX155" si="82">AI149</f>
        <v>0</v>
      </c>
      <c r="CX149">
        <f t="shared" si="82"/>
        <v>0</v>
      </c>
      <c r="CY149">
        <f t="shared" ref="CY149:CY155" si="83">((S149*BZ149)/100)</f>
        <v>1806.4270000000001</v>
      </c>
      <c r="CZ149">
        <f t="shared" ref="CZ149:CZ155" si="84">((S149*CA149)/100)</f>
        <v>258.06100000000004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1003</v>
      </c>
      <c r="DV149" t="s">
        <v>104</v>
      </c>
      <c r="DW149" t="s">
        <v>104</v>
      </c>
      <c r="DX149">
        <v>100</v>
      </c>
      <c r="DZ149" t="s">
        <v>3</v>
      </c>
      <c r="EA149" t="s">
        <v>3</v>
      </c>
      <c r="EB149" t="s">
        <v>3</v>
      </c>
      <c r="EC149" t="s">
        <v>3</v>
      </c>
      <c r="EE149">
        <v>1441815344</v>
      </c>
      <c r="EF149">
        <v>1</v>
      </c>
      <c r="EG149" t="s">
        <v>22</v>
      </c>
      <c r="EH149">
        <v>0</v>
      </c>
      <c r="EI149" t="s">
        <v>3</v>
      </c>
      <c r="EJ149">
        <v>4</v>
      </c>
      <c r="EK149">
        <v>0</v>
      </c>
      <c r="EL149" t="s">
        <v>23</v>
      </c>
      <c r="EM149" t="s">
        <v>24</v>
      </c>
      <c r="EO149" t="s">
        <v>3</v>
      </c>
      <c r="EQ149">
        <v>1311744</v>
      </c>
      <c r="ER149">
        <v>16907.419999999998</v>
      </c>
      <c r="ES149">
        <v>2728.22</v>
      </c>
      <c r="ET149">
        <v>0</v>
      </c>
      <c r="EU149">
        <v>0</v>
      </c>
      <c r="EV149">
        <v>14179.2</v>
      </c>
      <c r="EW149">
        <v>29.54</v>
      </c>
      <c r="EX149">
        <v>0</v>
      </c>
      <c r="EY149">
        <v>0</v>
      </c>
      <c r="FQ149">
        <v>0</v>
      </c>
      <c r="FR149">
        <f t="shared" ref="FR149:FR155" si="85">ROUND(IF(BI149=3,GM149,0),2)</f>
        <v>0</v>
      </c>
      <c r="FS149">
        <v>0</v>
      </c>
      <c r="FX149">
        <v>70</v>
      </c>
      <c r="FY149">
        <v>10</v>
      </c>
      <c r="GA149" t="s">
        <v>3</v>
      </c>
      <c r="GD149">
        <v>0</v>
      </c>
      <c r="GF149">
        <v>-317825441</v>
      </c>
      <c r="GG149">
        <v>2</v>
      </c>
      <c r="GH149">
        <v>1</v>
      </c>
      <c r="GI149">
        <v>-2</v>
      </c>
      <c r="GJ149">
        <v>0</v>
      </c>
      <c r="GK149">
        <f>ROUND(R149*(R12)/100,2)</f>
        <v>0</v>
      </c>
      <c r="GL149">
        <f t="shared" ref="GL149:GL155" si="86">ROUND(IF(AND(BH149=3,BI149=3,FS149&lt;&gt;0),P149,0),2)</f>
        <v>0</v>
      </c>
      <c r="GM149">
        <f t="shared" ref="GM149:GM155" si="87">ROUND(O149+X149+Y149+GK149,2)+GX149</f>
        <v>5141.6400000000003</v>
      </c>
      <c r="GN149">
        <f t="shared" ref="GN149:GN155" si="88">IF(OR(BI149=0,BI149=1),GM149-GX149,0)</f>
        <v>0</v>
      </c>
      <c r="GO149">
        <f t="shared" ref="GO149:GO155" si="89">IF(BI149=2,GM149-GX149,0)</f>
        <v>0</v>
      </c>
      <c r="GP149">
        <f t="shared" ref="GP149:GP155" si="90">IF(BI149=4,GM149-GX149,0)</f>
        <v>5141.6400000000003</v>
      </c>
      <c r="GR149">
        <v>0</v>
      </c>
      <c r="GS149">
        <v>3</v>
      </c>
      <c r="GT149">
        <v>0</v>
      </c>
      <c r="GU149" t="s">
        <v>3</v>
      </c>
      <c r="GV149">
        <f t="shared" ref="GV149:GV155" si="91">ROUND((GT149),6)</f>
        <v>0</v>
      </c>
      <c r="GW149">
        <v>1</v>
      </c>
      <c r="GX149">
        <f t="shared" ref="GX149:GX155" si="92">ROUND(HC149*I149,2)</f>
        <v>0</v>
      </c>
      <c r="HA149">
        <v>0</v>
      </c>
      <c r="HB149">
        <v>0</v>
      </c>
      <c r="HC149">
        <f t="shared" ref="HC149:HC155" si="93">GV149*GW149</f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">
      <c r="A150">
        <v>17</v>
      </c>
      <c r="B150">
        <v>1</v>
      </c>
      <c r="D150">
        <f>ROW(EtalonRes!A23)</f>
        <v>23</v>
      </c>
      <c r="E150" t="s">
        <v>3</v>
      </c>
      <c r="F150" t="s">
        <v>116</v>
      </c>
      <c r="G150" t="s">
        <v>117</v>
      </c>
      <c r="H150" t="s">
        <v>104</v>
      </c>
      <c r="I150">
        <f>ROUND((32+150)*0.25*0.1/100,9)</f>
        <v>4.5499999999999999E-2</v>
      </c>
      <c r="J150">
        <v>0</v>
      </c>
      <c r="K150">
        <f>ROUND((32+150)*0.25*0.1/100,9)</f>
        <v>4.5499999999999999E-2</v>
      </c>
      <c r="O150">
        <f t="shared" si="63"/>
        <v>141.19999999999999</v>
      </c>
      <c r="P150">
        <f t="shared" si="64"/>
        <v>0</v>
      </c>
      <c r="Q150">
        <f t="shared" si="65"/>
        <v>0</v>
      </c>
      <c r="R150">
        <f t="shared" si="66"/>
        <v>0</v>
      </c>
      <c r="S150">
        <f t="shared" si="67"/>
        <v>141.19999999999999</v>
      </c>
      <c r="T150">
        <f t="shared" si="68"/>
        <v>0</v>
      </c>
      <c r="U150">
        <f t="shared" si="69"/>
        <v>0.25115999999999999</v>
      </c>
      <c r="V150">
        <f t="shared" si="70"/>
        <v>0</v>
      </c>
      <c r="W150">
        <f t="shared" si="71"/>
        <v>0</v>
      </c>
      <c r="X150">
        <f t="shared" si="72"/>
        <v>98.84</v>
      </c>
      <c r="Y150">
        <f t="shared" si="72"/>
        <v>14.12</v>
      </c>
      <c r="AA150">
        <v>-1</v>
      </c>
      <c r="AB150">
        <f t="shared" si="73"/>
        <v>3103.2</v>
      </c>
      <c r="AC150">
        <f t="shared" ref="AC150:AC155" si="94">ROUND(((ES150*4)),6)</f>
        <v>0</v>
      </c>
      <c r="AD150">
        <f t="shared" ref="AD150:AD155" si="95">ROUND(((((ET150*4))-((EU150*4)))+AE150),6)</f>
        <v>0</v>
      </c>
      <c r="AE150">
        <f t="shared" ref="AE150:AF155" si="96">ROUND(((EU150*4)),6)</f>
        <v>0</v>
      </c>
      <c r="AF150">
        <f t="shared" si="96"/>
        <v>3103.2</v>
      </c>
      <c r="AG150">
        <f t="shared" si="74"/>
        <v>0</v>
      </c>
      <c r="AH150">
        <f t="shared" ref="AH150:AI155" si="97">((EW150*4))</f>
        <v>5.52</v>
      </c>
      <c r="AI150">
        <f t="shared" si="97"/>
        <v>0</v>
      </c>
      <c r="AJ150">
        <f t="shared" si="75"/>
        <v>0</v>
      </c>
      <c r="AK150">
        <v>775.8</v>
      </c>
      <c r="AL150">
        <v>0</v>
      </c>
      <c r="AM150">
        <v>0</v>
      </c>
      <c r="AN150">
        <v>0</v>
      </c>
      <c r="AO150">
        <v>775.8</v>
      </c>
      <c r="AP150">
        <v>0</v>
      </c>
      <c r="AQ150">
        <v>1.38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4</v>
      </c>
      <c r="BJ150" t="s">
        <v>118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76"/>
        <v>141.19999999999999</v>
      </c>
      <c r="CQ150">
        <f t="shared" si="77"/>
        <v>0</v>
      </c>
      <c r="CR150">
        <f t="shared" ref="CR150:CR155" si="98">(((((ET150*4))*BB150-((EU150*4))*BS150)+AE150*BS150)*AV150)</f>
        <v>0</v>
      </c>
      <c r="CS150">
        <f t="shared" si="78"/>
        <v>0</v>
      </c>
      <c r="CT150">
        <f t="shared" si="79"/>
        <v>3103.2</v>
      </c>
      <c r="CU150">
        <f t="shared" si="80"/>
        <v>0</v>
      </c>
      <c r="CV150">
        <f t="shared" si="81"/>
        <v>5.52</v>
      </c>
      <c r="CW150">
        <f t="shared" si="82"/>
        <v>0</v>
      </c>
      <c r="CX150">
        <f t="shared" si="82"/>
        <v>0</v>
      </c>
      <c r="CY150">
        <f t="shared" si="83"/>
        <v>98.84</v>
      </c>
      <c r="CZ150">
        <f t="shared" si="84"/>
        <v>14.12</v>
      </c>
      <c r="DC150" t="s">
        <v>3</v>
      </c>
      <c r="DD150" t="s">
        <v>106</v>
      </c>
      <c r="DE150" t="s">
        <v>106</v>
      </c>
      <c r="DF150" t="s">
        <v>106</v>
      </c>
      <c r="DG150" t="s">
        <v>106</v>
      </c>
      <c r="DH150" t="s">
        <v>3</v>
      </c>
      <c r="DI150" t="s">
        <v>106</v>
      </c>
      <c r="DJ150" t="s">
        <v>106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1003</v>
      </c>
      <c r="DV150" t="s">
        <v>104</v>
      </c>
      <c r="DW150" t="s">
        <v>104</v>
      </c>
      <c r="DX150">
        <v>100</v>
      </c>
      <c r="DZ150" t="s">
        <v>3</v>
      </c>
      <c r="EA150" t="s">
        <v>3</v>
      </c>
      <c r="EB150" t="s">
        <v>3</v>
      </c>
      <c r="EC150" t="s">
        <v>3</v>
      </c>
      <c r="EE150">
        <v>1441815344</v>
      </c>
      <c r="EF150">
        <v>1</v>
      </c>
      <c r="EG150" t="s">
        <v>22</v>
      </c>
      <c r="EH150">
        <v>0</v>
      </c>
      <c r="EI150" t="s">
        <v>3</v>
      </c>
      <c r="EJ150">
        <v>4</v>
      </c>
      <c r="EK150">
        <v>0</v>
      </c>
      <c r="EL150" t="s">
        <v>23</v>
      </c>
      <c r="EM150" t="s">
        <v>24</v>
      </c>
      <c r="EO150" t="s">
        <v>3</v>
      </c>
      <c r="EQ150">
        <v>1024</v>
      </c>
      <c r="ER150">
        <v>775.8</v>
      </c>
      <c r="ES150">
        <v>0</v>
      </c>
      <c r="ET150">
        <v>0</v>
      </c>
      <c r="EU150">
        <v>0</v>
      </c>
      <c r="EV150">
        <v>775.8</v>
      </c>
      <c r="EW150">
        <v>1.38</v>
      </c>
      <c r="EX150">
        <v>0</v>
      </c>
      <c r="EY150">
        <v>0</v>
      </c>
      <c r="FQ150">
        <v>0</v>
      </c>
      <c r="FR150">
        <f t="shared" si="85"/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-1934492766</v>
      </c>
      <c r="GG150">
        <v>2</v>
      </c>
      <c r="GH150">
        <v>1</v>
      </c>
      <c r="GI150">
        <v>-2</v>
      </c>
      <c r="GJ150">
        <v>0</v>
      </c>
      <c r="GK150">
        <f>ROUND(R150*(R12)/100,2)</f>
        <v>0</v>
      </c>
      <c r="GL150">
        <f t="shared" si="86"/>
        <v>0</v>
      </c>
      <c r="GM150">
        <f t="shared" si="87"/>
        <v>254.16</v>
      </c>
      <c r="GN150">
        <f t="shared" si="88"/>
        <v>0</v>
      </c>
      <c r="GO150">
        <f t="shared" si="89"/>
        <v>0</v>
      </c>
      <c r="GP150">
        <f t="shared" si="90"/>
        <v>254.16</v>
      </c>
      <c r="GR150">
        <v>0</v>
      </c>
      <c r="GS150">
        <v>3</v>
      </c>
      <c r="GT150">
        <v>0</v>
      </c>
      <c r="GU150" t="s">
        <v>3</v>
      </c>
      <c r="GV150">
        <f t="shared" si="91"/>
        <v>0</v>
      </c>
      <c r="GW150">
        <v>1</v>
      </c>
      <c r="GX150">
        <f t="shared" si="92"/>
        <v>0</v>
      </c>
      <c r="HA150">
        <v>0</v>
      </c>
      <c r="HB150">
        <v>0</v>
      </c>
      <c r="HC150">
        <f t="shared" si="93"/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">
      <c r="A151">
        <v>17</v>
      </c>
      <c r="B151">
        <v>1</v>
      </c>
      <c r="D151">
        <f>ROW(EtalonRes!A24)</f>
        <v>24</v>
      </c>
      <c r="E151" t="s">
        <v>3</v>
      </c>
      <c r="F151" t="s">
        <v>119</v>
      </c>
      <c r="G151" t="s">
        <v>120</v>
      </c>
      <c r="H151" t="s">
        <v>104</v>
      </c>
      <c r="I151">
        <f>ROUND((32+150)*0.75*0.1/100,9)</f>
        <v>0.13650000000000001</v>
      </c>
      <c r="J151">
        <v>0</v>
      </c>
      <c r="K151">
        <f>ROUND((32+150)*0.75*0.1/100,9)</f>
        <v>0.13650000000000001</v>
      </c>
      <c r="O151">
        <f t="shared" si="63"/>
        <v>1504.03</v>
      </c>
      <c r="P151">
        <f t="shared" si="64"/>
        <v>0</v>
      </c>
      <c r="Q151">
        <f t="shared" si="65"/>
        <v>0</v>
      </c>
      <c r="R151">
        <f t="shared" si="66"/>
        <v>0</v>
      </c>
      <c r="S151">
        <f t="shared" si="67"/>
        <v>1504.03</v>
      </c>
      <c r="T151">
        <f t="shared" si="68"/>
        <v>0</v>
      </c>
      <c r="U151">
        <f t="shared" si="69"/>
        <v>2.6754000000000002</v>
      </c>
      <c r="V151">
        <f t="shared" si="70"/>
        <v>0</v>
      </c>
      <c r="W151">
        <f t="shared" si="71"/>
        <v>0</v>
      </c>
      <c r="X151">
        <f t="shared" si="72"/>
        <v>1052.82</v>
      </c>
      <c r="Y151">
        <f t="shared" si="72"/>
        <v>150.4</v>
      </c>
      <c r="AA151">
        <v>-1</v>
      </c>
      <c r="AB151">
        <f t="shared" si="73"/>
        <v>11018.52</v>
      </c>
      <c r="AC151">
        <f t="shared" si="94"/>
        <v>0</v>
      </c>
      <c r="AD151">
        <f t="shared" si="95"/>
        <v>0</v>
      </c>
      <c r="AE151">
        <f t="shared" si="96"/>
        <v>0</v>
      </c>
      <c r="AF151">
        <f t="shared" si="96"/>
        <v>11018.52</v>
      </c>
      <c r="AG151">
        <f t="shared" si="74"/>
        <v>0</v>
      </c>
      <c r="AH151">
        <f t="shared" si="97"/>
        <v>19.600000000000001</v>
      </c>
      <c r="AI151">
        <f t="shared" si="97"/>
        <v>0</v>
      </c>
      <c r="AJ151">
        <f t="shared" si="75"/>
        <v>0</v>
      </c>
      <c r="AK151">
        <v>2754.63</v>
      </c>
      <c r="AL151">
        <v>0</v>
      </c>
      <c r="AM151">
        <v>0</v>
      </c>
      <c r="AN151">
        <v>0</v>
      </c>
      <c r="AO151">
        <v>2754.63</v>
      </c>
      <c r="AP151">
        <v>0</v>
      </c>
      <c r="AQ151">
        <v>4.9000000000000004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121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76"/>
        <v>1504.03</v>
      </c>
      <c r="CQ151">
        <f t="shared" si="77"/>
        <v>0</v>
      </c>
      <c r="CR151">
        <f t="shared" si="98"/>
        <v>0</v>
      </c>
      <c r="CS151">
        <f t="shared" si="78"/>
        <v>0</v>
      </c>
      <c r="CT151">
        <f t="shared" si="79"/>
        <v>11018.52</v>
      </c>
      <c r="CU151">
        <f t="shared" si="80"/>
        <v>0</v>
      </c>
      <c r="CV151">
        <f t="shared" si="81"/>
        <v>19.600000000000001</v>
      </c>
      <c r="CW151">
        <f t="shared" si="82"/>
        <v>0</v>
      </c>
      <c r="CX151">
        <f t="shared" si="82"/>
        <v>0</v>
      </c>
      <c r="CY151">
        <f t="shared" si="83"/>
        <v>1052.8209999999999</v>
      </c>
      <c r="CZ151">
        <f t="shared" si="84"/>
        <v>150.40299999999999</v>
      </c>
      <c r="DC151" t="s">
        <v>3</v>
      </c>
      <c r="DD151" t="s">
        <v>106</v>
      </c>
      <c r="DE151" t="s">
        <v>106</v>
      </c>
      <c r="DF151" t="s">
        <v>106</v>
      </c>
      <c r="DG151" t="s">
        <v>106</v>
      </c>
      <c r="DH151" t="s">
        <v>3</v>
      </c>
      <c r="DI151" t="s">
        <v>106</v>
      </c>
      <c r="DJ151" t="s">
        <v>106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1003</v>
      </c>
      <c r="DV151" t="s">
        <v>104</v>
      </c>
      <c r="DW151" t="s">
        <v>104</v>
      </c>
      <c r="DX151">
        <v>100</v>
      </c>
      <c r="DZ151" t="s">
        <v>3</v>
      </c>
      <c r="EA151" t="s">
        <v>3</v>
      </c>
      <c r="EB151" t="s">
        <v>3</v>
      </c>
      <c r="EC151" t="s">
        <v>3</v>
      </c>
      <c r="EE151">
        <v>1441815344</v>
      </c>
      <c r="EF151">
        <v>1</v>
      </c>
      <c r="EG151" t="s">
        <v>22</v>
      </c>
      <c r="EH151">
        <v>0</v>
      </c>
      <c r="EI151" t="s">
        <v>3</v>
      </c>
      <c r="EJ151">
        <v>4</v>
      </c>
      <c r="EK151">
        <v>0</v>
      </c>
      <c r="EL151" t="s">
        <v>23</v>
      </c>
      <c r="EM151" t="s">
        <v>24</v>
      </c>
      <c r="EO151" t="s">
        <v>3</v>
      </c>
      <c r="EQ151">
        <v>1024</v>
      </c>
      <c r="ER151">
        <v>2754.63</v>
      </c>
      <c r="ES151">
        <v>0</v>
      </c>
      <c r="ET151">
        <v>0</v>
      </c>
      <c r="EU151">
        <v>0</v>
      </c>
      <c r="EV151">
        <v>2754.63</v>
      </c>
      <c r="EW151">
        <v>4.9000000000000004</v>
      </c>
      <c r="EX151">
        <v>0</v>
      </c>
      <c r="EY151">
        <v>0</v>
      </c>
      <c r="FQ151">
        <v>0</v>
      </c>
      <c r="FR151">
        <f t="shared" si="85"/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329268789</v>
      </c>
      <c r="GG151">
        <v>2</v>
      </c>
      <c r="GH151">
        <v>1</v>
      </c>
      <c r="GI151">
        <v>-2</v>
      </c>
      <c r="GJ151">
        <v>0</v>
      </c>
      <c r="GK151">
        <f>ROUND(R151*(R12)/100,2)</f>
        <v>0</v>
      </c>
      <c r="GL151">
        <f t="shared" si="86"/>
        <v>0</v>
      </c>
      <c r="GM151">
        <f t="shared" si="87"/>
        <v>2707.25</v>
      </c>
      <c r="GN151">
        <f t="shared" si="88"/>
        <v>0</v>
      </c>
      <c r="GO151">
        <f t="shared" si="89"/>
        <v>0</v>
      </c>
      <c r="GP151">
        <f t="shared" si="90"/>
        <v>2707.25</v>
      </c>
      <c r="GR151">
        <v>0</v>
      </c>
      <c r="GS151">
        <v>3</v>
      </c>
      <c r="GT151">
        <v>0</v>
      </c>
      <c r="GU151" t="s">
        <v>3</v>
      </c>
      <c r="GV151">
        <f t="shared" si="91"/>
        <v>0</v>
      </c>
      <c r="GW151">
        <v>1</v>
      </c>
      <c r="GX151">
        <f t="shared" si="92"/>
        <v>0</v>
      </c>
      <c r="HA151">
        <v>0</v>
      </c>
      <c r="HB151">
        <v>0</v>
      </c>
      <c r="HC151">
        <f t="shared" si="93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2" spans="1:245" x14ac:dyDescent="0.2">
      <c r="A152">
        <v>17</v>
      </c>
      <c r="B152">
        <v>1</v>
      </c>
      <c r="D152">
        <f>ROW(EtalonRes!A25)</f>
        <v>25</v>
      </c>
      <c r="E152" t="s">
        <v>3</v>
      </c>
      <c r="F152" t="s">
        <v>122</v>
      </c>
      <c r="G152" t="s">
        <v>123</v>
      </c>
      <c r="H152" t="s">
        <v>20</v>
      </c>
      <c r="I152">
        <f>ROUND(15+8,9)</f>
        <v>23</v>
      </c>
      <c r="J152">
        <v>0</v>
      </c>
      <c r="K152">
        <f>ROUND(15+8,9)</f>
        <v>23</v>
      </c>
      <c r="O152">
        <f t="shared" si="63"/>
        <v>7384.84</v>
      </c>
      <c r="P152">
        <f t="shared" si="64"/>
        <v>0</v>
      </c>
      <c r="Q152">
        <f t="shared" si="65"/>
        <v>0</v>
      </c>
      <c r="R152">
        <f t="shared" si="66"/>
        <v>0</v>
      </c>
      <c r="S152">
        <f t="shared" si="67"/>
        <v>7384.84</v>
      </c>
      <c r="T152">
        <f t="shared" si="68"/>
        <v>0</v>
      </c>
      <c r="U152">
        <f t="shared" si="69"/>
        <v>11.96</v>
      </c>
      <c r="V152">
        <f t="shared" si="70"/>
        <v>0</v>
      </c>
      <c r="W152">
        <f t="shared" si="71"/>
        <v>0</v>
      </c>
      <c r="X152">
        <f t="shared" si="72"/>
        <v>5169.3900000000003</v>
      </c>
      <c r="Y152">
        <f t="shared" si="72"/>
        <v>738.48</v>
      </c>
      <c r="AA152">
        <v>-1</v>
      </c>
      <c r="AB152">
        <f t="shared" si="73"/>
        <v>321.08</v>
      </c>
      <c r="AC152">
        <f t="shared" si="94"/>
        <v>0</v>
      </c>
      <c r="AD152">
        <f t="shared" si="95"/>
        <v>0</v>
      </c>
      <c r="AE152">
        <f t="shared" si="96"/>
        <v>0</v>
      </c>
      <c r="AF152">
        <f t="shared" si="96"/>
        <v>321.08</v>
      </c>
      <c r="AG152">
        <f t="shared" si="74"/>
        <v>0</v>
      </c>
      <c r="AH152">
        <f t="shared" si="97"/>
        <v>0.52</v>
      </c>
      <c r="AI152">
        <f t="shared" si="97"/>
        <v>0</v>
      </c>
      <c r="AJ152">
        <f t="shared" si="75"/>
        <v>0</v>
      </c>
      <c r="AK152">
        <v>80.27</v>
      </c>
      <c r="AL152">
        <v>0</v>
      </c>
      <c r="AM152">
        <v>0</v>
      </c>
      <c r="AN152">
        <v>0</v>
      </c>
      <c r="AO152">
        <v>80.27</v>
      </c>
      <c r="AP152">
        <v>0</v>
      </c>
      <c r="AQ152">
        <v>0.13</v>
      </c>
      <c r="AR152">
        <v>0</v>
      </c>
      <c r="AS152">
        <v>0</v>
      </c>
      <c r="AT152">
        <v>70</v>
      </c>
      <c r="AU152">
        <v>10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1</v>
      </c>
      <c r="BD152" t="s">
        <v>3</v>
      </c>
      <c r="BE152" t="s">
        <v>3</v>
      </c>
      <c r="BF152" t="s">
        <v>3</v>
      </c>
      <c r="BG152" t="s">
        <v>3</v>
      </c>
      <c r="BH152">
        <v>0</v>
      </c>
      <c r="BI152">
        <v>4</v>
      </c>
      <c r="BJ152" t="s">
        <v>124</v>
      </c>
      <c r="BM152">
        <v>0</v>
      </c>
      <c r="BN152">
        <v>0</v>
      </c>
      <c r="BO152" t="s">
        <v>3</v>
      </c>
      <c r="BP152">
        <v>0</v>
      </c>
      <c r="BQ152">
        <v>1</v>
      </c>
      <c r="BR152">
        <v>0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70</v>
      </c>
      <c r="CA152">
        <v>10</v>
      </c>
      <c r="CB152" t="s">
        <v>3</v>
      </c>
      <c r="CE152">
        <v>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76"/>
        <v>7384.84</v>
      </c>
      <c r="CQ152">
        <f t="shared" si="77"/>
        <v>0</v>
      </c>
      <c r="CR152">
        <f t="shared" si="98"/>
        <v>0</v>
      </c>
      <c r="CS152">
        <f t="shared" si="78"/>
        <v>0</v>
      </c>
      <c r="CT152">
        <f t="shared" si="79"/>
        <v>321.08</v>
      </c>
      <c r="CU152">
        <f t="shared" si="80"/>
        <v>0</v>
      </c>
      <c r="CV152">
        <f t="shared" si="81"/>
        <v>0.52</v>
      </c>
      <c r="CW152">
        <f t="shared" si="82"/>
        <v>0</v>
      </c>
      <c r="CX152">
        <f t="shared" si="82"/>
        <v>0</v>
      </c>
      <c r="CY152">
        <f t="shared" si="83"/>
        <v>5169.3879999999999</v>
      </c>
      <c r="CZ152">
        <f t="shared" si="84"/>
        <v>738.48399999999992</v>
      </c>
      <c r="DC152" t="s">
        <v>3</v>
      </c>
      <c r="DD152" t="s">
        <v>106</v>
      </c>
      <c r="DE152" t="s">
        <v>106</v>
      </c>
      <c r="DF152" t="s">
        <v>106</v>
      </c>
      <c r="DG152" t="s">
        <v>106</v>
      </c>
      <c r="DH152" t="s">
        <v>3</v>
      </c>
      <c r="DI152" t="s">
        <v>106</v>
      </c>
      <c r="DJ152" t="s">
        <v>106</v>
      </c>
      <c r="DK152" t="s">
        <v>3</v>
      </c>
      <c r="DL152" t="s">
        <v>3</v>
      </c>
      <c r="DM152" t="s">
        <v>3</v>
      </c>
      <c r="DN152">
        <v>0</v>
      </c>
      <c r="DO152">
        <v>0</v>
      </c>
      <c r="DP152">
        <v>1</v>
      </c>
      <c r="DQ152">
        <v>1</v>
      </c>
      <c r="DU152">
        <v>16987630</v>
      </c>
      <c r="DV152" t="s">
        <v>20</v>
      </c>
      <c r="DW152" t="s">
        <v>20</v>
      </c>
      <c r="DX152">
        <v>1</v>
      </c>
      <c r="DZ152" t="s">
        <v>3</v>
      </c>
      <c r="EA152" t="s">
        <v>3</v>
      </c>
      <c r="EB152" t="s">
        <v>3</v>
      </c>
      <c r="EC152" t="s">
        <v>3</v>
      </c>
      <c r="EE152">
        <v>1441815344</v>
      </c>
      <c r="EF152">
        <v>1</v>
      </c>
      <c r="EG152" t="s">
        <v>22</v>
      </c>
      <c r="EH152">
        <v>0</v>
      </c>
      <c r="EI152" t="s">
        <v>3</v>
      </c>
      <c r="EJ152">
        <v>4</v>
      </c>
      <c r="EK152">
        <v>0</v>
      </c>
      <c r="EL152" t="s">
        <v>23</v>
      </c>
      <c r="EM152" t="s">
        <v>24</v>
      </c>
      <c r="EO152" t="s">
        <v>3</v>
      </c>
      <c r="EQ152">
        <v>1024</v>
      </c>
      <c r="ER152">
        <v>80.27</v>
      </c>
      <c r="ES152">
        <v>0</v>
      </c>
      <c r="ET152">
        <v>0</v>
      </c>
      <c r="EU152">
        <v>0</v>
      </c>
      <c r="EV152">
        <v>80.27</v>
      </c>
      <c r="EW152">
        <v>0.13</v>
      </c>
      <c r="EX152">
        <v>0</v>
      </c>
      <c r="EY152">
        <v>0</v>
      </c>
      <c r="FQ152">
        <v>0</v>
      </c>
      <c r="FR152">
        <f t="shared" si="85"/>
        <v>0</v>
      </c>
      <c r="FS152">
        <v>0</v>
      </c>
      <c r="FX152">
        <v>70</v>
      </c>
      <c r="FY152">
        <v>10</v>
      </c>
      <c r="GA152" t="s">
        <v>3</v>
      </c>
      <c r="GD152">
        <v>0</v>
      </c>
      <c r="GF152">
        <v>1384570016</v>
      </c>
      <c r="GG152">
        <v>2</v>
      </c>
      <c r="GH152">
        <v>1</v>
      </c>
      <c r="GI152">
        <v>-2</v>
      </c>
      <c r="GJ152">
        <v>0</v>
      </c>
      <c r="GK152">
        <f>ROUND(R152*(R12)/100,2)</f>
        <v>0</v>
      </c>
      <c r="GL152">
        <f t="shared" si="86"/>
        <v>0</v>
      </c>
      <c r="GM152">
        <f t="shared" si="87"/>
        <v>13292.71</v>
      </c>
      <c r="GN152">
        <f t="shared" si="88"/>
        <v>0</v>
      </c>
      <c r="GO152">
        <f t="shared" si="89"/>
        <v>0</v>
      </c>
      <c r="GP152">
        <f t="shared" si="90"/>
        <v>13292.71</v>
      </c>
      <c r="GR152">
        <v>0</v>
      </c>
      <c r="GS152">
        <v>3</v>
      </c>
      <c r="GT152">
        <v>0</v>
      </c>
      <c r="GU152" t="s">
        <v>3</v>
      </c>
      <c r="GV152">
        <f t="shared" si="91"/>
        <v>0</v>
      </c>
      <c r="GW152">
        <v>1</v>
      </c>
      <c r="GX152">
        <f t="shared" si="92"/>
        <v>0</v>
      </c>
      <c r="HA152">
        <v>0</v>
      </c>
      <c r="HB152">
        <v>0</v>
      </c>
      <c r="HC152">
        <f t="shared" si="93"/>
        <v>0</v>
      </c>
      <c r="HE152" t="s">
        <v>3</v>
      </c>
      <c r="HF152" t="s">
        <v>3</v>
      </c>
      <c r="HM152" t="s">
        <v>3</v>
      </c>
      <c r="HN152" t="s">
        <v>3</v>
      </c>
      <c r="HO152" t="s">
        <v>3</v>
      </c>
      <c r="HP152" t="s">
        <v>3</v>
      </c>
      <c r="HQ152" t="s">
        <v>3</v>
      </c>
      <c r="IK152">
        <v>0</v>
      </c>
    </row>
    <row r="153" spans="1:245" x14ac:dyDescent="0.2">
      <c r="A153">
        <v>17</v>
      </c>
      <c r="B153">
        <v>1</v>
      </c>
      <c r="D153">
        <f>ROW(EtalonRes!A26)</f>
        <v>26</v>
      </c>
      <c r="E153" t="s">
        <v>3</v>
      </c>
      <c r="F153" t="s">
        <v>125</v>
      </c>
      <c r="G153" t="s">
        <v>126</v>
      </c>
      <c r="H153" t="s">
        <v>94</v>
      </c>
      <c r="I153">
        <f>ROUND(3/10,9)</f>
        <v>0.3</v>
      </c>
      <c r="J153">
        <v>0</v>
      </c>
      <c r="K153">
        <f>ROUND(3/10,9)</f>
        <v>0.3</v>
      </c>
      <c r="O153">
        <f t="shared" si="63"/>
        <v>407.54</v>
      </c>
      <c r="P153">
        <f t="shared" si="64"/>
        <v>0</v>
      </c>
      <c r="Q153">
        <f t="shared" si="65"/>
        <v>0</v>
      </c>
      <c r="R153">
        <f t="shared" si="66"/>
        <v>0</v>
      </c>
      <c r="S153">
        <f t="shared" si="67"/>
        <v>407.54</v>
      </c>
      <c r="T153">
        <f t="shared" si="68"/>
        <v>0</v>
      </c>
      <c r="U153">
        <f t="shared" si="69"/>
        <v>0.66</v>
      </c>
      <c r="V153">
        <f t="shared" si="70"/>
        <v>0</v>
      </c>
      <c r="W153">
        <f t="shared" si="71"/>
        <v>0</v>
      </c>
      <c r="X153">
        <f t="shared" si="72"/>
        <v>285.27999999999997</v>
      </c>
      <c r="Y153">
        <f t="shared" si="72"/>
        <v>40.75</v>
      </c>
      <c r="AA153">
        <v>-1</v>
      </c>
      <c r="AB153">
        <f t="shared" si="73"/>
        <v>1358.48</v>
      </c>
      <c r="AC153">
        <f t="shared" si="94"/>
        <v>0</v>
      </c>
      <c r="AD153">
        <f t="shared" si="95"/>
        <v>0</v>
      </c>
      <c r="AE153">
        <f t="shared" si="96"/>
        <v>0</v>
      </c>
      <c r="AF153">
        <f t="shared" si="96"/>
        <v>1358.48</v>
      </c>
      <c r="AG153">
        <f t="shared" si="74"/>
        <v>0</v>
      </c>
      <c r="AH153">
        <f t="shared" si="97"/>
        <v>2.2000000000000002</v>
      </c>
      <c r="AI153">
        <f t="shared" si="97"/>
        <v>0</v>
      </c>
      <c r="AJ153">
        <f t="shared" si="75"/>
        <v>0</v>
      </c>
      <c r="AK153">
        <v>339.62</v>
      </c>
      <c r="AL153">
        <v>0</v>
      </c>
      <c r="AM153">
        <v>0</v>
      </c>
      <c r="AN153">
        <v>0</v>
      </c>
      <c r="AO153">
        <v>339.62</v>
      </c>
      <c r="AP153">
        <v>0</v>
      </c>
      <c r="AQ153">
        <v>0.55000000000000004</v>
      </c>
      <c r="AR153">
        <v>0</v>
      </c>
      <c r="AS153">
        <v>0</v>
      </c>
      <c r="AT153">
        <v>70</v>
      </c>
      <c r="AU153">
        <v>10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4</v>
      </c>
      <c r="BJ153" t="s">
        <v>127</v>
      </c>
      <c r="BM153">
        <v>0</v>
      </c>
      <c r="BN153">
        <v>0</v>
      </c>
      <c r="BO153" t="s">
        <v>3</v>
      </c>
      <c r="BP153">
        <v>0</v>
      </c>
      <c r="BQ153">
        <v>1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70</v>
      </c>
      <c r="CA153">
        <v>10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76"/>
        <v>407.54</v>
      </c>
      <c r="CQ153">
        <f t="shared" si="77"/>
        <v>0</v>
      </c>
      <c r="CR153">
        <f t="shared" si="98"/>
        <v>0</v>
      </c>
      <c r="CS153">
        <f t="shared" si="78"/>
        <v>0</v>
      </c>
      <c r="CT153">
        <f t="shared" si="79"/>
        <v>1358.48</v>
      </c>
      <c r="CU153">
        <f t="shared" si="80"/>
        <v>0</v>
      </c>
      <c r="CV153">
        <f t="shared" si="81"/>
        <v>2.2000000000000002</v>
      </c>
      <c r="CW153">
        <f t="shared" si="82"/>
        <v>0</v>
      </c>
      <c r="CX153">
        <f t="shared" si="82"/>
        <v>0</v>
      </c>
      <c r="CY153">
        <f t="shared" si="83"/>
        <v>285.27800000000002</v>
      </c>
      <c r="CZ153">
        <f t="shared" si="84"/>
        <v>40.753999999999998</v>
      </c>
      <c r="DC153" t="s">
        <v>3</v>
      </c>
      <c r="DD153" t="s">
        <v>106</v>
      </c>
      <c r="DE153" t="s">
        <v>106</v>
      </c>
      <c r="DF153" t="s">
        <v>106</v>
      </c>
      <c r="DG153" t="s">
        <v>106</v>
      </c>
      <c r="DH153" t="s">
        <v>3</v>
      </c>
      <c r="DI153" t="s">
        <v>106</v>
      </c>
      <c r="DJ153" t="s">
        <v>106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16987630</v>
      </c>
      <c r="DV153" t="s">
        <v>94</v>
      </c>
      <c r="DW153" t="s">
        <v>94</v>
      </c>
      <c r="DX153">
        <v>10</v>
      </c>
      <c r="DZ153" t="s">
        <v>3</v>
      </c>
      <c r="EA153" t="s">
        <v>3</v>
      </c>
      <c r="EB153" t="s">
        <v>3</v>
      </c>
      <c r="EC153" t="s">
        <v>3</v>
      </c>
      <c r="EE153">
        <v>1441815344</v>
      </c>
      <c r="EF153">
        <v>1</v>
      </c>
      <c r="EG153" t="s">
        <v>22</v>
      </c>
      <c r="EH153">
        <v>0</v>
      </c>
      <c r="EI153" t="s">
        <v>3</v>
      </c>
      <c r="EJ153">
        <v>4</v>
      </c>
      <c r="EK153">
        <v>0</v>
      </c>
      <c r="EL153" t="s">
        <v>23</v>
      </c>
      <c r="EM153" t="s">
        <v>24</v>
      </c>
      <c r="EO153" t="s">
        <v>3</v>
      </c>
      <c r="EQ153">
        <v>1024</v>
      </c>
      <c r="ER153">
        <v>339.62</v>
      </c>
      <c r="ES153">
        <v>0</v>
      </c>
      <c r="ET153">
        <v>0</v>
      </c>
      <c r="EU153">
        <v>0</v>
      </c>
      <c r="EV153">
        <v>339.62</v>
      </c>
      <c r="EW153">
        <v>0.55000000000000004</v>
      </c>
      <c r="EX153">
        <v>0</v>
      </c>
      <c r="EY153">
        <v>0</v>
      </c>
      <c r="FQ153">
        <v>0</v>
      </c>
      <c r="FR153">
        <f t="shared" si="85"/>
        <v>0</v>
      </c>
      <c r="FS153">
        <v>0</v>
      </c>
      <c r="FX153">
        <v>70</v>
      </c>
      <c r="FY153">
        <v>10</v>
      </c>
      <c r="GA153" t="s">
        <v>3</v>
      </c>
      <c r="GD153">
        <v>0</v>
      </c>
      <c r="GF153">
        <v>-1011650478</v>
      </c>
      <c r="GG153">
        <v>2</v>
      </c>
      <c r="GH153">
        <v>1</v>
      </c>
      <c r="GI153">
        <v>-2</v>
      </c>
      <c r="GJ153">
        <v>0</v>
      </c>
      <c r="GK153">
        <f>ROUND(R153*(R12)/100,2)</f>
        <v>0</v>
      </c>
      <c r="GL153">
        <f t="shared" si="86"/>
        <v>0</v>
      </c>
      <c r="GM153">
        <f t="shared" si="87"/>
        <v>733.57</v>
      </c>
      <c r="GN153">
        <f t="shared" si="88"/>
        <v>0</v>
      </c>
      <c r="GO153">
        <f t="shared" si="89"/>
        <v>0</v>
      </c>
      <c r="GP153">
        <f t="shared" si="90"/>
        <v>733.57</v>
      </c>
      <c r="GR153">
        <v>0</v>
      </c>
      <c r="GS153">
        <v>3</v>
      </c>
      <c r="GT153">
        <v>0</v>
      </c>
      <c r="GU153" t="s">
        <v>3</v>
      </c>
      <c r="GV153">
        <f t="shared" si="91"/>
        <v>0</v>
      </c>
      <c r="GW153">
        <v>1</v>
      </c>
      <c r="GX153">
        <f t="shared" si="92"/>
        <v>0</v>
      </c>
      <c r="HA153">
        <v>0</v>
      </c>
      <c r="HB153">
        <v>0</v>
      </c>
      <c r="HC153">
        <f t="shared" si="93"/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IK153">
        <v>0</v>
      </c>
    </row>
    <row r="154" spans="1:245" x14ac:dyDescent="0.2">
      <c r="A154">
        <v>17</v>
      </c>
      <c r="B154">
        <v>1</v>
      </c>
      <c r="D154">
        <f>ROW(EtalonRes!A27)</f>
        <v>27</v>
      </c>
      <c r="E154" t="s">
        <v>3</v>
      </c>
      <c r="F154" t="s">
        <v>128</v>
      </c>
      <c r="G154" t="s">
        <v>129</v>
      </c>
      <c r="H154" t="s">
        <v>94</v>
      </c>
      <c r="I154">
        <f>ROUND(31/10,9)</f>
        <v>3.1</v>
      </c>
      <c r="J154">
        <v>0</v>
      </c>
      <c r="K154">
        <f>ROUND(31/10,9)</f>
        <v>3.1</v>
      </c>
      <c r="O154">
        <f t="shared" si="63"/>
        <v>5589.55</v>
      </c>
      <c r="P154">
        <f t="shared" si="64"/>
        <v>0</v>
      </c>
      <c r="Q154">
        <f t="shared" si="65"/>
        <v>0</v>
      </c>
      <c r="R154">
        <f t="shared" si="66"/>
        <v>0</v>
      </c>
      <c r="S154">
        <f t="shared" si="67"/>
        <v>5589.55</v>
      </c>
      <c r="T154">
        <f t="shared" si="68"/>
        <v>0</v>
      </c>
      <c r="U154">
        <f t="shared" si="69"/>
        <v>9.0519999999999996</v>
      </c>
      <c r="V154">
        <f t="shared" si="70"/>
        <v>0</v>
      </c>
      <c r="W154">
        <f t="shared" si="71"/>
        <v>0</v>
      </c>
      <c r="X154">
        <f t="shared" si="72"/>
        <v>3912.69</v>
      </c>
      <c r="Y154">
        <f t="shared" si="72"/>
        <v>558.96</v>
      </c>
      <c r="AA154">
        <v>-1</v>
      </c>
      <c r="AB154">
        <f t="shared" si="73"/>
        <v>1803.08</v>
      </c>
      <c r="AC154">
        <f t="shared" si="94"/>
        <v>0</v>
      </c>
      <c r="AD154">
        <f t="shared" si="95"/>
        <v>0</v>
      </c>
      <c r="AE154">
        <f t="shared" si="96"/>
        <v>0</v>
      </c>
      <c r="AF154">
        <f t="shared" si="96"/>
        <v>1803.08</v>
      </c>
      <c r="AG154">
        <f t="shared" si="74"/>
        <v>0</v>
      </c>
      <c r="AH154">
        <f t="shared" si="97"/>
        <v>2.92</v>
      </c>
      <c r="AI154">
        <f t="shared" si="97"/>
        <v>0</v>
      </c>
      <c r="AJ154">
        <f t="shared" si="75"/>
        <v>0</v>
      </c>
      <c r="AK154">
        <v>450.77</v>
      </c>
      <c r="AL154">
        <v>0</v>
      </c>
      <c r="AM154">
        <v>0</v>
      </c>
      <c r="AN154">
        <v>0</v>
      </c>
      <c r="AO154">
        <v>450.77</v>
      </c>
      <c r="AP154">
        <v>0</v>
      </c>
      <c r="AQ154">
        <v>0.73</v>
      </c>
      <c r="AR154">
        <v>0</v>
      </c>
      <c r="AS154">
        <v>0</v>
      </c>
      <c r="AT154">
        <v>70</v>
      </c>
      <c r="AU154">
        <v>10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0</v>
      </c>
      <c r="BI154">
        <v>4</v>
      </c>
      <c r="BJ154" t="s">
        <v>130</v>
      </c>
      <c r="BM154">
        <v>0</v>
      </c>
      <c r="BN154">
        <v>0</v>
      </c>
      <c r="BO154" t="s">
        <v>3</v>
      </c>
      <c r="BP154">
        <v>0</v>
      </c>
      <c r="BQ154">
        <v>1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70</v>
      </c>
      <c r="CA154">
        <v>10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76"/>
        <v>5589.55</v>
      </c>
      <c r="CQ154">
        <f t="shared" si="77"/>
        <v>0</v>
      </c>
      <c r="CR154">
        <f t="shared" si="98"/>
        <v>0</v>
      </c>
      <c r="CS154">
        <f t="shared" si="78"/>
        <v>0</v>
      </c>
      <c r="CT154">
        <f t="shared" si="79"/>
        <v>1803.08</v>
      </c>
      <c r="CU154">
        <f t="shared" si="80"/>
        <v>0</v>
      </c>
      <c r="CV154">
        <f t="shared" si="81"/>
        <v>2.92</v>
      </c>
      <c r="CW154">
        <f t="shared" si="82"/>
        <v>0</v>
      </c>
      <c r="CX154">
        <f t="shared" si="82"/>
        <v>0</v>
      </c>
      <c r="CY154">
        <f t="shared" si="83"/>
        <v>3912.6849999999999</v>
      </c>
      <c r="CZ154">
        <f t="shared" si="84"/>
        <v>558.95500000000004</v>
      </c>
      <c r="DC154" t="s">
        <v>3</v>
      </c>
      <c r="DD154" t="s">
        <v>106</v>
      </c>
      <c r="DE154" t="s">
        <v>106</v>
      </c>
      <c r="DF154" t="s">
        <v>106</v>
      </c>
      <c r="DG154" t="s">
        <v>106</v>
      </c>
      <c r="DH154" t="s">
        <v>3</v>
      </c>
      <c r="DI154" t="s">
        <v>106</v>
      </c>
      <c r="DJ154" t="s">
        <v>106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16987630</v>
      </c>
      <c r="DV154" t="s">
        <v>94</v>
      </c>
      <c r="DW154" t="s">
        <v>94</v>
      </c>
      <c r="DX154">
        <v>10</v>
      </c>
      <c r="DZ154" t="s">
        <v>3</v>
      </c>
      <c r="EA154" t="s">
        <v>3</v>
      </c>
      <c r="EB154" t="s">
        <v>3</v>
      </c>
      <c r="EC154" t="s">
        <v>3</v>
      </c>
      <c r="EE154">
        <v>1441815344</v>
      </c>
      <c r="EF154">
        <v>1</v>
      </c>
      <c r="EG154" t="s">
        <v>22</v>
      </c>
      <c r="EH154">
        <v>0</v>
      </c>
      <c r="EI154" t="s">
        <v>3</v>
      </c>
      <c r="EJ154">
        <v>4</v>
      </c>
      <c r="EK154">
        <v>0</v>
      </c>
      <c r="EL154" t="s">
        <v>23</v>
      </c>
      <c r="EM154" t="s">
        <v>24</v>
      </c>
      <c r="EO154" t="s">
        <v>3</v>
      </c>
      <c r="EQ154">
        <v>1024</v>
      </c>
      <c r="ER154">
        <v>450.77</v>
      </c>
      <c r="ES154">
        <v>0</v>
      </c>
      <c r="ET154">
        <v>0</v>
      </c>
      <c r="EU154">
        <v>0</v>
      </c>
      <c r="EV154">
        <v>450.77</v>
      </c>
      <c r="EW154">
        <v>0.73</v>
      </c>
      <c r="EX154">
        <v>0</v>
      </c>
      <c r="EY154">
        <v>0</v>
      </c>
      <c r="FQ154">
        <v>0</v>
      </c>
      <c r="FR154">
        <f t="shared" si="85"/>
        <v>0</v>
      </c>
      <c r="FS154">
        <v>0</v>
      </c>
      <c r="FX154">
        <v>70</v>
      </c>
      <c r="FY154">
        <v>10</v>
      </c>
      <c r="GA154" t="s">
        <v>3</v>
      </c>
      <c r="GD154">
        <v>0</v>
      </c>
      <c r="GF154">
        <v>-350537421</v>
      </c>
      <c r="GG154">
        <v>2</v>
      </c>
      <c r="GH154">
        <v>1</v>
      </c>
      <c r="GI154">
        <v>-2</v>
      </c>
      <c r="GJ154">
        <v>0</v>
      </c>
      <c r="GK154">
        <f>ROUND(R154*(R12)/100,2)</f>
        <v>0</v>
      </c>
      <c r="GL154">
        <f t="shared" si="86"/>
        <v>0</v>
      </c>
      <c r="GM154">
        <f t="shared" si="87"/>
        <v>10061.200000000001</v>
      </c>
      <c r="GN154">
        <f t="shared" si="88"/>
        <v>0</v>
      </c>
      <c r="GO154">
        <f t="shared" si="89"/>
        <v>0</v>
      </c>
      <c r="GP154">
        <f t="shared" si="90"/>
        <v>10061.200000000001</v>
      </c>
      <c r="GR154">
        <v>0</v>
      </c>
      <c r="GS154">
        <v>3</v>
      </c>
      <c r="GT154">
        <v>0</v>
      </c>
      <c r="GU154" t="s">
        <v>3</v>
      </c>
      <c r="GV154">
        <f t="shared" si="91"/>
        <v>0</v>
      </c>
      <c r="GW154">
        <v>1</v>
      </c>
      <c r="GX154">
        <f t="shared" si="92"/>
        <v>0</v>
      </c>
      <c r="HA154">
        <v>0</v>
      </c>
      <c r="HB154">
        <v>0</v>
      </c>
      <c r="HC154">
        <f t="shared" si="93"/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">
      <c r="A155">
        <v>17</v>
      </c>
      <c r="B155">
        <v>1</v>
      </c>
      <c r="D155">
        <f>ROW(EtalonRes!A28)</f>
        <v>28</v>
      </c>
      <c r="E155" t="s">
        <v>3</v>
      </c>
      <c r="F155" t="s">
        <v>128</v>
      </c>
      <c r="G155" t="s">
        <v>131</v>
      </c>
      <c r="H155" t="s">
        <v>94</v>
      </c>
      <c r="I155">
        <f>ROUND(14/10,9)</f>
        <v>1.4</v>
      </c>
      <c r="J155">
        <v>0</v>
      </c>
      <c r="K155">
        <f>ROUND(14/10,9)</f>
        <v>1.4</v>
      </c>
      <c r="O155">
        <f t="shared" si="63"/>
        <v>2524.31</v>
      </c>
      <c r="P155">
        <f t="shared" si="64"/>
        <v>0</v>
      </c>
      <c r="Q155">
        <f t="shared" si="65"/>
        <v>0</v>
      </c>
      <c r="R155">
        <f t="shared" si="66"/>
        <v>0</v>
      </c>
      <c r="S155">
        <f t="shared" si="67"/>
        <v>2524.31</v>
      </c>
      <c r="T155">
        <f t="shared" si="68"/>
        <v>0</v>
      </c>
      <c r="U155">
        <f t="shared" si="69"/>
        <v>4.0880000000000001</v>
      </c>
      <c r="V155">
        <f t="shared" si="70"/>
        <v>0</v>
      </c>
      <c r="W155">
        <f t="shared" si="71"/>
        <v>0</v>
      </c>
      <c r="X155">
        <f t="shared" si="72"/>
        <v>1767.02</v>
      </c>
      <c r="Y155">
        <f t="shared" si="72"/>
        <v>252.43</v>
      </c>
      <c r="AA155">
        <v>-1</v>
      </c>
      <c r="AB155">
        <f t="shared" si="73"/>
        <v>1803.08</v>
      </c>
      <c r="AC155">
        <f t="shared" si="94"/>
        <v>0</v>
      </c>
      <c r="AD155">
        <f t="shared" si="95"/>
        <v>0</v>
      </c>
      <c r="AE155">
        <f t="shared" si="96"/>
        <v>0</v>
      </c>
      <c r="AF155">
        <f t="shared" si="96"/>
        <v>1803.08</v>
      </c>
      <c r="AG155">
        <f t="shared" si="74"/>
        <v>0</v>
      </c>
      <c r="AH155">
        <f t="shared" si="97"/>
        <v>2.92</v>
      </c>
      <c r="AI155">
        <f t="shared" si="97"/>
        <v>0</v>
      </c>
      <c r="AJ155">
        <f t="shared" si="75"/>
        <v>0</v>
      </c>
      <c r="AK155">
        <v>450.77</v>
      </c>
      <c r="AL155">
        <v>0</v>
      </c>
      <c r="AM155">
        <v>0</v>
      </c>
      <c r="AN155">
        <v>0</v>
      </c>
      <c r="AO155">
        <v>450.77</v>
      </c>
      <c r="AP155">
        <v>0</v>
      </c>
      <c r="AQ155">
        <v>0.73</v>
      </c>
      <c r="AR155">
        <v>0</v>
      </c>
      <c r="AS155">
        <v>0</v>
      </c>
      <c r="AT155">
        <v>70</v>
      </c>
      <c r="AU155">
        <v>10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0</v>
      </c>
      <c r="BI155">
        <v>4</v>
      </c>
      <c r="BJ155" t="s">
        <v>130</v>
      </c>
      <c r="BM155">
        <v>0</v>
      </c>
      <c r="BN155">
        <v>0</v>
      </c>
      <c r="BO155" t="s">
        <v>3</v>
      </c>
      <c r="BP155">
        <v>0</v>
      </c>
      <c r="BQ155">
        <v>1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70</v>
      </c>
      <c r="CA155">
        <v>10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76"/>
        <v>2524.31</v>
      </c>
      <c r="CQ155">
        <f t="shared" si="77"/>
        <v>0</v>
      </c>
      <c r="CR155">
        <f t="shared" si="98"/>
        <v>0</v>
      </c>
      <c r="CS155">
        <f t="shared" si="78"/>
        <v>0</v>
      </c>
      <c r="CT155">
        <f t="shared" si="79"/>
        <v>1803.08</v>
      </c>
      <c r="CU155">
        <f t="shared" si="80"/>
        <v>0</v>
      </c>
      <c r="CV155">
        <f t="shared" si="81"/>
        <v>2.92</v>
      </c>
      <c r="CW155">
        <f t="shared" si="82"/>
        <v>0</v>
      </c>
      <c r="CX155">
        <f t="shared" si="82"/>
        <v>0</v>
      </c>
      <c r="CY155">
        <f t="shared" si="83"/>
        <v>1767.0169999999998</v>
      </c>
      <c r="CZ155">
        <f t="shared" si="84"/>
        <v>252.43099999999998</v>
      </c>
      <c r="DC155" t="s">
        <v>3</v>
      </c>
      <c r="DD155" t="s">
        <v>106</v>
      </c>
      <c r="DE155" t="s">
        <v>106</v>
      </c>
      <c r="DF155" t="s">
        <v>106</v>
      </c>
      <c r="DG155" t="s">
        <v>106</v>
      </c>
      <c r="DH155" t="s">
        <v>3</v>
      </c>
      <c r="DI155" t="s">
        <v>106</v>
      </c>
      <c r="DJ155" t="s">
        <v>106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16987630</v>
      </c>
      <c r="DV155" t="s">
        <v>94</v>
      </c>
      <c r="DW155" t="s">
        <v>94</v>
      </c>
      <c r="DX155">
        <v>10</v>
      </c>
      <c r="DZ155" t="s">
        <v>3</v>
      </c>
      <c r="EA155" t="s">
        <v>3</v>
      </c>
      <c r="EB155" t="s">
        <v>3</v>
      </c>
      <c r="EC155" t="s">
        <v>3</v>
      </c>
      <c r="EE155">
        <v>1441815344</v>
      </c>
      <c r="EF155">
        <v>1</v>
      </c>
      <c r="EG155" t="s">
        <v>22</v>
      </c>
      <c r="EH155">
        <v>0</v>
      </c>
      <c r="EI155" t="s">
        <v>3</v>
      </c>
      <c r="EJ155">
        <v>4</v>
      </c>
      <c r="EK155">
        <v>0</v>
      </c>
      <c r="EL155" t="s">
        <v>23</v>
      </c>
      <c r="EM155" t="s">
        <v>24</v>
      </c>
      <c r="EO155" t="s">
        <v>3</v>
      </c>
      <c r="EQ155">
        <v>1024</v>
      </c>
      <c r="ER155">
        <v>450.77</v>
      </c>
      <c r="ES155">
        <v>0</v>
      </c>
      <c r="ET155">
        <v>0</v>
      </c>
      <c r="EU155">
        <v>0</v>
      </c>
      <c r="EV155">
        <v>450.77</v>
      </c>
      <c r="EW155">
        <v>0.73</v>
      </c>
      <c r="EX155">
        <v>0</v>
      </c>
      <c r="EY155">
        <v>0</v>
      </c>
      <c r="FQ155">
        <v>0</v>
      </c>
      <c r="FR155">
        <f t="shared" si="85"/>
        <v>0</v>
      </c>
      <c r="FS155">
        <v>0</v>
      </c>
      <c r="FX155">
        <v>70</v>
      </c>
      <c r="FY155">
        <v>10</v>
      </c>
      <c r="GA155" t="s">
        <v>3</v>
      </c>
      <c r="GD155">
        <v>0</v>
      </c>
      <c r="GF155">
        <v>-663203766</v>
      </c>
      <c r="GG155">
        <v>2</v>
      </c>
      <c r="GH155">
        <v>1</v>
      </c>
      <c r="GI155">
        <v>-2</v>
      </c>
      <c r="GJ155">
        <v>0</v>
      </c>
      <c r="GK155">
        <f>ROUND(R155*(R12)/100,2)</f>
        <v>0</v>
      </c>
      <c r="GL155">
        <f t="shared" si="86"/>
        <v>0</v>
      </c>
      <c r="GM155">
        <f t="shared" si="87"/>
        <v>4543.76</v>
      </c>
      <c r="GN155">
        <f t="shared" si="88"/>
        <v>0</v>
      </c>
      <c r="GO155">
        <f t="shared" si="89"/>
        <v>0</v>
      </c>
      <c r="GP155">
        <f t="shared" si="90"/>
        <v>4543.76</v>
      </c>
      <c r="GR155">
        <v>0</v>
      </c>
      <c r="GS155">
        <v>3</v>
      </c>
      <c r="GT155">
        <v>0</v>
      </c>
      <c r="GU155" t="s">
        <v>3</v>
      </c>
      <c r="GV155">
        <f t="shared" si="91"/>
        <v>0</v>
      </c>
      <c r="GW155">
        <v>1</v>
      </c>
      <c r="GX155">
        <f t="shared" si="92"/>
        <v>0</v>
      </c>
      <c r="HA155">
        <v>0</v>
      </c>
      <c r="HB155">
        <v>0</v>
      </c>
      <c r="HC155">
        <f t="shared" si="93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7" spans="1:245" x14ac:dyDescent="0.2">
      <c r="A157" s="2">
        <v>51</v>
      </c>
      <c r="B157" s="2">
        <f>B145</f>
        <v>1</v>
      </c>
      <c r="C157" s="2">
        <f>A145</f>
        <v>5</v>
      </c>
      <c r="D157" s="2">
        <f>ROW(A145)</f>
        <v>145</v>
      </c>
      <c r="E157" s="2"/>
      <c r="F157" s="2" t="str">
        <f>IF(F145&lt;&gt;"",F145,"")</f>
        <v>Новый подраздел</v>
      </c>
      <c r="G157" s="2" t="str">
        <f>IF(G145&lt;&gt;"",G145,"")</f>
        <v>Хозяйственно-бытовая канализация К1</v>
      </c>
      <c r="H157" s="2">
        <v>0</v>
      </c>
      <c r="I157" s="2"/>
      <c r="J157" s="2"/>
      <c r="K157" s="2"/>
      <c r="L157" s="2"/>
      <c r="M157" s="2"/>
      <c r="N157" s="2"/>
      <c r="O157" s="2">
        <f t="shared" ref="O157:T157" si="99">ROUND(AB157,2)</f>
        <v>0</v>
      </c>
      <c r="P157" s="2">
        <f t="shared" si="99"/>
        <v>0</v>
      </c>
      <c r="Q157" s="2">
        <f t="shared" si="99"/>
        <v>0</v>
      </c>
      <c r="R157" s="2">
        <f t="shared" si="99"/>
        <v>0</v>
      </c>
      <c r="S157" s="2">
        <f t="shared" si="99"/>
        <v>0</v>
      </c>
      <c r="T157" s="2">
        <f t="shared" si="99"/>
        <v>0</v>
      </c>
      <c r="U157" s="2">
        <f>AH157</f>
        <v>0</v>
      </c>
      <c r="V157" s="2">
        <f>AI157</f>
        <v>0</v>
      </c>
      <c r="W157" s="2">
        <f>ROUND(AJ157,2)</f>
        <v>0</v>
      </c>
      <c r="X157" s="2">
        <f>ROUND(AK157,2)</f>
        <v>0</v>
      </c>
      <c r="Y157" s="2">
        <f>ROUND(AL157,2)</f>
        <v>0</v>
      </c>
      <c r="Z157" s="2"/>
      <c r="AA157" s="2"/>
      <c r="AB157" s="2">
        <f>ROUND(SUMIF(AA149:AA155,"=1472506909",O149:O155),2)</f>
        <v>0</v>
      </c>
      <c r="AC157" s="2">
        <f>ROUND(SUMIF(AA149:AA155,"=1472506909",P149:P155),2)</f>
        <v>0</v>
      </c>
      <c r="AD157" s="2">
        <f>ROUND(SUMIF(AA149:AA155,"=1472506909",Q149:Q155),2)</f>
        <v>0</v>
      </c>
      <c r="AE157" s="2">
        <f>ROUND(SUMIF(AA149:AA155,"=1472506909",R149:R155),2)</f>
        <v>0</v>
      </c>
      <c r="AF157" s="2">
        <f>ROUND(SUMIF(AA149:AA155,"=1472506909",S149:S155),2)</f>
        <v>0</v>
      </c>
      <c r="AG157" s="2">
        <f>ROUND(SUMIF(AA149:AA155,"=1472506909",T149:T155),2)</f>
        <v>0</v>
      </c>
      <c r="AH157" s="2">
        <f>SUMIF(AA149:AA155,"=1472506909",U149:U155)</f>
        <v>0</v>
      </c>
      <c r="AI157" s="2">
        <f>SUMIF(AA149:AA155,"=1472506909",V149:V155)</f>
        <v>0</v>
      </c>
      <c r="AJ157" s="2">
        <f>ROUND(SUMIF(AA149:AA155,"=1472506909",W149:W155),2)</f>
        <v>0</v>
      </c>
      <c r="AK157" s="2">
        <f>ROUND(SUMIF(AA149:AA155,"=1472506909",X149:X155),2)</f>
        <v>0</v>
      </c>
      <c r="AL157" s="2">
        <f>ROUND(SUMIF(AA149:AA155,"=1472506909",Y149:Y155),2)</f>
        <v>0</v>
      </c>
      <c r="AM157" s="2"/>
      <c r="AN157" s="2"/>
      <c r="AO157" s="2">
        <f t="shared" ref="AO157:BD157" si="100">ROUND(BX157,2)</f>
        <v>0</v>
      </c>
      <c r="AP157" s="2">
        <f t="shared" si="100"/>
        <v>0</v>
      </c>
      <c r="AQ157" s="2">
        <f t="shared" si="100"/>
        <v>0</v>
      </c>
      <c r="AR157" s="2">
        <f t="shared" si="100"/>
        <v>0</v>
      </c>
      <c r="AS157" s="2">
        <f t="shared" si="100"/>
        <v>0</v>
      </c>
      <c r="AT157" s="2">
        <f t="shared" si="100"/>
        <v>0</v>
      </c>
      <c r="AU157" s="2">
        <f t="shared" si="100"/>
        <v>0</v>
      </c>
      <c r="AV157" s="2">
        <f t="shared" si="100"/>
        <v>0</v>
      </c>
      <c r="AW157" s="2">
        <f t="shared" si="100"/>
        <v>0</v>
      </c>
      <c r="AX157" s="2">
        <f t="shared" si="100"/>
        <v>0</v>
      </c>
      <c r="AY157" s="2">
        <f t="shared" si="100"/>
        <v>0</v>
      </c>
      <c r="AZ157" s="2">
        <f t="shared" si="100"/>
        <v>0</v>
      </c>
      <c r="BA157" s="2">
        <f t="shared" si="100"/>
        <v>0</v>
      </c>
      <c r="BB157" s="2">
        <f t="shared" si="100"/>
        <v>0</v>
      </c>
      <c r="BC157" s="2">
        <f t="shared" si="100"/>
        <v>0</v>
      </c>
      <c r="BD157" s="2">
        <f t="shared" si="100"/>
        <v>0</v>
      </c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>
        <f>ROUND(SUMIF(AA149:AA155,"=1472506909",FQ149:FQ155),2)</f>
        <v>0</v>
      </c>
      <c r="BY157" s="2">
        <f>ROUND(SUMIF(AA149:AA155,"=1472506909",FR149:FR155),2)</f>
        <v>0</v>
      </c>
      <c r="BZ157" s="2">
        <f>ROUND(SUMIF(AA149:AA155,"=1472506909",GL149:GL155),2)</f>
        <v>0</v>
      </c>
      <c r="CA157" s="2">
        <f>ROUND(SUMIF(AA149:AA155,"=1472506909",GM149:GM155),2)</f>
        <v>0</v>
      </c>
      <c r="CB157" s="2">
        <f>ROUND(SUMIF(AA149:AA155,"=1472506909",GN149:GN155),2)</f>
        <v>0</v>
      </c>
      <c r="CC157" s="2">
        <f>ROUND(SUMIF(AA149:AA155,"=1472506909",GO149:GO155),2)</f>
        <v>0</v>
      </c>
      <c r="CD157" s="2">
        <f>ROUND(SUMIF(AA149:AA155,"=1472506909",GP149:GP155),2)</f>
        <v>0</v>
      </c>
      <c r="CE157" s="2">
        <f>AC157-BX157</f>
        <v>0</v>
      </c>
      <c r="CF157" s="2">
        <f>AC157-BY157</f>
        <v>0</v>
      </c>
      <c r="CG157" s="2">
        <f>BX157-BZ157</f>
        <v>0</v>
      </c>
      <c r="CH157" s="2">
        <f>AC157-BX157-BY157+BZ157</f>
        <v>0</v>
      </c>
      <c r="CI157" s="2">
        <f>BY157-BZ157</f>
        <v>0</v>
      </c>
      <c r="CJ157" s="2">
        <f>ROUND(SUMIF(AA149:AA155,"=1472506909",GX149:GX155),2)</f>
        <v>0</v>
      </c>
      <c r="CK157" s="2">
        <f>ROUND(SUMIF(AA149:AA155,"=1472506909",GY149:GY155),2)</f>
        <v>0</v>
      </c>
      <c r="CL157" s="2">
        <f>ROUND(SUMIF(AA149:AA155,"=1472506909",GZ149:GZ155),2)</f>
        <v>0</v>
      </c>
      <c r="CM157" s="2">
        <f>ROUND(SUMIF(AA149:AA155,"=1472506909",HD149:HD155),2)</f>
        <v>0</v>
      </c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>
        <v>0</v>
      </c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201</v>
      </c>
      <c r="F159" s="4">
        <f>ROUND(Source!O157,O159)</f>
        <v>0</v>
      </c>
      <c r="G159" s="4" t="s">
        <v>36</v>
      </c>
      <c r="H159" s="4" t="s">
        <v>37</v>
      </c>
      <c r="I159" s="4"/>
      <c r="J159" s="4"/>
      <c r="K159" s="4">
        <v>201</v>
      </c>
      <c r="L159" s="4">
        <v>1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202</v>
      </c>
      <c r="F160" s="4">
        <f>ROUND(Source!P157,O160)</f>
        <v>0</v>
      </c>
      <c r="G160" s="4" t="s">
        <v>38</v>
      </c>
      <c r="H160" s="4" t="s">
        <v>39</v>
      </c>
      <c r="I160" s="4"/>
      <c r="J160" s="4"/>
      <c r="K160" s="4">
        <v>202</v>
      </c>
      <c r="L160" s="4">
        <v>2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222</v>
      </c>
      <c r="F161" s="4">
        <f>ROUND(Source!AO157,O161)</f>
        <v>0</v>
      </c>
      <c r="G161" s="4" t="s">
        <v>40</v>
      </c>
      <c r="H161" s="4" t="s">
        <v>41</v>
      </c>
      <c r="I161" s="4"/>
      <c r="J161" s="4"/>
      <c r="K161" s="4">
        <v>222</v>
      </c>
      <c r="L161" s="4">
        <v>3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225</v>
      </c>
      <c r="F162" s="4">
        <f>ROUND(Source!AV157,O162)</f>
        <v>0</v>
      </c>
      <c r="G162" s="4" t="s">
        <v>42</v>
      </c>
      <c r="H162" s="4" t="s">
        <v>43</v>
      </c>
      <c r="I162" s="4"/>
      <c r="J162" s="4"/>
      <c r="K162" s="4">
        <v>225</v>
      </c>
      <c r="L162" s="4">
        <v>4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226</v>
      </c>
      <c r="F163" s="4">
        <f>ROUND(Source!AW157,O163)</f>
        <v>0</v>
      </c>
      <c r="G163" s="4" t="s">
        <v>44</v>
      </c>
      <c r="H163" s="4" t="s">
        <v>45</v>
      </c>
      <c r="I163" s="4"/>
      <c r="J163" s="4"/>
      <c r="K163" s="4">
        <v>226</v>
      </c>
      <c r="L163" s="4">
        <v>5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227</v>
      </c>
      <c r="F164" s="4">
        <f>ROUND(Source!AX157,O164)</f>
        <v>0</v>
      </c>
      <c r="G164" s="4" t="s">
        <v>46</v>
      </c>
      <c r="H164" s="4" t="s">
        <v>47</v>
      </c>
      <c r="I164" s="4"/>
      <c r="J164" s="4"/>
      <c r="K164" s="4">
        <v>227</v>
      </c>
      <c r="L164" s="4">
        <v>6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228</v>
      </c>
      <c r="F165" s="4">
        <f>ROUND(Source!AY157,O165)</f>
        <v>0</v>
      </c>
      <c r="G165" s="4" t="s">
        <v>48</v>
      </c>
      <c r="H165" s="4" t="s">
        <v>49</v>
      </c>
      <c r="I165" s="4"/>
      <c r="J165" s="4"/>
      <c r="K165" s="4">
        <v>228</v>
      </c>
      <c r="L165" s="4">
        <v>7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216</v>
      </c>
      <c r="F166" s="4">
        <f>ROUND(Source!AP157,O166)</f>
        <v>0</v>
      </c>
      <c r="G166" s="4" t="s">
        <v>50</v>
      </c>
      <c r="H166" s="4" t="s">
        <v>51</v>
      </c>
      <c r="I166" s="4"/>
      <c r="J166" s="4"/>
      <c r="K166" s="4">
        <v>216</v>
      </c>
      <c r="L166" s="4">
        <v>8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223</v>
      </c>
      <c r="F167" s="4">
        <f>ROUND(Source!AQ157,O167)</f>
        <v>0</v>
      </c>
      <c r="G167" s="4" t="s">
        <v>52</v>
      </c>
      <c r="H167" s="4" t="s">
        <v>53</v>
      </c>
      <c r="I167" s="4"/>
      <c r="J167" s="4"/>
      <c r="K167" s="4">
        <v>223</v>
      </c>
      <c r="L167" s="4">
        <v>9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229</v>
      </c>
      <c r="F168" s="4">
        <f>ROUND(Source!AZ157,O168)</f>
        <v>0</v>
      </c>
      <c r="G168" s="4" t="s">
        <v>54</v>
      </c>
      <c r="H168" s="4" t="s">
        <v>55</v>
      </c>
      <c r="I168" s="4"/>
      <c r="J168" s="4"/>
      <c r="K168" s="4">
        <v>229</v>
      </c>
      <c r="L168" s="4">
        <v>10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203</v>
      </c>
      <c r="F169" s="4">
        <f>ROUND(Source!Q157,O169)</f>
        <v>0</v>
      </c>
      <c r="G169" s="4" t="s">
        <v>56</v>
      </c>
      <c r="H169" s="4" t="s">
        <v>57</v>
      </c>
      <c r="I169" s="4"/>
      <c r="J169" s="4"/>
      <c r="K169" s="4">
        <v>203</v>
      </c>
      <c r="L169" s="4">
        <v>11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231</v>
      </c>
      <c r="F170" s="4">
        <f>ROUND(Source!BB157,O170)</f>
        <v>0</v>
      </c>
      <c r="G170" s="4" t="s">
        <v>58</v>
      </c>
      <c r="H170" s="4" t="s">
        <v>59</v>
      </c>
      <c r="I170" s="4"/>
      <c r="J170" s="4"/>
      <c r="K170" s="4">
        <v>231</v>
      </c>
      <c r="L170" s="4">
        <v>12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204</v>
      </c>
      <c r="F171" s="4">
        <f>ROUND(Source!R157,O171)</f>
        <v>0</v>
      </c>
      <c r="G171" s="4" t="s">
        <v>60</v>
      </c>
      <c r="H171" s="4" t="s">
        <v>61</v>
      </c>
      <c r="I171" s="4"/>
      <c r="J171" s="4"/>
      <c r="K171" s="4">
        <v>204</v>
      </c>
      <c r="L171" s="4">
        <v>13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205</v>
      </c>
      <c r="F172" s="4">
        <f>ROUND(Source!S157,O172)</f>
        <v>0</v>
      </c>
      <c r="G172" s="4" t="s">
        <v>62</v>
      </c>
      <c r="H172" s="4" t="s">
        <v>63</v>
      </c>
      <c r="I172" s="4"/>
      <c r="J172" s="4"/>
      <c r="K172" s="4">
        <v>205</v>
      </c>
      <c r="L172" s="4">
        <v>14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232</v>
      </c>
      <c r="F173" s="4">
        <f>ROUND(Source!BC157,O173)</f>
        <v>0</v>
      </c>
      <c r="G173" s="4" t="s">
        <v>64</v>
      </c>
      <c r="H173" s="4" t="s">
        <v>65</v>
      </c>
      <c r="I173" s="4"/>
      <c r="J173" s="4"/>
      <c r="K173" s="4">
        <v>232</v>
      </c>
      <c r="L173" s="4">
        <v>15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214</v>
      </c>
      <c r="F174" s="4">
        <f>ROUND(Source!AS157,O174)</f>
        <v>0</v>
      </c>
      <c r="G174" s="4" t="s">
        <v>66</v>
      </c>
      <c r="H174" s="4" t="s">
        <v>67</v>
      </c>
      <c r="I174" s="4"/>
      <c r="J174" s="4"/>
      <c r="K174" s="4">
        <v>214</v>
      </c>
      <c r="L174" s="4">
        <v>16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215</v>
      </c>
      <c r="F175" s="4">
        <f>ROUND(Source!AT157,O175)</f>
        <v>0</v>
      </c>
      <c r="G175" s="4" t="s">
        <v>68</v>
      </c>
      <c r="H175" s="4" t="s">
        <v>69</v>
      </c>
      <c r="I175" s="4"/>
      <c r="J175" s="4"/>
      <c r="K175" s="4">
        <v>215</v>
      </c>
      <c r="L175" s="4">
        <v>17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217</v>
      </c>
      <c r="F176" s="4">
        <f>ROUND(Source!AU157,O176)</f>
        <v>0</v>
      </c>
      <c r="G176" s="4" t="s">
        <v>70</v>
      </c>
      <c r="H176" s="4" t="s">
        <v>71</v>
      </c>
      <c r="I176" s="4"/>
      <c r="J176" s="4"/>
      <c r="K176" s="4">
        <v>217</v>
      </c>
      <c r="L176" s="4">
        <v>18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230</v>
      </c>
      <c r="F177" s="4">
        <f>ROUND(Source!BA157,O177)</f>
        <v>0</v>
      </c>
      <c r="G177" s="4" t="s">
        <v>72</v>
      </c>
      <c r="H177" s="4" t="s">
        <v>73</v>
      </c>
      <c r="I177" s="4"/>
      <c r="J177" s="4"/>
      <c r="K177" s="4">
        <v>230</v>
      </c>
      <c r="L177" s="4">
        <v>19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206</v>
      </c>
      <c r="F178" s="4">
        <f>ROUND(Source!T157,O178)</f>
        <v>0</v>
      </c>
      <c r="G178" s="4" t="s">
        <v>74</v>
      </c>
      <c r="H178" s="4" t="s">
        <v>75</v>
      </c>
      <c r="I178" s="4"/>
      <c r="J178" s="4"/>
      <c r="K178" s="4">
        <v>206</v>
      </c>
      <c r="L178" s="4">
        <v>20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207</v>
      </c>
      <c r="F179" s="4">
        <f>Source!U157</f>
        <v>0</v>
      </c>
      <c r="G179" s="4" t="s">
        <v>76</v>
      </c>
      <c r="H179" s="4" t="s">
        <v>77</v>
      </c>
      <c r="I179" s="4"/>
      <c r="J179" s="4"/>
      <c r="K179" s="4">
        <v>207</v>
      </c>
      <c r="L179" s="4">
        <v>21</v>
      </c>
      <c r="M179" s="4">
        <v>3</v>
      </c>
      <c r="N179" s="4" t="s">
        <v>3</v>
      </c>
      <c r="O179" s="4">
        <v>-1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45" x14ac:dyDescent="0.2">
      <c r="A180" s="4">
        <v>50</v>
      </c>
      <c r="B180" s="4">
        <v>0</v>
      </c>
      <c r="C180" s="4">
        <v>0</v>
      </c>
      <c r="D180" s="4">
        <v>1</v>
      </c>
      <c r="E180" s="4">
        <v>208</v>
      </c>
      <c r="F180" s="4">
        <f>Source!V157</f>
        <v>0</v>
      </c>
      <c r="G180" s="4" t="s">
        <v>78</v>
      </c>
      <c r="H180" s="4" t="s">
        <v>79</v>
      </c>
      <c r="I180" s="4"/>
      <c r="J180" s="4"/>
      <c r="K180" s="4">
        <v>208</v>
      </c>
      <c r="L180" s="4">
        <v>22</v>
      </c>
      <c r="M180" s="4">
        <v>3</v>
      </c>
      <c r="N180" s="4" t="s">
        <v>3</v>
      </c>
      <c r="O180" s="4">
        <v>-1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45" x14ac:dyDescent="0.2">
      <c r="A181" s="4">
        <v>50</v>
      </c>
      <c r="B181" s="4">
        <v>0</v>
      </c>
      <c r="C181" s="4">
        <v>0</v>
      </c>
      <c r="D181" s="4">
        <v>1</v>
      </c>
      <c r="E181" s="4">
        <v>209</v>
      </c>
      <c r="F181" s="4">
        <f>ROUND(Source!W157,O181)</f>
        <v>0</v>
      </c>
      <c r="G181" s="4" t="s">
        <v>80</v>
      </c>
      <c r="H181" s="4" t="s">
        <v>81</v>
      </c>
      <c r="I181" s="4"/>
      <c r="J181" s="4"/>
      <c r="K181" s="4">
        <v>209</v>
      </c>
      <c r="L181" s="4">
        <v>23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45" x14ac:dyDescent="0.2">
      <c r="A182" s="4">
        <v>50</v>
      </c>
      <c r="B182" s="4">
        <v>0</v>
      </c>
      <c r="C182" s="4">
        <v>0</v>
      </c>
      <c r="D182" s="4">
        <v>1</v>
      </c>
      <c r="E182" s="4">
        <v>233</v>
      </c>
      <c r="F182" s="4">
        <f>ROUND(Source!BD157,O182)</f>
        <v>0</v>
      </c>
      <c r="G182" s="4" t="s">
        <v>82</v>
      </c>
      <c r="H182" s="4" t="s">
        <v>83</v>
      </c>
      <c r="I182" s="4"/>
      <c r="J182" s="4"/>
      <c r="K182" s="4">
        <v>233</v>
      </c>
      <c r="L182" s="4">
        <v>24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45" x14ac:dyDescent="0.2">
      <c r="A183" s="4">
        <v>50</v>
      </c>
      <c r="B183" s="4">
        <v>0</v>
      </c>
      <c r="C183" s="4">
        <v>0</v>
      </c>
      <c r="D183" s="4">
        <v>1</v>
      </c>
      <c r="E183" s="4">
        <v>210</v>
      </c>
      <c r="F183" s="4">
        <f>ROUND(Source!X157,O183)</f>
        <v>0</v>
      </c>
      <c r="G183" s="4" t="s">
        <v>84</v>
      </c>
      <c r="H183" s="4" t="s">
        <v>85</v>
      </c>
      <c r="I183" s="4"/>
      <c r="J183" s="4"/>
      <c r="K183" s="4">
        <v>210</v>
      </c>
      <c r="L183" s="4">
        <v>25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45" x14ac:dyDescent="0.2">
      <c r="A184" s="4">
        <v>50</v>
      </c>
      <c r="B184" s="4">
        <v>0</v>
      </c>
      <c r="C184" s="4">
        <v>0</v>
      </c>
      <c r="D184" s="4">
        <v>1</v>
      </c>
      <c r="E184" s="4">
        <v>211</v>
      </c>
      <c r="F184" s="4">
        <f>ROUND(Source!Y157,O184)</f>
        <v>0</v>
      </c>
      <c r="G184" s="4" t="s">
        <v>86</v>
      </c>
      <c r="H184" s="4" t="s">
        <v>87</v>
      </c>
      <c r="I184" s="4"/>
      <c r="J184" s="4"/>
      <c r="K184" s="4">
        <v>211</v>
      </c>
      <c r="L184" s="4">
        <v>26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45" x14ac:dyDescent="0.2">
      <c r="A185" s="4">
        <v>50</v>
      </c>
      <c r="B185" s="4">
        <v>0</v>
      </c>
      <c r="C185" s="4">
        <v>0</v>
      </c>
      <c r="D185" s="4">
        <v>1</v>
      </c>
      <c r="E185" s="4">
        <v>224</v>
      </c>
      <c r="F185" s="4">
        <f>ROUND(Source!AR157,O185)</f>
        <v>0</v>
      </c>
      <c r="G185" s="4" t="s">
        <v>88</v>
      </c>
      <c r="H185" s="4" t="s">
        <v>89</v>
      </c>
      <c r="I185" s="4"/>
      <c r="J185" s="4"/>
      <c r="K185" s="4">
        <v>224</v>
      </c>
      <c r="L185" s="4">
        <v>27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7" spans="1:245" x14ac:dyDescent="0.2">
      <c r="A187" s="1">
        <v>5</v>
      </c>
      <c r="B187" s="1">
        <v>1</v>
      </c>
      <c r="C187" s="1"/>
      <c r="D187" s="1">
        <f>ROW(A200)</f>
        <v>200</v>
      </c>
      <c r="E187" s="1"/>
      <c r="F187" s="1" t="s">
        <v>15</v>
      </c>
      <c r="G187" s="1" t="s">
        <v>132</v>
      </c>
      <c r="H187" s="1" t="s">
        <v>3</v>
      </c>
      <c r="I187" s="1">
        <v>0</v>
      </c>
      <c r="J187" s="1"/>
      <c r="K187" s="1">
        <v>0</v>
      </c>
      <c r="L187" s="1"/>
      <c r="M187" s="1" t="s">
        <v>3</v>
      </c>
      <c r="N187" s="1"/>
      <c r="O187" s="1"/>
      <c r="P187" s="1"/>
      <c r="Q187" s="1"/>
      <c r="R187" s="1"/>
      <c r="S187" s="1">
        <v>0</v>
      </c>
      <c r="T187" s="1"/>
      <c r="U187" s="1" t="s">
        <v>3</v>
      </c>
      <c r="V187" s="1">
        <v>0</v>
      </c>
      <c r="W187" s="1"/>
      <c r="X187" s="1"/>
      <c r="Y187" s="1"/>
      <c r="Z187" s="1"/>
      <c r="AA187" s="1"/>
      <c r="AB187" s="1" t="s">
        <v>3</v>
      </c>
      <c r="AC187" s="1" t="s">
        <v>3</v>
      </c>
      <c r="AD187" s="1" t="s">
        <v>3</v>
      </c>
      <c r="AE187" s="1" t="s">
        <v>3</v>
      </c>
      <c r="AF187" s="1" t="s">
        <v>3</v>
      </c>
      <c r="AG187" s="1" t="s">
        <v>3</v>
      </c>
      <c r="AH187" s="1"/>
      <c r="AI187" s="1"/>
      <c r="AJ187" s="1"/>
      <c r="AK187" s="1"/>
      <c r="AL187" s="1"/>
      <c r="AM187" s="1"/>
      <c r="AN187" s="1"/>
      <c r="AO187" s="1"/>
      <c r="AP187" s="1" t="s">
        <v>3</v>
      </c>
      <c r="AQ187" s="1" t="s">
        <v>3</v>
      </c>
      <c r="AR187" s="1" t="s">
        <v>3</v>
      </c>
      <c r="AS187" s="1"/>
      <c r="AT187" s="1"/>
      <c r="AU187" s="1"/>
      <c r="AV187" s="1"/>
      <c r="AW187" s="1"/>
      <c r="AX187" s="1"/>
      <c r="AY187" s="1"/>
      <c r="AZ187" s="1" t="s">
        <v>3</v>
      </c>
      <c r="BA187" s="1"/>
      <c r="BB187" s="1" t="s">
        <v>3</v>
      </c>
      <c r="BC187" s="1" t="s">
        <v>3</v>
      </c>
      <c r="BD187" s="1" t="s">
        <v>3</v>
      </c>
      <c r="BE187" s="1" t="s">
        <v>3</v>
      </c>
      <c r="BF187" s="1" t="s">
        <v>3</v>
      </c>
      <c r="BG187" s="1" t="s">
        <v>3</v>
      </c>
      <c r="BH187" s="1" t="s">
        <v>3</v>
      </c>
      <c r="BI187" s="1" t="s">
        <v>3</v>
      </c>
      <c r="BJ187" s="1" t="s">
        <v>3</v>
      </c>
      <c r="BK187" s="1" t="s">
        <v>3</v>
      </c>
      <c r="BL187" s="1" t="s">
        <v>3</v>
      </c>
      <c r="BM187" s="1" t="s">
        <v>3</v>
      </c>
      <c r="BN187" s="1" t="s">
        <v>3</v>
      </c>
      <c r="BO187" s="1" t="s">
        <v>3</v>
      </c>
      <c r="BP187" s="1" t="s">
        <v>3</v>
      </c>
      <c r="BQ187" s="1"/>
      <c r="BR187" s="1"/>
      <c r="BS187" s="1"/>
      <c r="BT187" s="1"/>
      <c r="BU187" s="1"/>
      <c r="BV187" s="1"/>
      <c r="BW187" s="1"/>
      <c r="BX187" s="1">
        <v>0</v>
      </c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>
        <v>0</v>
      </c>
    </row>
    <row r="189" spans="1:245" x14ac:dyDescent="0.2">
      <c r="A189" s="2">
        <v>52</v>
      </c>
      <c r="B189" s="2">
        <f t="shared" ref="B189:G189" si="101">B200</f>
        <v>1</v>
      </c>
      <c r="C189" s="2">
        <f t="shared" si="101"/>
        <v>5</v>
      </c>
      <c r="D189" s="2">
        <f t="shared" si="101"/>
        <v>187</v>
      </c>
      <c r="E189" s="2">
        <f t="shared" si="101"/>
        <v>0</v>
      </c>
      <c r="F189" s="2" t="str">
        <f t="shared" si="101"/>
        <v>Новый подраздел</v>
      </c>
      <c r="G189" s="2" t="str">
        <f t="shared" si="101"/>
        <v>Внутренний водосток</v>
      </c>
      <c r="H189" s="2"/>
      <c r="I189" s="2"/>
      <c r="J189" s="2"/>
      <c r="K189" s="2"/>
      <c r="L189" s="2"/>
      <c r="M189" s="2"/>
      <c r="N189" s="2"/>
      <c r="O189" s="2">
        <f t="shared" ref="O189:AT189" si="102">O200</f>
        <v>19486.54</v>
      </c>
      <c r="P189" s="2">
        <f t="shared" si="102"/>
        <v>495.84</v>
      </c>
      <c r="Q189" s="2">
        <f t="shared" si="102"/>
        <v>0</v>
      </c>
      <c r="R189" s="2">
        <f t="shared" si="102"/>
        <v>0</v>
      </c>
      <c r="S189" s="2">
        <f t="shared" si="102"/>
        <v>18990.7</v>
      </c>
      <c r="T189" s="2">
        <f t="shared" si="102"/>
        <v>0</v>
      </c>
      <c r="U189" s="2">
        <f t="shared" si="102"/>
        <v>26.927400000000002</v>
      </c>
      <c r="V189" s="2">
        <f t="shared" si="102"/>
        <v>0</v>
      </c>
      <c r="W189" s="2">
        <f t="shared" si="102"/>
        <v>0</v>
      </c>
      <c r="X189" s="2">
        <f t="shared" si="102"/>
        <v>13293.49</v>
      </c>
      <c r="Y189" s="2">
        <f t="shared" si="102"/>
        <v>1899.07</v>
      </c>
      <c r="Z189" s="2">
        <f t="shared" si="102"/>
        <v>0</v>
      </c>
      <c r="AA189" s="2">
        <f t="shared" si="102"/>
        <v>0</v>
      </c>
      <c r="AB189" s="2">
        <f t="shared" si="102"/>
        <v>19486.54</v>
      </c>
      <c r="AC189" s="2">
        <f t="shared" si="102"/>
        <v>495.84</v>
      </c>
      <c r="AD189" s="2">
        <f t="shared" si="102"/>
        <v>0</v>
      </c>
      <c r="AE189" s="2">
        <f t="shared" si="102"/>
        <v>0</v>
      </c>
      <c r="AF189" s="2">
        <f t="shared" si="102"/>
        <v>18990.7</v>
      </c>
      <c r="AG189" s="2">
        <f t="shared" si="102"/>
        <v>0</v>
      </c>
      <c r="AH189" s="2">
        <f t="shared" si="102"/>
        <v>26.927400000000002</v>
      </c>
      <c r="AI189" s="2">
        <f t="shared" si="102"/>
        <v>0</v>
      </c>
      <c r="AJ189" s="2">
        <f t="shared" si="102"/>
        <v>0</v>
      </c>
      <c r="AK189" s="2">
        <f t="shared" si="102"/>
        <v>13293.49</v>
      </c>
      <c r="AL189" s="2">
        <f t="shared" si="102"/>
        <v>1899.07</v>
      </c>
      <c r="AM189" s="2">
        <f t="shared" si="102"/>
        <v>0</v>
      </c>
      <c r="AN189" s="2">
        <f t="shared" si="102"/>
        <v>0</v>
      </c>
      <c r="AO189" s="2">
        <f t="shared" si="102"/>
        <v>0</v>
      </c>
      <c r="AP189" s="2">
        <f t="shared" si="102"/>
        <v>0</v>
      </c>
      <c r="AQ189" s="2">
        <f t="shared" si="102"/>
        <v>0</v>
      </c>
      <c r="AR189" s="2">
        <f t="shared" si="102"/>
        <v>34679.1</v>
      </c>
      <c r="AS189" s="2">
        <f t="shared" si="102"/>
        <v>0</v>
      </c>
      <c r="AT189" s="2">
        <f t="shared" si="102"/>
        <v>0</v>
      </c>
      <c r="AU189" s="2">
        <f t="shared" ref="AU189:BZ189" si="103">AU200</f>
        <v>34679.1</v>
      </c>
      <c r="AV189" s="2">
        <f t="shared" si="103"/>
        <v>495.84</v>
      </c>
      <c r="AW189" s="2">
        <f t="shared" si="103"/>
        <v>495.84</v>
      </c>
      <c r="AX189" s="2">
        <f t="shared" si="103"/>
        <v>0</v>
      </c>
      <c r="AY189" s="2">
        <f t="shared" si="103"/>
        <v>495.84</v>
      </c>
      <c r="AZ189" s="2">
        <f t="shared" si="103"/>
        <v>0</v>
      </c>
      <c r="BA189" s="2">
        <f t="shared" si="103"/>
        <v>0</v>
      </c>
      <c r="BB189" s="2">
        <f t="shared" si="103"/>
        <v>0</v>
      </c>
      <c r="BC189" s="2">
        <f t="shared" si="103"/>
        <v>0</v>
      </c>
      <c r="BD189" s="2">
        <f t="shared" si="103"/>
        <v>0</v>
      </c>
      <c r="BE189" s="2">
        <f t="shared" si="103"/>
        <v>0</v>
      </c>
      <c r="BF189" s="2">
        <f t="shared" si="103"/>
        <v>0</v>
      </c>
      <c r="BG189" s="2">
        <f t="shared" si="103"/>
        <v>0</v>
      </c>
      <c r="BH189" s="2">
        <f t="shared" si="103"/>
        <v>0</v>
      </c>
      <c r="BI189" s="2">
        <f t="shared" si="103"/>
        <v>0</v>
      </c>
      <c r="BJ189" s="2">
        <f t="shared" si="103"/>
        <v>0</v>
      </c>
      <c r="BK189" s="2">
        <f t="shared" si="103"/>
        <v>0</v>
      </c>
      <c r="BL189" s="2">
        <f t="shared" si="103"/>
        <v>0</v>
      </c>
      <c r="BM189" s="2">
        <f t="shared" si="103"/>
        <v>0</v>
      </c>
      <c r="BN189" s="2">
        <f t="shared" si="103"/>
        <v>0</v>
      </c>
      <c r="BO189" s="2">
        <f t="shared" si="103"/>
        <v>0</v>
      </c>
      <c r="BP189" s="2">
        <f t="shared" si="103"/>
        <v>0</v>
      </c>
      <c r="BQ189" s="2">
        <f t="shared" si="103"/>
        <v>0</v>
      </c>
      <c r="BR189" s="2">
        <f t="shared" si="103"/>
        <v>0</v>
      </c>
      <c r="BS189" s="2">
        <f t="shared" si="103"/>
        <v>0</v>
      </c>
      <c r="BT189" s="2">
        <f t="shared" si="103"/>
        <v>0</v>
      </c>
      <c r="BU189" s="2">
        <f t="shared" si="103"/>
        <v>0</v>
      </c>
      <c r="BV189" s="2">
        <f t="shared" si="103"/>
        <v>0</v>
      </c>
      <c r="BW189" s="2">
        <f t="shared" si="103"/>
        <v>0</v>
      </c>
      <c r="BX189" s="2">
        <f t="shared" si="103"/>
        <v>0</v>
      </c>
      <c r="BY189" s="2">
        <f t="shared" si="103"/>
        <v>0</v>
      </c>
      <c r="BZ189" s="2">
        <f t="shared" si="103"/>
        <v>0</v>
      </c>
      <c r="CA189" s="2">
        <f t="shared" ref="CA189:DF189" si="104">CA200</f>
        <v>34679.1</v>
      </c>
      <c r="CB189" s="2">
        <f t="shared" si="104"/>
        <v>0</v>
      </c>
      <c r="CC189" s="2">
        <f t="shared" si="104"/>
        <v>0</v>
      </c>
      <c r="CD189" s="2">
        <f t="shared" si="104"/>
        <v>34679.1</v>
      </c>
      <c r="CE189" s="2">
        <f t="shared" si="104"/>
        <v>495.84</v>
      </c>
      <c r="CF189" s="2">
        <f t="shared" si="104"/>
        <v>495.84</v>
      </c>
      <c r="CG189" s="2">
        <f t="shared" si="104"/>
        <v>0</v>
      </c>
      <c r="CH189" s="2">
        <f t="shared" si="104"/>
        <v>495.84</v>
      </c>
      <c r="CI189" s="2">
        <f t="shared" si="104"/>
        <v>0</v>
      </c>
      <c r="CJ189" s="2">
        <f t="shared" si="104"/>
        <v>0</v>
      </c>
      <c r="CK189" s="2">
        <f t="shared" si="104"/>
        <v>0</v>
      </c>
      <c r="CL189" s="2">
        <f t="shared" si="104"/>
        <v>0</v>
      </c>
      <c r="CM189" s="2">
        <f t="shared" si="104"/>
        <v>0</v>
      </c>
      <c r="CN189" s="2">
        <f t="shared" si="104"/>
        <v>0</v>
      </c>
      <c r="CO189" s="2">
        <f t="shared" si="104"/>
        <v>0</v>
      </c>
      <c r="CP189" s="2">
        <f t="shared" si="104"/>
        <v>0</v>
      </c>
      <c r="CQ189" s="2">
        <f t="shared" si="104"/>
        <v>0</v>
      </c>
      <c r="CR189" s="2">
        <f t="shared" si="104"/>
        <v>0</v>
      </c>
      <c r="CS189" s="2">
        <f t="shared" si="104"/>
        <v>0</v>
      </c>
      <c r="CT189" s="2">
        <f t="shared" si="104"/>
        <v>0</v>
      </c>
      <c r="CU189" s="2">
        <f t="shared" si="104"/>
        <v>0</v>
      </c>
      <c r="CV189" s="2">
        <f t="shared" si="104"/>
        <v>0</v>
      </c>
      <c r="CW189" s="2">
        <f t="shared" si="104"/>
        <v>0</v>
      </c>
      <c r="CX189" s="2">
        <f t="shared" si="104"/>
        <v>0</v>
      </c>
      <c r="CY189" s="2">
        <f t="shared" si="104"/>
        <v>0</v>
      </c>
      <c r="CZ189" s="2">
        <f t="shared" si="104"/>
        <v>0</v>
      </c>
      <c r="DA189" s="2">
        <f t="shared" si="104"/>
        <v>0</v>
      </c>
      <c r="DB189" s="2">
        <f t="shared" si="104"/>
        <v>0</v>
      </c>
      <c r="DC189" s="2">
        <f t="shared" si="104"/>
        <v>0</v>
      </c>
      <c r="DD189" s="2">
        <f t="shared" si="104"/>
        <v>0</v>
      </c>
      <c r="DE189" s="2">
        <f t="shared" si="104"/>
        <v>0</v>
      </c>
      <c r="DF189" s="2">
        <f t="shared" si="104"/>
        <v>0</v>
      </c>
      <c r="DG189" s="3">
        <f t="shared" ref="DG189:EL189" si="105">DG200</f>
        <v>0</v>
      </c>
      <c r="DH189" s="3">
        <f t="shared" si="105"/>
        <v>0</v>
      </c>
      <c r="DI189" s="3">
        <f t="shared" si="105"/>
        <v>0</v>
      </c>
      <c r="DJ189" s="3">
        <f t="shared" si="105"/>
        <v>0</v>
      </c>
      <c r="DK189" s="3">
        <f t="shared" si="105"/>
        <v>0</v>
      </c>
      <c r="DL189" s="3">
        <f t="shared" si="105"/>
        <v>0</v>
      </c>
      <c r="DM189" s="3">
        <f t="shared" si="105"/>
        <v>0</v>
      </c>
      <c r="DN189" s="3">
        <f t="shared" si="105"/>
        <v>0</v>
      </c>
      <c r="DO189" s="3">
        <f t="shared" si="105"/>
        <v>0</v>
      </c>
      <c r="DP189" s="3">
        <f t="shared" si="105"/>
        <v>0</v>
      </c>
      <c r="DQ189" s="3">
        <f t="shared" si="105"/>
        <v>0</v>
      </c>
      <c r="DR189" s="3">
        <f t="shared" si="105"/>
        <v>0</v>
      </c>
      <c r="DS189" s="3">
        <f t="shared" si="105"/>
        <v>0</v>
      </c>
      <c r="DT189" s="3">
        <f t="shared" si="105"/>
        <v>0</v>
      </c>
      <c r="DU189" s="3">
        <f t="shared" si="105"/>
        <v>0</v>
      </c>
      <c r="DV189" s="3">
        <f t="shared" si="105"/>
        <v>0</v>
      </c>
      <c r="DW189" s="3">
        <f t="shared" si="105"/>
        <v>0</v>
      </c>
      <c r="DX189" s="3">
        <f t="shared" si="105"/>
        <v>0</v>
      </c>
      <c r="DY189" s="3">
        <f t="shared" si="105"/>
        <v>0</v>
      </c>
      <c r="DZ189" s="3">
        <f t="shared" si="105"/>
        <v>0</v>
      </c>
      <c r="EA189" s="3">
        <f t="shared" si="105"/>
        <v>0</v>
      </c>
      <c r="EB189" s="3">
        <f t="shared" si="105"/>
        <v>0</v>
      </c>
      <c r="EC189" s="3">
        <f t="shared" si="105"/>
        <v>0</v>
      </c>
      <c r="ED189" s="3">
        <f t="shared" si="105"/>
        <v>0</v>
      </c>
      <c r="EE189" s="3">
        <f t="shared" si="105"/>
        <v>0</v>
      </c>
      <c r="EF189" s="3">
        <f t="shared" si="105"/>
        <v>0</v>
      </c>
      <c r="EG189" s="3">
        <f t="shared" si="105"/>
        <v>0</v>
      </c>
      <c r="EH189" s="3">
        <f t="shared" si="105"/>
        <v>0</v>
      </c>
      <c r="EI189" s="3">
        <f t="shared" si="105"/>
        <v>0</v>
      </c>
      <c r="EJ189" s="3">
        <f t="shared" si="105"/>
        <v>0</v>
      </c>
      <c r="EK189" s="3">
        <f t="shared" si="105"/>
        <v>0</v>
      </c>
      <c r="EL189" s="3">
        <f t="shared" si="105"/>
        <v>0</v>
      </c>
      <c r="EM189" s="3">
        <f t="shared" ref="EM189:FR189" si="106">EM200</f>
        <v>0</v>
      </c>
      <c r="EN189" s="3">
        <f t="shared" si="106"/>
        <v>0</v>
      </c>
      <c r="EO189" s="3">
        <f t="shared" si="106"/>
        <v>0</v>
      </c>
      <c r="EP189" s="3">
        <f t="shared" si="106"/>
        <v>0</v>
      </c>
      <c r="EQ189" s="3">
        <f t="shared" si="106"/>
        <v>0</v>
      </c>
      <c r="ER189" s="3">
        <f t="shared" si="106"/>
        <v>0</v>
      </c>
      <c r="ES189" s="3">
        <f t="shared" si="106"/>
        <v>0</v>
      </c>
      <c r="ET189" s="3">
        <f t="shared" si="106"/>
        <v>0</v>
      </c>
      <c r="EU189" s="3">
        <f t="shared" si="106"/>
        <v>0</v>
      </c>
      <c r="EV189" s="3">
        <f t="shared" si="106"/>
        <v>0</v>
      </c>
      <c r="EW189" s="3">
        <f t="shared" si="106"/>
        <v>0</v>
      </c>
      <c r="EX189" s="3">
        <f t="shared" si="106"/>
        <v>0</v>
      </c>
      <c r="EY189" s="3">
        <f t="shared" si="106"/>
        <v>0</v>
      </c>
      <c r="EZ189" s="3">
        <f t="shared" si="106"/>
        <v>0</v>
      </c>
      <c r="FA189" s="3">
        <f t="shared" si="106"/>
        <v>0</v>
      </c>
      <c r="FB189" s="3">
        <f t="shared" si="106"/>
        <v>0</v>
      </c>
      <c r="FC189" s="3">
        <f t="shared" si="106"/>
        <v>0</v>
      </c>
      <c r="FD189" s="3">
        <f t="shared" si="106"/>
        <v>0</v>
      </c>
      <c r="FE189" s="3">
        <f t="shared" si="106"/>
        <v>0</v>
      </c>
      <c r="FF189" s="3">
        <f t="shared" si="106"/>
        <v>0</v>
      </c>
      <c r="FG189" s="3">
        <f t="shared" si="106"/>
        <v>0</v>
      </c>
      <c r="FH189" s="3">
        <f t="shared" si="106"/>
        <v>0</v>
      </c>
      <c r="FI189" s="3">
        <f t="shared" si="106"/>
        <v>0</v>
      </c>
      <c r="FJ189" s="3">
        <f t="shared" si="106"/>
        <v>0</v>
      </c>
      <c r="FK189" s="3">
        <f t="shared" si="106"/>
        <v>0</v>
      </c>
      <c r="FL189" s="3">
        <f t="shared" si="106"/>
        <v>0</v>
      </c>
      <c r="FM189" s="3">
        <f t="shared" si="106"/>
        <v>0</v>
      </c>
      <c r="FN189" s="3">
        <f t="shared" si="106"/>
        <v>0</v>
      </c>
      <c r="FO189" s="3">
        <f t="shared" si="106"/>
        <v>0</v>
      </c>
      <c r="FP189" s="3">
        <f t="shared" si="106"/>
        <v>0</v>
      </c>
      <c r="FQ189" s="3">
        <f t="shared" si="106"/>
        <v>0</v>
      </c>
      <c r="FR189" s="3">
        <f t="shared" si="106"/>
        <v>0</v>
      </c>
      <c r="FS189" s="3">
        <f t="shared" ref="FS189:GX189" si="107">FS200</f>
        <v>0</v>
      </c>
      <c r="FT189" s="3">
        <f t="shared" si="107"/>
        <v>0</v>
      </c>
      <c r="FU189" s="3">
        <f t="shared" si="107"/>
        <v>0</v>
      </c>
      <c r="FV189" s="3">
        <f t="shared" si="107"/>
        <v>0</v>
      </c>
      <c r="FW189" s="3">
        <f t="shared" si="107"/>
        <v>0</v>
      </c>
      <c r="FX189" s="3">
        <f t="shared" si="107"/>
        <v>0</v>
      </c>
      <c r="FY189" s="3">
        <f t="shared" si="107"/>
        <v>0</v>
      </c>
      <c r="FZ189" s="3">
        <f t="shared" si="107"/>
        <v>0</v>
      </c>
      <c r="GA189" s="3">
        <f t="shared" si="107"/>
        <v>0</v>
      </c>
      <c r="GB189" s="3">
        <f t="shared" si="107"/>
        <v>0</v>
      </c>
      <c r="GC189" s="3">
        <f t="shared" si="107"/>
        <v>0</v>
      </c>
      <c r="GD189" s="3">
        <f t="shared" si="107"/>
        <v>0</v>
      </c>
      <c r="GE189" s="3">
        <f t="shared" si="107"/>
        <v>0</v>
      </c>
      <c r="GF189" s="3">
        <f t="shared" si="107"/>
        <v>0</v>
      </c>
      <c r="GG189" s="3">
        <f t="shared" si="107"/>
        <v>0</v>
      </c>
      <c r="GH189" s="3">
        <f t="shared" si="107"/>
        <v>0</v>
      </c>
      <c r="GI189" s="3">
        <f t="shared" si="107"/>
        <v>0</v>
      </c>
      <c r="GJ189" s="3">
        <f t="shared" si="107"/>
        <v>0</v>
      </c>
      <c r="GK189" s="3">
        <f t="shared" si="107"/>
        <v>0</v>
      </c>
      <c r="GL189" s="3">
        <f t="shared" si="107"/>
        <v>0</v>
      </c>
      <c r="GM189" s="3">
        <f t="shared" si="107"/>
        <v>0</v>
      </c>
      <c r="GN189" s="3">
        <f t="shared" si="107"/>
        <v>0</v>
      </c>
      <c r="GO189" s="3">
        <f t="shared" si="107"/>
        <v>0</v>
      </c>
      <c r="GP189" s="3">
        <f t="shared" si="107"/>
        <v>0</v>
      </c>
      <c r="GQ189" s="3">
        <f t="shared" si="107"/>
        <v>0</v>
      </c>
      <c r="GR189" s="3">
        <f t="shared" si="107"/>
        <v>0</v>
      </c>
      <c r="GS189" s="3">
        <f t="shared" si="107"/>
        <v>0</v>
      </c>
      <c r="GT189" s="3">
        <f t="shared" si="107"/>
        <v>0</v>
      </c>
      <c r="GU189" s="3">
        <f t="shared" si="107"/>
        <v>0</v>
      </c>
      <c r="GV189" s="3">
        <f t="shared" si="107"/>
        <v>0</v>
      </c>
      <c r="GW189" s="3">
        <f t="shared" si="107"/>
        <v>0</v>
      </c>
      <c r="GX189" s="3">
        <f t="shared" si="107"/>
        <v>0</v>
      </c>
    </row>
    <row r="191" spans="1:245" x14ac:dyDescent="0.2">
      <c r="A191">
        <v>17</v>
      </c>
      <c r="B191">
        <v>1</v>
      </c>
      <c r="D191">
        <f>ROW(EtalonRes!A32)</f>
        <v>32</v>
      </c>
      <c r="E191" t="s">
        <v>3</v>
      </c>
      <c r="F191" t="s">
        <v>113</v>
      </c>
      <c r="G191" t="s">
        <v>114</v>
      </c>
      <c r="H191" t="s">
        <v>104</v>
      </c>
      <c r="I191">
        <f>ROUND((268+175+93+37+34)*0.1/100,9)</f>
        <v>0.60699999999999998</v>
      </c>
      <c r="J191">
        <v>0</v>
      </c>
      <c r="K191">
        <f>ROUND((268+175+93+37+34)*0.1/100,9)</f>
        <v>0.60699999999999998</v>
      </c>
      <c r="O191">
        <f t="shared" ref="O191:O198" si="108">ROUND(CP191,2)</f>
        <v>10262.799999999999</v>
      </c>
      <c r="P191">
        <f t="shared" ref="P191:P198" si="109">ROUND(CQ191*I191,2)</f>
        <v>1656.03</v>
      </c>
      <c r="Q191">
        <f t="shared" ref="Q191:Q198" si="110">ROUND(CR191*I191,2)</f>
        <v>0</v>
      </c>
      <c r="R191">
        <f t="shared" ref="R191:R198" si="111">ROUND(CS191*I191,2)</f>
        <v>0</v>
      </c>
      <c r="S191">
        <f t="shared" ref="S191:S198" si="112">ROUND(CT191*I191,2)</f>
        <v>8606.77</v>
      </c>
      <c r="T191">
        <f t="shared" ref="T191:T198" si="113">ROUND(CU191*I191,2)</f>
        <v>0</v>
      </c>
      <c r="U191">
        <f t="shared" ref="U191:U198" si="114">CV191*I191</f>
        <v>17.930779999999999</v>
      </c>
      <c r="V191">
        <f t="shared" ref="V191:V198" si="115">CW191*I191</f>
        <v>0</v>
      </c>
      <c r="W191">
        <f t="shared" ref="W191:W198" si="116">ROUND(CX191*I191,2)</f>
        <v>0</v>
      </c>
      <c r="X191">
        <f t="shared" ref="X191:Y198" si="117">ROUND(CY191,2)</f>
        <v>6024.74</v>
      </c>
      <c r="Y191">
        <f t="shared" si="117"/>
        <v>860.68</v>
      </c>
      <c r="AA191">
        <v>-1</v>
      </c>
      <c r="AB191">
        <f t="shared" ref="AB191:AB198" si="118">ROUND((AC191+AD191+AF191),6)</f>
        <v>16907.419999999998</v>
      </c>
      <c r="AC191">
        <f>ROUND((ES191),6)</f>
        <v>2728.22</v>
      </c>
      <c r="AD191">
        <f>ROUND((((ET191)-(EU191))+AE191),6)</f>
        <v>0</v>
      </c>
      <c r="AE191">
        <f>ROUND((EU191),6)</f>
        <v>0</v>
      </c>
      <c r="AF191">
        <f>ROUND((EV191),6)</f>
        <v>14179.2</v>
      </c>
      <c r="AG191">
        <f t="shared" ref="AG191:AG198" si="119">ROUND((AP191),6)</f>
        <v>0</v>
      </c>
      <c r="AH191">
        <f>(EW191)</f>
        <v>29.54</v>
      </c>
      <c r="AI191">
        <f>(EX191)</f>
        <v>0</v>
      </c>
      <c r="AJ191">
        <f t="shared" ref="AJ191:AJ198" si="120">(AS191)</f>
        <v>0</v>
      </c>
      <c r="AK191">
        <v>16907.419999999998</v>
      </c>
      <c r="AL191">
        <v>2728.22</v>
      </c>
      <c r="AM191">
        <v>0</v>
      </c>
      <c r="AN191">
        <v>0</v>
      </c>
      <c r="AO191">
        <v>14179.2</v>
      </c>
      <c r="AP191">
        <v>0</v>
      </c>
      <c r="AQ191">
        <v>29.54</v>
      </c>
      <c r="AR191">
        <v>0</v>
      </c>
      <c r="AS191">
        <v>0</v>
      </c>
      <c r="AT191">
        <v>70</v>
      </c>
      <c r="AU191">
        <v>10</v>
      </c>
      <c r="AV191">
        <v>1</v>
      </c>
      <c r="AW191">
        <v>1</v>
      </c>
      <c r="AZ191">
        <v>1</v>
      </c>
      <c r="BA191">
        <v>1</v>
      </c>
      <c r="BB191">
        <v>1</v>
      </c>
      <c r="BC191">
        <v>1</v>
      </c>
      <c r="BD191" t="s">
        <v>3</v>
      </c>
      <c r="BE191" t="s">
        <v>3</v>
      </c>
      <c r="BF191" t="s">
        <v>3</v>
      </c>
      <c r="BG191" t="s">
        <v>3</v>
      </c>
      <c r="BH191">
        <v>0</v>
      </c>
      <c r="BI191">
        <v>4</v>
      </c>
      <c r="BJ191" t="s">
        <v>115</v>
      </c>
      <c r="BM191">
        <v>0</v>
      </c>
      <c r="BN191">
        <v>0</v>
      </c>
      <c r="BO191" t="s">
        <v>3</v>
      </c>
      <c r="BP191">
        <v>0</v>
      </c>
      <c r="BQ191">
        <v>1</v>
      </c>
      <c r="BR191">
        <v>0</v>
      </c>
      <c r="BS191">
        <v>1</v>
      </c>
      <c r="BT191">
        <v>1</v>
      </c>
      <c r="BU191">
        <v>1</v>
      </c>
      <c r="BV191">
        <v>1</v>
      </c>
      <c r="BW191">
        <v>1</v>
      </c>
      <c r="BX191">
        <v>1</v>
      </c>
      <c r="BY191" t="s">
        <v>3</v>
      </c>
      <c r="BZ191">
        <v>70</v>
      </c>
      <c r="CA191">
        <v>10</v>
      </c>
      <c r="CB191" t="s">
        <v>3</v>
      </c>
      <c r="CE191">
        <v>0</v>
      </c>
      <c r="CF191">
        <v>0</v>
      </c>
      <c r="CG191">
        <v>0</v>
      </c>
      <c r="CM191">
        <v>0</v>
      </c>
      <c r="CN191" t="s">
        <v>3</v>
      </c>
      <c r="CO191">
        <v>0</v>
      </c>
      <c r="CP191">
        <f t="shared" ref="CP191:CP198" si="121">(P191+Q191+S191)</f>
        <v>10262.800000000001</v>
      </c>
      <c r="CQ191">
        <f t="shared" ref="CQ191:CQ198" si="122">(AC191*BC191*AW191)</f>
        <v>2728.22</v>
      </c>
      <c r="CR191">
        <f>((((ET191)*BB191-(EU191)*BS191)+AE191*BS191)*AV191)</f>
        <v>0</v>
      </c>
      <c r="CS191">
        <f t="shared" ref="CS191:CS198" si="123">(AE191*BS191*AV191)</f>
        <v>0</v>
      </c>
      <c r="CT191">
        <f t="shared" ref="CT191:CT198" si="124">(AF191*BA191*AV191)</f>
        <v>14179.2</v>
      </c>
      <c r="CU191">
        <f t="shared" ref="CU191:CU198" si="125">AG191</f>
        <v>0</v>
      </c>
      <c r="CV191">
        <f t="shared" ref="CV191:CV198" si="126">(AH191*AV191)</f>
        <v>29.54</v>
      </c>
      <c r="CW191">
        <f t="shared" ref="CW191:CX198" si="127">AI191</f>
        <v>0</v>
      </c>
      <c r="CX191">
        <f t="shared" si="127"/>
        <v>0</v>
      </c>
      <c r="CY191">
        <f t="shared" ref="CY191:CY198" si="128">((S191*BZ191)/100)</f>
        <v>6024.7390000000005</v>
      </c>
      <c r="CZ191">
        <f t="shared" ref="CZ191:CZ198" si="129">((S191*CA191)/100)</f>
        <v>860.67700000000013</v>
      </c>
      <c r="DC191" t="s">
        <v>3</v>
      </c>
      <c r="DD191" t="s">
        <v>3</v>
      </c>
      <c r="DE191" t="s">
        <v>3</v>
      </c>
      <c r="DF191" t="s">
        <v>3</v>
      </c>
      <c r="DG191" t="s">
        <v>3</v>
      </c>
      <c r="DH191" t="s">
        <v>3</v>
      </c>
      <c r="DI191" t="s">
        <v>3</v>
      </c>
      <c r="DJ191" t="s">
        <v>3</v>
      </c>
      <c r="DK191" t="s">
        <v>3</v>
      </c>
      <c r="DL191" t="s">
        <v>3</v>
      </c>
      <c r="DM191" t="s">
        <v>3</v>
      </c>
      <c r="DN191">
        <v>0</v>
      </c>
      <c r="DO191">
        <v>0</v>
      </c>
      <c r="DP191">
        <v>1</v>
      </c>
      <c r="DQ191">
        <v>1</v>
      </c>
      <c r="DU191">
        <v>1003</v>
      </c>
      <c r="DV191" t="s">
        <v>104</v>
      </c>
      <c r="DW191" t="s">
        <v>104</v>
      </c>
      <c r="DX191">
        <v>100</v>
      </c>
      <c r="DZ191" t="s">
        <v>3</v>
      </c>
      <c r="EA191" t="s">
        <v>3</v>
      </c>
      <c r="EB191" t="s">
        <v>3</v>
      </c>
      <c r="EC191" t="s">
        <v>3</v>
      </c>
      <c r="EE191">
        <v>1441815344</v>
      </c>
      <c r="EF191">
        <v>1</v>
      </c>
      <c r="EG191" t="s">
        <v>22</v>
      </c>
      <c r="EH191">
        <v>0</v>
      </c>
      <c r="EI191" t="s">
        <v>3</v>
      </c>
      <c r="EJ191">
        <v>4</v>
      </c>
      <c r="EK191">
        <v>0</v>
      </c>
      <c r="EL191" t="s">
        <v>23</v>
      </c>
      <c r="EM191" t="s">
        <v>24</v>
      </c>
      <c r="EO191" t="s">
        <v>3</v>
      </c>
      <c r="EQ191">
        <v>1311744</v>
      </c>
      <c r="ER191">
        <v>16907.419999999998</v>
      </c>
      <c r="ES191">
        <v>2728.22</v>
      </c>
      <c r="ET191">
        <v>0</v>
      </c>
      <c r="EU191">
        <v>0</v>
      </c>
      <c r="EV191">
        <v>14179.2</v>
      </c>
      <c r="EW191">
        <v>29.54</v>
      </c>
      <c r="EX191">
        <v>0</v>
      </c>
      <c r="EY191">
        <v>0</v>
      </c>
      <c r="FQ191">
        <v>0</v>
      </c>
      <c r="FR191">
        <f t="shared" ref="FR191:FR198" si="130">ROUND(IF(BI191=3,GM191,0),2)</f>
        <v>0</v>
      </c>
      <c r="FS191">
        <v>0</v>
      </c>
      <c r="FX191">
        <v>70</v>
      </c>
      <c r="FY191">
        <v>10</v>
      </c>
      <c r="GA191" t="s">
        <v>3</v>
      </c>
      <c r="GD191">
        <v>0</v>
      </c>
      <c r="GF191">
        <v>-317825441</v>
      </c>
      <c r="GG191">
        <v>2</v>
      </c>
      <c r="GH191">
        <v>1</v>
      </c>
      <c r="GI191">
        <v>-2</v>
      </c>
      <c r="GJ191">
        <v>0</v>
      </c>
      <c r="GK191">
        <f>ROUND(R191*(R12)/100,2)</f>
        <v>0</v>
      </c>
      <c r="GL191">
        <f t="shared" ref="GL191:GL198" si="131">ROUND(IF(AND(BH191=3,BI191=3,FS191&lt;&gt;0),P191,0),2)</f>
        <v>0</v>
      </c>
      <c r="GM191">
        <f t="shared" ref="GM191:GM198" si="132">ROUND(O191+X191+Y191+GK191,2)+GX191</f>
        <v>17148.22</v>
      </c>
      <c r="GN191">
        <f t="shared" ref="GN191:GN198" si="133">IF(OR(BI191=0,BI191=1),GM191-GX191,0)</f>
        <v>0</v>
      </c>
      <c r="GO191">
        <f t="shared" ref="GO191:GO198" si="134">IF(BI191=2,GM191-GX191,0)</f>
        <v>0</v>
      </c>
      <c r="GP191">
        <f t="shared" ref="GP191:GP198" si="135">IF(BI191=4,GM191-GX191,0)</f>
        <v>17148.22</v>
      </c>
      <c r="GR191">
        <v>0</v>
      </c>
      <c r="GS191">
        <v>3</v>
      </c>
      <c r="GT191">
        <v>0</v>
      </c>
      <c r="GU191" t="s">
        <v>3</v>
      </c>
      <c r="GV191">
        <f t="shared" ref="GV191:GV198" si="136">ROUND((GT191),6)</f>
        <v>0</v>
      </c>
      <c r="GW191">
        <v>1</v>
      </c>
      <c r="GX191">
        <f t="shared" ref="GX191:GX198" si="137">ROUND(HC191*I191,2)</f>
        <v>0</v>
      </c>
      <c r="HA191">
        <v>0</v>
      </c>
      <c r="HB191">
        <v>0</v>
      </c>
      <c r="HC191">
        <f t="shared" ref="HC191:HC198" si="138">GV191*GW191</f>
        <v>0</v>
      </c>
      <c r="HE191" t="s">
        <v>3</v>
      </c>
      <c r="HF191" t="s">
        <v>3</v>
      </c>
      <c r="HM191" t="s">
        <v>3</v>
      </c>
      <c r="HN191" t="s">
        <v>3</v>
      </c>
      <c r="HO191" t="s">
        <v>3</v>
      </c>
      <c r="HP191" t="s">
        <v>3</v>
      </c>
      <c r="HQ191" t="s">
        <v>3</v>
      </c>
      <c r="IK191">
        <v>0</v>
      </c>
    </row>
    <row r="192" spans="1:245" x14ac:dyDescent="0.2">
      <c r="A192">
        <v>17</v>
      </c>
      <c r="B192">
        <v>1</v>
      </c>
      <c r="D192">
        <f>ROW(EtalonRes!A33)</f>
        <v>33</v>
      </c>
      <c r="E192" t="s">
        <v>3</v>
      </c>
      <c r="F192" t="s">
        <v>116</v>
      </c>
      <c r="G192" t="s">
        <v>117</v>
      </c>
      <c r="H192" t="s">
        <v>104</v>
      </c>
      <c r="I192">
        <f>ROUND((268+175+93+37+34)*0.25*0.1/100,9)</f>
        <v>0.15175</v>
      </c>
      <c r="J192">
        <v>0</v>
      </c>
      <c r="K192">
        <f>ROUND((268+175+93+37+34)*0.25*0.1/100,9)</f>
        <v>0.15175</v>
      </c>
      <c r="O192">
        <f t="shared" si="108"/>
        <v>470.91</v>
      </c>
      <c r="P192">
        <f t="shared" si="109"/>
        <v>0</v>
      </c>
      <c r="Q192">
        <f t="shared" si="110"/>
        <v>0</v>
      </c>
      <c r="R192">
        <f t="shared" si="111"/>
        <v>0</v>
      </c>
      <c r="S192">
        <f t="shared" si="112"/>
        <v>470.91</v>
      </c>
      <c r="T192">
        <f t="shared" si="113"/>
        <v>0</v>
      </c>
      <c r="U192">
        <f t="shared" si="114"/>
        <v>0.83765999999999996</v>
      </c>
      <c r="V192">
        <f t="shared" si="115"/>
        <v>0</v>
      </c>
      <c r="W192">
        <f t="shared" si="116"/>
        <v>0</v>
      </c>
      <c r="X192">
        <f t="shared" si="117"/>
        <v>329.64</v>
      </c>
      <c r="Y192">
        <f t="shared" si="117"/>
        <v>47.09</v>
      </c>
      <c r="AA192">
        <v>-1</v>
      </c>
      <c r="AB192">
        <f t="shared" si="118"/>
        <v>3103.2</v>
      </c>
      <c r="AC192">
        <f>ROUND(((ES192*4)),6)</f>
        <v>0</v>
      </c>
      <c r="AD192">
        <f>ROUND(((((ET192*4))-((EU192*4)))+AE192),6)</f>
        <v>0</v>
      </c>
      <c r="AE192">
        <f t="shared" ref="AE192:AF195" si="139">ROUND(((EU192*4)),6)</f>
        <v>0</v>
      </c>
      <c r="AF192">
        <f t="shared" si="139"/>
        <v>3103.2</v>
      </c>
      <c r="AG192">
        <f t="shared" si="119"/>
        <v>0</v>
      </c>
      <c r="AH192">
        <f t="shared" ref="AH192:AI195" si="140">((EW192*4))</f>
        <v>5.52</v>
      </c>
      <c r="AI192">
        <f t="shared" si="140"/>
        <v>0</v>
      </c>
      <c r="AJ192">
        <f t="shared" si="120"/>
        <v>0</v>
      </c>
      <c r="AK192">
        <v>775.8</v>
      </c>
      <c r="AL192">
        <v>0</v>
      </c>
      <c r="AM192">
        <v>0</v>
      </c>
      <c r="AN192">
        <v>0</v>
      </c>
      <c r="AO192">
        <v>775.8</v>
      </c>
      <c r="AP192">
        <v>0</v>
      </c>
      <c r="AQ192">
        <v>1.38</v>
      </c>
      <c r="AR192">
        <v>0</v>
      </c>
      <c r="AS192">
        <v>0</v>
      </c>
      <c r="AT192">
        <v>70</v>
      </c>
      <c r="AU192">
        <v>10</v>
      </c>
      <c r="AV192">
        <v>1</v>
      </c>
      <c r="AW192">
        <v>1</v>
      </c>
      <c r="AZ192">
        <v>1</v>
      </c>
      <c r="BA192">
        <v>1</v>
      </c>
      <c r="BB192">
        <v>1</v>
      </c>
      <c r="BC192">
        <v>1</v>
      </c>
      <c r="BD192" t="s">
        <v>3</v>
      </c>
      <c r="BE192" t="s">
        <v>3</v>
      </c>
      <c r="BF192" t="s">
        <v>3</v>
      </c>
      <c r="BG192" t="s">
        <v>3</v>
      </c>
      <c r="BH192">
        <v>0</v>
      </c>
      <c r="BI192">
        <v>4</v>
      </c>
      <c r="BJ192" t="s">
        <v>118</v>
      </c>
      <c r="BM192">
        <v>0</v>
      </c>
      <c r="BN192">
        <v>0</v>
      </c>
      <c r="BO192" t="s">
        <v>3</v>
      </c>
      <c r="BP192">
        <v>0</v>
      </c>
      <c r="BQ192">
        <v>1</v>
      </c>
      <c r="BR192">
        <v>0</v>
      </c>
      <c r="BS192">
        <v>1</v>
      </c>
      <c r="BT192">
        <v>1</v>
      </c>
      <c r="BU192">
        <v>1</v>
      </c>
      <c r="BV192">
        <v>1</v>
      </c>
      <c r="BW192">
        <v>1</v>
      </c>
      <c r="BX192">
        <v>1</v>
      </c>
      <c r="BY192" t="s">
        <v>3</v>
      </c>
      <c r="BZ192">
        <v>70</v>
      </c>
      <c r="CA192">
        <v>10</v>
      </c>
      <c r="CB192" t="s">
        <v>3</v>
      </c>
      <c r="CE192">
        <v>0</v>
      </c>
      <c r="CF192">
        <v>0</v>
      </c>
      <c r="CG192">
        <v>0</v>
      </c>
      <c r="CM192">
        <v>0</v>
      </c>
      <c r="CN192" t="s">
        <v>3</v>
      </c>
      <c r="CO192">
        <v>0</v>
      </c>
      <c r="CP192">
        <f t="shared" si="121"/>
        <v>470.91</v>
      </c>
      <c r="CQ192">
        <f t="shared" si="122"/>
        <v>0</v>
      </c>
      <c r="CR192">
        <f>(((((ET192*4))*BB192-((EU192*4))*BS192)+AE192*BS192)*AV192)</f>
        <v>0</v>
      </c>
      <c r="CS192">
        <f t="shared" si="123"/>
        <v>0</v>
      </c>
      <c r="CT192">
        <f t="shared" si="124"/>
        <v>3103.2</v>
      </c>
      <c r="CU192">
        <f t="shared" si="125"/>
        <v>0</v>
      </c>
      <c r="CV192">
        <f t="shared" si="126"/>
        <v>5.52</v>
      </c>
      <c r="CW192">
        <f t="shared" si="127"/>
        <v>0</v>
      </c>
      <c r="CX192">
        <f t="shared" si="127"/>
        <v>0</v>
      </c>
      <c r="CY192">
        <f t="shared" si="128"/>
        <v>329.63700000000006</v>
      </c>
      <c r="CZ192">
        <f t="shared" si="129"/>
        <v>47.091000000000001</v>
      </c>
      <c r="DC192" t="s">
        <v>3</v>
      </c>
      <c r="DD192" t="s">
        <v>106</v>
      </c>
      <c r="DE192" t="s">
        <v>106</v>
      </c>
      <c r="DF192" t="s">
        <v>106</v>
      </c>
      <c r="DG192" t="s">
        <v>106</v>
      </c>
      <c r="DH192" t="s">
        <v>3</v>
      </c>
      <c r="DI192" t="s">
        <v>106</v>
      </c>
      <c r="DJ192" t="s">
        <v>106</v>
      </c>
      <c r="DK192" t="s">
        <v>3</v>
      </c>
      <c r="DL192" t="s">
        <v>3</v>
      </c>
      <c r="DM192" t="s">
        <v>3</v>
      </c>
      <c r="DN192">
        <v>0</v>
      </c>
      <c r="DO192">
        <v>0</v>
      </c>
      <c r="DP192">
        <v>1</v>
      </c>
      <c r="DQ192">
        <v>1</v>
      </c>
      <c r="DU192">
        <v>1003</v>
      </c>
      <c r="DV192" t="s">
        <v>104</v>
      </c>
      <c r="DW192" t="s">
        <v>104</v>
      </c>
      <c r="DX192">
        <v>100</v>
      </c>
      <c r="DZ192" t="s">
        <v>3</v>
      </c>
      <c r="EA192" t="s">
        <v>3</v>
      </c>
      <c r="EB192" t="s">
        <v>3</v>
      </c>
      <c r="EC192" t="s">
        <v>3</v>
      </c>
      <c r="EE192">
        <v>1441815344</v>
      </c>
      <c r="EF192">
        <v>1</v>
      </c>
      <c r="EG192" t="s">
        <v>22</v>
      </c>
      <c r="EH192">
        <v>0</v>
      </c>
      <c r="EI192" t="s">
        <v>3</v>
      </c>
      <c r="EJ192">
        <v>4</v>
      </c>
      <c r="EK192">
        <v>0</v>
      </c>
      <c r="EL192" t="s">
        <v>23</v>
      </c>
      <c r="EM192" t="s">
        <v>24</v>
      </c>
      <c r="EO192" t="s">
        <v>3</v>
      </c>
      <c r="EQ192">
        <v>1024</v>
      </c>
      <c r="ER192">
        <v>775.8</v>
      </c>
      <c r="ES192">
        <v>0</v>
      </c>
      <c r="ET192">
        <v>0</v>
      </c>
      <c r="EU192">
        <v>0</v>
      </c>
      <c r="EV192">
        <v>775.8</v>
      </c>
      <c r="EW192">
        <v>1.38</v>
      </c>
      <c r="EX192">
        <v>0</v>
      </c>
      <c r="EY192">
        <v>0</v>
      </c>
      <c r="FQ192">
        <v>0</v>
      </c>
      <c r="FR192">
        <f t="shared" si="130"/>
        <v>0</v>
      </c>
      <c r="FS192">
        <v>0</v>
      </c>
      <c r="FX192">
        <v>70</v>
      </c>
      <c r="FY192">
        <v>10</v>
      </c>
      <c r="GA192" t="s">
        <v>3</v>
      </c>
      <c r="GD192">
        <v>0</v>
      </c>
      <c r="GF192">
        <v>-1934492766</v>
      </c>
      <c r="GG192">
        <v>2</v>
      </c>
      <c r="GH192">
        <v>1</v>
      </c>
      <c r="GI192">
        <v>-2</v>
      </c>
      <c r="GJ192">
        <v>0</v>
      </c>
      <c r="GK192">
        <f>ROUND(R192*(R12)/100,2)</f>
        <v>0</v>
      </c>
      <c r="GL192">
        <f t="shared" si="131"/>
        <v>0</v>
      </c>
      <c r="GM192">
        <f t="shared" si="132"/>
        <v>847.64</v>
      </c>
      <c r="GN192">
        <f t="shared" si="133"/>
        <v>0</v>
      </c>
      <c r="GO192">
        <f t="shared" si="134"/>
        <v>0</v>
      </c>
      <c r="GP192">
        <f t="shared" si="135"/>
        <v>847.64</v>
      </c>
      <c r="GR192">
        <v>0</v>
      </c>
      <c r="GS192">
        <v>3</v>
      </c>
      <c r="GT192">
        <v>0</v>
      </c>
      <c r="GU192" t="s">
        <v>3</v>
      </c>
      <c r="GV192">
        <f t="shared" si="136"/>
        <v>0</v>
      </c>
      <c r="GW192">
        <v>1</v>
      </c>
      <c r="GX192">
        <f t="shared" si="137"/>
        <v>0</v>
      </c>
      <c r="HA192">
        <v>0</v>
      </c>
      <c r="HB192">
        <v>0</v>
      </c>
      <c r="HC192">
        <f t="shared" si="138"/>
        <v>0</v>
      </c>
      <c r="HE192" t="s">
        <v>3</v>
      </c>
      <c r="HF192" t="s">
        <v>3</v>
      </c>
      <c r="HM192" t="s">
        <v>3</v>
      </c>
      <c r="HN192" t="s">
        <v>3</v>
      </c>
      <c r="HO192" t="s">
        <v>3</v>
      </c>
      <c r="HP192" t="s">
        <v>3</v>
      </c>
      <c r="HQ192" t="s">
        <v>3</v>
      </c>
      <c r="IK192">
        <v>0</v>
      </c>
    </row>
    <row r="193" spans="1:245" x14ac:dyDescent="0.2">
      <c r="A193">
        <v>17</v>
      </c>
      <c r="B193">
        <v>1</v>
      </c>
      <c r="D193">
        <f>ROW(EtalonRes!A34)</f>
        <v>34</v>
      </c>
      <c r="E193" t="s">
        <v>3</v>
      </c>
      <c r="F193" t="s">
        <v>119</v>
      </c>
      <c r="G193" t="s">
        <v>120</v>
      </c>
      <c r="H193" t="s">
        <v>104</v>
      </c>
      <c r="I193">
        <f>ROUND((268+175+93+37+34)*0.75*0.1/100,9)</f>
        <v>0.45524999999999999</v>
      </c>
      <c r="J193">
        <v>0</v>
      </c>
      <c r="K193">
        <f>ROUND((268+175+93+37+34)*0.75*0.1/100,9)</f>
        <v>0.45524999999999999</v>
      </c>
      <c r="O193">
        <f t="shared" si="108"/>
        <v>5016.18</v>
      </c>
      <c r="P193">
        <f t="shared" si="109"/>
        <v>0</v>
      </c>
      <c r="Q193">
        <f t="shared" si="110"/>
        <v>0</v>
      </c>
      <c r="R193">
        <f t="shared" si="111"/>
        <v>0</v>
      </c>
      <c r="S193">
        <f t="shared" si="112"/>
        <v>5016.18</v>
      </c>
      <c r="T193">
        <f t="shared" si="113"/>
        <v>0</v>
      </c>
      <c r="U193">
        <f t="shared" si="114"/>
        <v>8.9229000000000003</v>
      </c>
      <c r="V193">
        <f t="shared" si="115"/>
        <v>0</v>
      </c>
      <c r="W193">
        <f t="shared" si="116"/>
        <v>0</v>
      </c>
      <c r="X193">
        <f t="shared" si="117"/>
        <v>3511.33</v>
      </c>
      <c r="Y193">
        <f t="shared" si="117"/>
        <v>501.62</v>
      </c>
      <c r="AA193">
        <v>-1</v>
      </c>
      <c r="AB193">
        <f t="shared" si="118"/>
        <v>11018.52</v>
      </c>
      <c r="AC193">
        <f>ROUND(((ES193*4)),6)</f>
        <v>0</v>
      </c>
      <c r="AD193">
        <f>ROUND(((((ET193*4))-((EU193*4)))+AE193),6)</f>
        <v>0</v>
      </c>
      <c r="AE193">
        <f t="shared" si="139"/>
        <v>0</v>
      </c>
      <c r="AF193">
        <f t="shared" si="139"/>
        <v>11018.52</v>
      </c>
      <c r="AG193">
        <f t="shared" si="119"/>
        <v>0</v>
      </c>
      <c r="AH193">
        <f t="shared" si="140"/>
        <v>19.600000000000001</v>
      </c>
      <c r="AI193">
        <f t="shared" si="140"/>
        <v>0</v>
      </c>
      <c r="AJ193">
        <f t="shared" si="120"/>
        <v>0</v>
      </c>
      <c r="AK193">
        <v>2754.63</v>
      </c>
      <c r="AL193">
        <v>0</v>
      </c>
      <c r="AM193">
        <v>0</v>
      </c>
      <c r="AN193">
        <v>0</v>
      </c>
      <c r="AO193">
        <v>2754.63</v>
      </c>
      <c r="AP193">
        <v>0</v>
      </c>
      <c r="AQ193">
        <v>4.9000000000000004</v>
      </c>
      <c r="AR193">
        <v>0</v>
      </c>
      <c r="AS193">
        <v>0</v>
      </c>
      <c r="AT193">
        <v>70</v>
      </c>
      <c r="AU193">
        <v>10</v>
      </c>
      <c r="AV193">
        <v>1</v>
      </c>
      <c r="AW193">
        <v>1</v>
      </c>
      <c r="AZ193">
        <v>1</v>
      </c>
      <c r="BA193">
        <v>1</v>
      </c>
      <c r="BB193">
        <v>1</v>
      </c>
      <c r="BC193">
        <v>1</v>
      </c>
      <c r="BD193" t="s">
        <v>3</v>
      </c>
      <c r="BE193" t="s">
        <v>3</v>
      </c>
      <c r="BF193" t="s">
        <v>3</v>
      </c>
      <c r="BG193" t="s">
        <v>3</v>
      </c>
      <c r="BH193">
        <v>0</v>
      </c>
      <c r="BI193">
        <v>4</v>
      </c>
      <c r="BJ193" t="s">
        <v>121</v>
      </c>
      <c r="BM193">
        <v>0</v>
      </c>
      <c r="BN193">
        <v>0</v>
      </c>
      <c r="BO193" t="s">
        <v>3</v>
      </c>
      <c r="BP193">
        <v>0</v>
      </c>
      <c r="BQ193">
        <v>1</v>
      </c>
      <c r="BR193">
        <v>0</v>
      </c>
      <c r="BS193">
        <v>1</v>
      </c>
      <c r="BT193">
        <v>1</v>
      </c>
      <c r="BU193">
        <v>1</v>
      </c>
      <c r="BV193">
        <v>1</v>
      </c>
      <c r="BW193">
        <v>1</v>
      </c>
      <c r="BX193">
        <v>1</v>
      </c>
      <c r="BY193" t="s">
        <v>3</v>
      </c>
      <c r="BZ193">
        <v>70</v>
      </c>
      <c r="CA193">
        <v>10</v>
      </c>
      <c r="CB193" t="s">
        <v>3</v>
      </c>
      <c r="CE193">
        <v>0</v>
      </c>
      <c r="CF193">
        <v>0</v>
      </c>
      <c r="CG193">
        <v>0</v>
      </c>
      <c r="CM193">
        <v>0</v>
      </c>
      <c r="CN193" t="s">
        <v>3</v>
      </c>
      <c r="CO193">
        <v>0</v>
      </c>
      <c r="CP193">
        <f t="shared" si="121"/>
        <v>5016.18</v>
      </c>
      <c r="CQ193">
        <f t="shared" si="122"/>
        <v>0</v>
      </c>
      <c r="CR193">
        <f>(((((ET193*4))*BB193-((EU193*4))*BS193)+AE193*BS193)*AV193)</f>
        <v>0</v>
      </c>
      <c r="CS193">
        <f t="shared" si="123"/>
        <v>0</v>
      </c>
      <c r="CT193">
        <f t="shared" si="124"/>
        <v>11018.52</v>
      </c>
      <c r="CU193">
        <f t="shared" si="125"/>
        <v>0</v>
      </c>
      <c r="CV193">
        <f t="shared" si="126"/>
        <v>19.600000000000001</v>
      </c>
      <c r="CW193">
        <f t="shared" si="127"/>
        <v>0</v>
      </c>
      <c r="CX193">
        <f t="shared" si="127"/>
        <v>0</v>
      </c>
      <c r="CY193">
        <f t="shared" si="128"/>
        <v>3511.3260000000005</v>
      </c>
      <c r="CZ193">
        <f t="shared" si="129"/>
        <v>501.61800000000005</v>
      </c>
      <c r="DC193" t="s">
        <v>3</v>
      </c>
      <c r="DD193" t="s">
        <v>106</v>
      </c>
      <c r="DE193" t="s">
        <v>106</v>
      </c>
      <c r="DF193" t="s">
        <v>106</v>
      </c>
      <c r="DG193" t="s">
        <v>106</v>
      </c>
      <c r="DH193" t="s">
        <v>3</v>
      </c>
      <c r="DI193" t="s">
        <v>106</v>
      </c>
      <c r="DJ193" t="s">
        <v>106</v>
      </c>
      <c r="DK193" t="s">
        <v>3</v>
      </c>
      <c r="DL193" t="s">
        <v>3</v>
      </c>
      <c r="DM193" t="s">
        <v>3</v>
      </c>
      <c r="DN193">
        <v>0</v>
      </c>
      <c r="DO193">
        <v>0</v>
      </c>
      <c r="DP193">
        <v>1</v>
      </c>
      <c r="DQ193">
        <v>1</v>
      </c>
      <c r="DU193">
        <v>1003</v>
      </c>
      <c r="DV193" t="s">
        <v>104</v>
      </c>
      <c r="DW193" t="s">
        <v>104</v>
      </c>
      <c r="DX193">
        <v>100</v>
      </c>
      <c r="DZ193" t="s">
        <v>3</v>
      </c>
      <c r="EA193" t="s">
        <v>3</v>
      </c>
      <c r="EB193" t="s">
        <v>3</v>
      </c>
      <c r="EC193" t="s">
        <v>3</v>
      </c>
      <c r="EE193">
        <v>1441815344</v>
      </c>
      <c r="EF193">
        <v>1</v>
      </c>
      <c r="EG193" t="s">
        <v>22</v>
      </c>
      <c r="EH193">
        <v>0</v>
      </c>
      <c r="EI193" t="s">
        <v>3</v>
      </c>
      <c r="EJ193">
        <v>4</v>
      </c>
      <c r="EK193">
        <v>0</v>
      </c>
      <c r="EL193" t="s">
        <v>23</v>
      </c>
      <c r="EM193" t="s">
        <v>24</v>
      </c>
      <c r="EO193" t="s">
        <v>3</v>
      </c>
      <c r="EQ193">
        <v>1024</v>
      </c>
      <c r="ER193">
        <v>2754.63</v>
      </c>
      <c r="ES193">
        <v>0</v>
      </c>
      <c r="ET193">
        <v>0</v>
      </c>
      <c r="EU193">
        <v>0</v>
      </c>
      <c r="EV193">
        <v>2754.63</v>
      </c>
      <c r="EW193">
        <v>4.9000000000000004</v>
      </c>
      <c r="EX193">
        <v>0</v>
      </c>
      <c r="EY193">
        <v>0</v>
      </c>
      <c r="FQ193">
        <v>0</v>
      </c>
      <c r="FR193">
        <f t="shared" si="130"/>
        <v>0</v>
      </c>
      <c r="FS193">
        <v>0</v>
      </c>
      <c r="FX193">
        <v>70</v>
      </c>
      <c r="FY193">
        <v>10</v>
      </c>
      <c r="GA193" t="s">
        <v>3</v>
      </c>
      <c r="GD193">
        <v>0</v>
      </c>
      <c r="GF193">
        <v>329268789</v>
      </c>
      <c r="GG193">
        <v>2</v>
      </c>
      <c r="GH193">
        <v>1</v>
      </c>
      <c r="GI193">
        <v>-2</v>
      </c>
      <c r="GJ193">
        <v>0</v>
      </c>
      <c r="GK193">
        <f>ROUND(R193*(R12)/100,2)</f>
        <v>0</v>
      </c>
      <c r="GL193">
        <f t="shared" si="131"/>
        <v>0</v>
      </c>
      <c r="GM193">
        <f t="shared" si="132"/>
        <v>9029.1299999999992</v>
      </c>
      <c r="GN193">
        <f t="shared" si="133"/>
        <v>0</v>
      </c>
      <c r="GO193">
        <f t="shared" si="134"/>
        <v>0</v>
      </c>
      <c r="GP193">
        <f t="shared" si="135"/>
        <v>9029.1299999999992</v>
      </c>
      <c r="GR193">
        <v>0</v>
      </c>
      <c r="GS193">
        <v>3</v>
      </c>
      <c r="GT193">
        <v>0</v>
      </c>
      <c r="GU193" t="s">
        <v>3</v>
      </c>
      <c r="GV193">
        <f t="shared" si="136"/>
        <v>0</v>
      </c>
      <c r="GW193">
        <v>1</v>
      </c>
      <c r="GX193">
        <f t="shared" si="137"/>
        <v>0</v>
      </c>
      <c r="HA193">
        <v>0</v>
      </c>
      <c r="HB193">
        <v>0</v>
      </c>
      <c r="HC193">
        <f t="shared" si="138"/>
        <v>0</v>
      </c>
      <c r="HE193" t="s">
        <v>3</v>
      </c>
      <c r="HF193" t="s">
        <v>3</v>
      </c>
      <c r="HM193" t="s">
        <v>3</v>
      </c>
      <c r="HN193" t="s">
        <v>3</v>
      </c>
      <c r="HO193" t="s">
        <v>3</v>
      </c>
      <c r="HP193" t="s">
        <v>3</v>
      </c>
      <c r="HQ193" t="s">
        <v>3</v>
      </c>
      <c r="IK193">
        <v>0</v>
      </c>
    </row>
    <row r="194" spans="1:245" x14ac:dyDescent="0.2">
      <c r="A194">
        <v>17</v>
      </c>
      <c r="B194">
        <v>1</v>
      </c>
      <c r="D194">
        <f>ROW(EtalonRes!A35)</f>
        <v>35</v>
      </c>
      <c r="E194" t="s">
        <v>3</v>
      </c>
      <c r="F194" t="s">
        <v>122</v>
      </c>
      <c r="G194" t="s">
        <v>123</v>
      </c>
      <c r="H194" t="s">
        <v>20</v>
      </c>
      <c r="I194">
        <v>11</v>
      </c>
      <c r="J194">
        <v>0</v>
      </c>
      <c r="K194">
        <v>11</v>
      </c>
      <c r="O194">
        <f t="shared" si="108"/>
        <v>3531.88</v>
      </c>
      <c r="P194">
        <f t="shared" si="109"/>
        <v>0</v>
      </c>
      <c r="Q194">
        <f t="shared" si="110"/>
        <v>0</v>
      </c>
      <c r="R194">
        <f t="shared" si="111"/>
        <v>0</v>
      </c>
      <c r="S194">
        <f t="shared" si="112"/>
        <v>3531.88</v>
      </c>
      <c r="T194">
        <f t="shared" si="113"/>
        <v>0</v>
      </c>
      <c r="U194">
        <f t="shared" si="114"/>
        <v>5.7200000000000006</v>
      </c>
      <c r="V194">
        <f t="shared" si="115"/>
        <v>0</v>
      </c>
      <c r="W194">
        <f t="shared" si="116"/>
        <v>0</v>
      </c>
      <c r="X194">
        <f t="shared" si="117"/>
        <v>2472.3200000000002</v>
      </c>
      <c r="Y194">
        <f t="shared" si="117"/>
        <v>353.19</v>
      </c>
      <c r="AA194">
        <v>-1</v>
      </c>
      <c r="AB194">
        <f t="shared" si="118"/>
        <v>321.08</v>
      </c>
      <c r="AC194">
        <f>ROUND(((ES194*4)),6)</f>
        <v>0</v>
      </c>
      <c r="AD194">
        <f>ROUND(((((ET194*4))-((EU194*4)))+AE194),6)</f>
        <v>0</v>
      </c>
      <c r="AE194">
        <f t="shared" si="139"/>
        <v>0</v>
      </c>
      <c r="AF194">
        <f t="shared" si="139"/>
        <v>321.08</v>
      </c>
      <c r="AG194">
        <f t="shared" si="119"/>
        <v>0</v>
      </c>
      <c r="AH194">
        <f t="shared" si="140"/>
        <v>0.52</v>
      </c>
      <c r="AI194">
        <f t="shared" si="140"/>
        <v>0</v>
      </c>
      <c r="AJ194">
        <f t="shared" si="120"/>
        <v>0</v>
      </c>
      <c r="AK194">
        <v>80.27</v>
      </c>
      <c r="AL194">
        <v>0</v>
      </c>
      <c r="AM194">
        <v>0</v>
      </c>
      <c r="AN194">
        <v>0</v>
      </c>
      <c r="AO194">
        <v>80.27</v>
      </c>
      <c r="AP194">
        <v>0</v>
      </c>
      <c r="AQ194">
        <v>0.13</v>
      </c>
      <c r="AR194">
        <v>0</v>
      </c>
      <c r="AS194">
        <v>0</v>
      </c>
      <c r="AT194">
        <v>70</v>
      </c>
      <c r="AU194">
        <v>10</v>
      </c>
      <c r="AV194">
        <v>1</v>
      </c>
      <c r="AW194">
        <v>1</v>
      </c>
      <c r="AZ194">
        <v>1</v>
      </c>
      <c r="BA194">
        <v>1</v>
      </c>
      <c r="BB194">
        <v>1</v>
      </c>
      <c r="BC194">
        <v>1</v>
      </c>
      <c r="BD194" t="s">
        <v>3</v>
      </c>
      <c r="BE194" t="s">
        <v>3</v>
      </c>
      <c r="BF194" t="s">
        <v>3</v>
      </c>
      <c r="BG194" t="s">
        <v>3</v>
      </c>
      <c r="BH194">
        <v>0</v>
      </c>
      <c r="BI194">
        <v>4</v>
      </c>
      <c r="BJ194" t="s">
        <v>124</v>
      </c>
      <c r="BM194">
        <v>0</v>
      </c>
      <c r="BN194">
        <v>0</v>
      </c>
      <c r="BO194" t="s">
        <v>3</v>
      </c>
      <c r="BP194">
        <v>0</v>
      </c>
      <c r="BQ194">
        <v>1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3</v>
      </c>
      <c r="BZ194">
        <v>70</v>
      </c>
      <c r="CA194">
        <v>10</v>
      </c>
      <c r="CB194" t="s">
        <v>3</v>
      </c>
      <c r="CE194">
        <v>0</v>
      </c>
      <c r="CF194">
        <v>0</v>
      </c>
      <c r="CG194">
        <v>0</v>
      </c>
      <c r="CM194">
        <v>0</v>
      </c>
      <c r="CN194" t="s">
        <v>3</v>
      </c>
      <c r="CO194">
        <v>0</v>
      </c>
      <c r="CP194">
        <f t="shared" si="121"/>
        <v>3531.88</v>
      </c>
      <c r="CQ194">
        <f t="shared" si="122"/>
        <v>0</v>
      </c>
      <c r="CR194">
        <f>(((((ET194*4))*BB194-((EU194*4))*BS194)+AE194*BS194)*AV194)</f>
        <v>0</v>
      </c>
      <c r="CS194">
        <f t="shared" si="123"/>
        <v>0</v>
      </c>
      <c r="CT194">
        <f t="shared" si="124"/>
        <v>321.08</v>
      </c>
      <c r="CU194">
        <f t="shared" si="125"/>
        <v>0</v>
      </c>
      <c r="CV194">
        <f t="shared" si="126"/>
        <v>0.52</v>
      </c>
      <c r="CW194">
        <f t="shared" si="127"/>
        <v>0</v>
      </c>
      <c r="CX194">
        <f t="shared" si="127"/>
        <v>0</v>
      </c>
      <c r="CY194">
        <f t="shared" si="128"/>
        <v>2472.3160000000003</v>
      </c>
      <c r="CZ194">
        <f t="shared" si="129"/>
        <v>353.18800000000005</v>
      </c>
      <c r="DC194" t="s">
        <v>3</v>
      </c>
      <c r="DD194" t="s">
        <v>106</v>
      </c>
      <c r="DE194" t="s">
        <v>106</v>
      </c>
      <c r="DF194" t="s">
        <v>106</v>
      </c>
      <c r="DG194" t="s">
        <v>106</v>
      </c>
      <c r="DH194" t="s">
        <v>3</v>
      </c>
      <c r="DI194" t="s">
        <v>106</v>
      </c>
      <c r="DJ194" t="s">
        <v>106</v>
      </c>
      <c r="DK194" t="s">
        <v>3</v>
      </c>
      <c r="DL194" t="s">
        <v>3</v>
      </c>
      <c r="DM194" t="s">
        <v>3</v>
      </c>
      <c r="DN194">
        <v>0</v>
      </c>
      <c r="DO194">
        <v>0</v>
      </c>
      <c r="DP194">
        <v>1</v>
      </c>
      <c r="DQ194">
        <v>1</v>
      </c>
      <c r="DU194">
        <v>16987630</v>
      </c>
      <c r="DV194" t="s">
        <v>20</v>
      </c>
      <c r="DW194" t="s">
        <v>20</v>
      </c>
      <c r="DX194">
        <v>1</v>
      </c>
      <c r="DZ194" t="s">
        <v>3</v>
      </c>
      <c r="EA194" t="s">
        <v>3</v>
      </c>
      <c r="EB194" t="s">
        <v>3</v>
      </c>
      <c r="EC194" t="s">
        <v>3</v>
      </c>
      <c r="EE194">
        <v>1441815344</v>
      </c>
      <c r="EF194">
        <v>1</v>
      </c>
      <c r="EG194" t="s">
        <v>22</v>
      </c>
      <c r="EH194">
        <v>0</v>
      </c>
      <c r="EI194" t="s">
        <v>3</v>
      </c>
      <c r="EJ194">
        <v>4</v>
      </c>
      <c r="EK194">
        <v>0</v>
      </c>
      <c r="EL194" t="s">
        <v>23</v>
      </c>
      <c r="EM194" t="s">
        <v>24</v>
      </c>
      <c r="EO194" t="s">
        <v>3</v>
      </c>
      <c r="EQ194">
        <v>1024</v>
      </c>
      <c r="ER194">
        <v>80.27</v>
      </c>
      <c r="ES194">
        <v>0</v>
      </c>
      <c r="ET194">
        <v>0</v>
      </c>
      <c r="EU194">
        <v>0</v>
      </c>
      <c r="EV194">
        <v>80.27</v>
      </c>
      <c r="EW194">
        <v>0.13</v>
      </c>
      <c r="EX194">
        <v>0</v>
      </c>
      <c r="EY194">
        <v>0</v>
      </c>
      <c r="FQ194">
        <v>0</v>
      </c>
      <c r="FR194">
        <f t="shared" si="130"/>
        <v>0</v>
      </c>
      <c r="FS194">
        <v>0</v>
      </c>
      <c r="FX194">
        <v>70</v>
      </c>
      <c r="FY194">
        <v>10</v>
      </c>
      <c r="GA194" t="s">
        <v>3</v>
      </c>
      <c r="GD194">
        <v>0</v>
      </c>
      <c r="GF194">
        <v>1384570016</v>
      </c>
      <c r="GG194">
        <v>2</v>
      </c>
      <c r="GH194">
        <v>1</v>
      </c>
      <c r="GI194">
        <v>-2</v>
      </c>
      <c r="GJ194">
        <v>0</v>
      </c>
      <c r="GK194">
        <f>ROUND(R194*(R12)/100,2)</f>
        <v>0</v>
      </c>
      <c r="GL194">
        <f t="shared" si="131"/>
        <v>0</v>
      </c>
      <c r="GM194">
        <f t="shared" si="132"/>
        <v>6357.39</v>
      </c>
      <c r="GN194">
        <f t="shared" si="133"/>
        <v>0</v>
      </c>
      <c r="GO194">
        <f t="shared" si="134"/>
        <v>0</v>
      </c>
      <c r="GP194">
        <f t="shared" si="135"/>
        <v>6357.39</v>
      </c>
      <c r="GR194">
        <v>0</v>
      </c>
      <c r="GS194">
        <v>3</v>
      </c>
      <c r="GT194">
        <v>0</v>
      </c>
      <c r="GU194" t="s">
        <v>3</v>
      </c>
      <c r="GV194">
        <f t="shared" si="136"/>
        <v>0</v>
      </c>
      <c r="GW194">
        <v>1</v>
      </c>
      <c r="GX194">
        <f t="shared" si="137"/>
        <v>0</v>
      </c>
      <c r="HA194">
        <v>0</v>
      </c>
      <c r="HB194">
        <v>0</v>
      </c>
      <c r="HC194">
        <f t="shared" si="138"/>
        <v>0</v>
      </c>
      <c r="HE194" t="s">
        <v>3</v>
      </c>
      <c r="HF194" t="s">
        <v>3</v>
      </c>
      <c r="HM194" t="s">
        <v>3</v>
      </c>
      <c r="HN194" t="s">
        <v>3</v>
      </c>
      <c r="HO194" t="s">
        <v>3</v>
      </c>
      <c r="HP194" t="s">
        <v>3</v>
      </c>
      <c r="HQ194" t="s">
        <v>3</v>
      </c>
      <c r="IK194">
        <v>0</v>
      </c>
    </row>
    <row r="195" spans="1:245" x14ac:dyDescent="0.2">
      <c r="A195">
        <v>17</v>
      </c>
      <c r="B195">
        <v>1</v>
      </c>
      <c r="D195">
        <f>ROW(EtalonRes!A36)</f>
        <v>36</v>
      </c>
      <c r="E195" t="s">
        <v>3</v>
      </c>
      <c r="F195" t="s">
        <v>128</v>
      </c>
      <c r="G195" t="s">
        <v>133</v>
      </c>
      <c r="H195" t="s">
        <v>94</v>
      </c>
      <c r="I195">
        <f>ROUND(15/10,9)</f>
        <v>1.5</v>
      </c>
      <c r="J195">
        <v>0</v>
      </c>
      <c r="K195">
        <f>ROUND(15/10,9)</f>
        <v>1.5</v>
      </c>
      <c r="O195">
        <f t="shared" si="108"/>
        <v>2704.62</v>
      </c>
      <c r="P195">
        <f t="shared" si="109"/>
        <v>0</v>
      </c>
      <c r="Q195">
        <f t="shared" si="110"/>
        <v>0</v>
      </c>
      <c r="R195">
        <f t="shared" si="111"/>
        <v>0</v>
      </c>
      <c r="S195">
        <f t="shared" si="112"/>
        <v>2704.62</v>
      </c>
      <c r="T195">
        <f t="shared" si="113"/>
        <v>0</v>
      </c>
      <c r="U195">
        <f t="shared" si="114"/>
        <v>4.38</v>
      </c>
      <c r="V195">
        <f t="shared" si="115"/>
        <v>0</v>
      </c>
      <c r="W195">
        <f t="shared" si="116"/>
        <v>0</v>
      </c>
      <c r="X195">
        <f t="shared" si="117"/>
        <v>1893.23</v>
      </c>
      <c r="Y195">
        <f t="shared" si="117"/>
        <v>270.45999999999998</v>
      </c>
      <c r="AA195">
        <v>-1</v>
      </c>
      <c r="AB195">
        <f t="shared" si="118"/>
        <v>1803.08</v>
      </c>
      <c r="AC195">
        <f>ROUND(((ES195*4)),6)</f>
        <v>0</v>
      </c>
      <c r="AD195">
        <f>ROUND(((((ET195*4))-((EU195*4)))+AE195),6)</f>
        <v>0</v>
      </c>
      <c r="AE195">
        <f t="shared" si="139"/>
        <v>0</v>
      </c>
      <c r="AF195">
        <f t="shared" si="139"/>
        <v>1803.08</v>
      </c>
      <c r="AG195">
        <f t="shared" si="119"/>
        <v>0</v>
      </c>
      <c r="AH195">
        <f t="shared" si="140"/>
        <v>2.92</v>
      </c>
      <c r="AI195">
        <f t="shared" si="140"/>
        <v>0</v>
      </c>
      <c r="AJ195">
        <f t="shared" si="120"/>
        <v>0</v>
      </c>
      <c r="AK195">
        <v>450.77</v>
      </c>
      <c r="AL195">
        <v>0</v>
      </c>
      <c r="AM195">
        <v>0</v>
      </c>
      <c r="AN195">
        <v>0</v>
      </c>
      <c r="AO195">
        <v>450.77</v>
      </c>
      <c r="AP195">
        <v>0</v>
      </c>
      <c r="AQ195">
        <v>0.73</v>
      </c>
      <c r="AR195">
        <v>0</v>
      </c>
      <c r="AS195">
        <v>0</v>
      </c>
      <c r="AT195">
        <v>70</v>
      </c>
      <c r="AU195">
        <v>10</v>
      </c>
      <c r="AV195">
        <v>1</v>
      </c>
      <c r="AW195">
        <v>1</v>
      </c>
      <c r="AZ195">
        <v>1</v>
      </c>
      <c r="BA195">
        <v>1</v>
      </c>
      <c r="BB195">
        <v>1</v>
      </c>
      <c r="BC195">
        <v>1</v>
      </c>
      <c r="BD195" t="s">
        <v>3</v>
      </c>
      <c r="BE195" t="s">
        <v>3</v>
      </c>
      <c r="BF195" t="s">
        <v>3</v>
      </c>
      <c r="BG195" t="s">
        <v>3</v>
      </c>
      <c r="BH195">
        <v>0</v>
      </c>
      <c r="BI195">
        <v>4</v>
      </c>
      <c r="BJ195" t="s">
        <v>130</v>
      </c>
      <c r="BM195">
        <v>0</v>
      </c>
      <c r="BN195">
        <v>0</v>
      </c>
      <c r="BO195" t="s">
        <v>3</v>
      </c>
      <c r="BP195">
        <v>0</v>
      </c>
      <c r="BQ195">
        <v>1</v>
      </c>
      <c r="BR195">
        <v>0</v>
      </c>
      <c r="BS195">
        <v>1</v>
      </c>
      <c r="BT195">
        <v>1</v>
      </c>
      <c r="BU195">
        <v>1</v>
      </c>
      <c r="BV195">
        <v>1</v>
      </c>
      <c r="BW195">
        <v>1</v>
      </c>
      <c r="BX195">
        <v>1</v>
      </c>
      <c r="BY195" t="s">
        <v>3</v>
      </c>
      <c r="BZ195">
        <v>70</v>
      </c>
      <c r="CA195">
        <v>10</v>
      </c>
      <c r="CB195" t="s">
        <v>3</v>
      </c>
      <c r="CE195">
        <v>0</v>
      </c>
      <c r="CF195">
        <v>0</v>
      </c>
      <c r="CG195">
        <v>0</v>
      </c>
      <c r="CM195">
        <v>0</v>
      </c>
      <c r="CN195" t="s">
        <v>3</v>
      </c>
      <c r="CO195">
        <v>0</v>
      </c>
      <c r="CP195">
        <f t="shared" si="121"/>
        <v>2704.62</v>
      </c>
      <c r="CQ195">
        <f t="shared" si="122"/>
        <v>0</v>
      </c>
      <c r="CR195">
        <f>(((((ET195*4))*BB195-((EU195*4))*BS195)+AE195*BS195)*AV195)</f>
        <v>0</v>
      </c>
      <c r="CS195">
        <f t="shared" si="123"/>
        <v>0</v>
      </c>
      <c r="CT195">
        <f t="shared" si="124"/>
        <v>1803.08</v>
      </c>
      <c r="CU195">
        <f t="shared" si="125"/>
        <v>0</v>
      </c>
      <c r="CV195">
        <f t="shared" si="126"/>
        <v>2.92</v>
      </c>
      <c r="CW195">
        <f t="shared" si="127"/>
        <v>0</v>
      </c>
      <c r="CX195">
        <f t="shared" si="127"/>
        <v>0</v>
      </c>
      <c r="CY195">
        <f t="shared" si="128"/>
        <v>1893.2339999999999</v>
      </c>
      <c r="CZ195">
        <f t="shared" si="129"/>
        <v>270.46199999999999</v>
      </c>
      <c r="DC195" t="s">
        <v>3</v>
      </c>
      <c r="DD195" t="s">
        <v>106</v>
      </c>
      <c r="DE195" t="s">
        <v>106</v>
      </c>
      <c r="DF195" t="s">
        <v>106</v>
      </c>
      <c r="DG195" t="s">
        <v>106</v>
      </c>
      <c r="DH195" t="s">
        <v>3</v>
      </c>
      <c r="DI195" t="s">
        <v>106</v>
      </c>
      <c r="DJ195" t="s">
        <v>106</v>
      </c>
      <c r="DK195" t="s">
        <v>3</v>
      </c>
      <c r="DL195" t="s">
        <v>3</v>
      </c>
      <c r="DM195" t="s">
        <v>3</v>
      </c>
      <c r="DN195">
        <v>0</v>
      </c>
      <c r="DO195">
        <v>0</v>
      </c>
      <c r="DP195">
        <v>1</v>
      </c>
      <c r="DQ195">
        <v>1</v>
      </c>
      <c r="DU195">
        <v>16987630</v>
      </c>
      <c r="DV195" t="s">
        <v>94</v>
      </c>
      <c r="DW195" t="s">
        <v>94</v>
      </c>
      <c r="DX195">
        <v>10</v>
      </c>
      <c r="DZ195" t="s">
        <v>3</v>
      </c>
      <c r="EA195" t="s">
        <v>3</v>
      </c>
      <c r="EB195" t="s">
        <v>3</v>
      </c>
      <c r="EC195" t="s">
        <v>3</v>
      </c>
      <c r="EE195">
        <v>1441815344</v>
      </c>
      <c r="EF195">
        <v>1</v>
      </c>
      <c r="EG195" t="s">
        <v>22</v>
      </c>
      <c r="EH195">
        <v>0</v>
      </c>
      <c r="EI195" t="s">
        <v>3</v>
      </c>
      <c r="EJ195">
        <v>4</v>
      </c>
      <c r="EK195">
        <v>0</v>
      </c>
      <c r="EL195" t="s">
        <v>23</v>
      </c>
      <c r="EM195" t="s">
        <v>24</v>
      </c>
      <c r="EO195" t="s">
        <v>3</v>
      </c>
      <c r="EQ195">
        <v>1024</v>
      </c>
      <c r="ER195">
        <v>450.77</v>
      </c>
      <c r="ES195">
        <v>0</v>
      </c>
      <c r="ET195">
        <v>0</v>
      </c>
      <c r="EU195">
        <v>0</v>
      </c>
      <c r="EV195">
        <v>450.77</v>
      </c>
      <c r="EW195">
        <v>0.73</v>
      </c>
      <c r="EX195">
        <v>0</v>
      </c>
      <c r="EY195">
        <v>0</v>
      </c>
      <c r="FQ195">
        <v>0</v>
      </c>
      <c r="FR195">
        <f t="shared" si="130"/>
        <v>0</v>
      </c>
      <c r="FS195">
        <v>0</v>
      </c>
      <c r="FX195">
        <v>70</v>
      </c>
      <c r="FY195">
        <v>10</v>
      </c>
      <c r="GA195" t="s">
        <v>3</v>
      </c>
      <c r="GD195">
        <v>0</v>
      </c>
      <c r="GF195">
        <v>1751885062</v>
      </c>
      <c r="GG195">
        <v>2</v>
      </c>
      <c r="GH195">
        <v>1</v>
      </c>
      <c r="GI195">
        <v>-2</v>
      </c>
      <c r="GJ195">
        <v>0</v>
      </c>
      <c r="GK195">
        <f>ROUND(R195*(R12)/100,2)</f>
        <v>0</v>
      </c>
      <c r="GL195">
        <f t="shared" si="131"/>
        <v>0</v>
      </c>
      <c r="GM195">
        <f t="shared" si="132"/>
        <v>4868.3100000000004</v>
      </c>
      <c r="GN195">
        <f t="shared" si="133"/>
        <v>0</v>
      </c>
      <c r="GO195">
        <f t="shared" si="134"/>
        <v>0</v>
      </c>
      <c r="GP195">
        <f t="shared" si="135"/>
        <v>4868.3100000000004</v>
      </c>
      <c r="GR195">
        <v>0</v>
      </c>
      <c r="GS195">
        <v>3</v>
      </c>
      <c r="GT195">
        <v>0</v>
      </c>
      <c r="GU195" t="s">
        <v>3</v>
      </c>
      <c r="GV195">
        <f t="shared" si="136"/>
        <v>0</v>
      </c>
      <c r="GW195">
        <v>1</v>
      </c>
      <c r="GX195">
        <f t="shared" si="137"/>
        <v>0</v>
      </c>
      <c r="HA195">
        <v>0</v>
      </c>
      <c r="HB195">
        <v>0</v>
      </c>
      <c r="HC195">
        <f t="shared" si="138"/>
        <v>0</v>
      </c>
      <c r="HE195" t="s">
        <v>3</v>
      </c>
      <c r="HF195" t="s">
        <v>3</v>
      </c>
      <c r="HM195" t="s">
        <v>3</v>
      </c>
      <c r="HN195" t="s">
        <v>3</v>
      </c>
      <c r="HO195" t="s">
        <v>3</v>
      </c>
      <c r="HP195" t="s">
        <v>3</v>
      </c>
      <c r="HQ195" t="s">
        <v>3</v>
      </c>
      <c r="IK195">
        <v>0</v>
      </c>
    </row>
    <row r="196" spans="1:245" x14ac:dyDescent="0.2">
      <c r="A196">
        <v>17</v>
      </c>
      <c r="B196">
        <v>1</v>
      </c>
      <c r="D196">
        <f>ROW(EtalonRes!A39)</f>
        <v>39</v>
      </c>
      <c r="E196" t="s">
        <v>134</v>
      </c>
      <c r="F196" t="s">
        <v>135</v>
      </c>
      <c r="G196" t="s">
        <v>136</v>
      </c>
      <c r="H196" t="s">
        <v>20</v>
      </c>
      <c r="I196">
        <v>9</v>
      </c>
      <c r="J196">
        <v>0</v>
      </c>
      <c r="K196">
        <v>9</v>
      </c>
      <c r="O196">
        <f t="shared" si="108"/>
        <v>14141.7</v>
      </c>
      <c r="P196">
        <f t="shared" si="109"/>
        <v>405.72</v>
      </c>
      <c r="Q196">
        <f t="shared" si="110"/>
        <v>0</v>
      </c>
      <c r="R196">
        <f t="shared" si="111"/>
        <v>0</v>
      </c>
      <c r="S196">
        <f t="shared" si="112"/>
        <v>13735.98</v>
      </c>
      <c r="T196">
        <f t="shared" si="113"/>
        <v>0</v>
      </c>
      <c r="U196">
        <f t="shared" si="114"/>
        <v>16.560000000000002</v>
      </c>
      <c r="V196">
        <f t="shared" si="115"/>
        <v>0</v>
      </c>
      <c r="W196">
        <f t="shared" si="116"/>
        <v>0</v>
      </c>
      <c r="X196">
        <f t="shared" si="117"/>
        <v>9615.19</v>
      </c>
      <c r="Y196">
        <f t="shared" si="117"/>
        <v>1373.6</v>
      </c>
      <c r="AA196">
        <v>1472506909</v>
      </c>
      <c r="AB196">
        <f t="shared" si="118"/>
        <v>1571.3</v>
      </c>
      <c r="AC196">
        <f>ROUND(((ES196*2)),6)</f>
        <v>45.08</v>
      </c>
      <c r="AD196">
        <f>ROUND(((((ET196*2))-((EU196*2)))+AE196),6)</f>
        <v>0</v>
      </c>
      <c r="AE196">
        <f>ROUND(((EU196*2)),6)</f>
        <v>0</v>
      </c>
      <c r="AF196">
        <f>ROUND(((EV196*2)),6)</f>
        <v>1526.22</v>
      </c>
      <c r="AG196">
        <f t="shared" si="119"/>
        <v>0</v>
      </c>
      <c r="AH196">
        <f>((EW196*2))</f>
        <v>1.84</v>
      </c>
      <c r="AI196">
        <f>((EX196*2))</f>
        <v>0</v>
      </c>
      <c r="AJ196">
        <f t="shared" si="120"/>
        <v>0</v>
      </c>
      <c r="AK196">
        <v>785.65</v>
      </c>
      <c r="AL196">
        <v>22.54</v>
      </c>
      <c r="AM196">
        <v>0</v>
      </c>
      <c r="AN196">
        <v>0</v>
      </c>
      <c r="AO196">
        <v>763.11</v>
      </c>
      <c r="AP196">
        <v>0</v>
      </c>
      <c r="AQ196">
        <v>0.92</v>
      </c>
      <c r="AR196">
        <v>0</v>
      </c>
      <c r="AS196">
        <v>0</v>
      </c>
      <c r="AT196">
        <v>70</v>
      </c>
      <c r="AU196">
        <v>10</v>
      </c>
      <c r="AV196">
        <v>1</v>
      </c>
      <c r="AW196">
        <v>1</v>
      </c>
      <c r="AZ196">
        <v>1</v>
      </c>
      <c r="BA196">
        <v>1</v>
      </c>
      <c r="BB196">
        <v>1</v>
      </c>
      <c r="BC196">
        <v>1</v>
      </c>
      <c r="BD196" t="s">
        <v>3</v>
      </c>
      <c r="BE196" t="s">
        <v>3</v>
      </c>
      <c r="BF196" t="s">
        <v>3</v>
      </c>
      <c r="BG196" t="s">
        <v>3</v>
      </c>
      <c r="BH196">
        <v>0</v>
      </c>
      <c r="BI196">
        <v>4</v>
      </c>
      <c r="BJ196" t="s">
        <v>137</v>
      </c>
      <c r="BM196">
        <v>0</v>
      </c>
      <c r="BN196">
        <v>0</v>
      </c>
      <c r="BO196" t="s">
        <v>3</v>
      </c>
      <c r="BP196">
        <v>0</v>
      </c>
      <c r="BQ196">
        <v>1</v>
      </c>
      <c r="BR196">
        <v>0</v>
      </c>
      <c r="BS196">
        <v>1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3</v>
      </c>
      <c r="BZ196">
        <v>70</v>
      </c>
      <c r="CA196">
        <v>10</v>
      </c>
      <c r="CB196" t="s">
        <v>3</v>
      </c>
      <c r="CE196">
        <v>0</v>
      </c>
      <c r="CF196">
        <v>0</v>
      </c>
      <c r="CG196">
        <v>0</v>
      </c>
      <c r="CM196">
        <v>0</v>
      </c>
      <c r="CN196" t="s">
        <v>3</v>
      </c>
      <c r="CO196">
        <v>0</v>
      </c>
      <c r="CP196">
        <f t="shared" si="121"/>
        <v>14141.699999999999</v>
      </c>
      <c r="CQ196">
        <f t="shared" si="122"/>
        <v>45.08</v>
      </c>
      <c r="CR196">
        <f>(((((ET196*2))*BB196-((EU196*2))*BS196)+AE196*BS196)*AV196)</f>
        <v>0</v>
      </c>
      <c r="CS196">
        <f t="shared" si="123"/>
        <v>0</v>
      </c>
      <c r="CT196">
        <f t="shared" si="124"/>
        <v>1526.22</v>
      </c>
      <c r="CU196">
        <f t="shared" si="125"/>
        <v>0</v>
      </c>
      <c r="CV196">
        <f t="shared" si="126"/>
        <v>1.84</v>
      </c>
      <c r="CW196">
        <f t="shared" si="127"/>
        <v>0</v>
      </c>
      <c r="CX196">
        <f t="shared" si="127"/>
        <v>0</v>
      </c>
      <c r="CY196">
        <f t="shared" si="128"/>
        <v>9615.1859999999997</v>
      </c>
      <c r="CZ196">
        <f t="shared" si="129"/>
        <v>1373.598</v>
      </c>
      <c r="DC196" t="s">
        <v>3</v>
      </c>
      <c r="DD196" t="s">
        <v>28</v>
      </c>
      <c r="DE196" t="s">
        <v>28</v>
      </c>
      <c r="DF196" t="s">
        <v>28</v>
      </c>
      <c r="DG196" t="s">
        <v>28</v>
      </c>
      <c r="DH196" t="s">
        <v>3</v>
      </c>
      <c r="DI196" t="s">
        <v>28</v>
      </c>
      <c r="DJ196" t="s">
        <v>28</v>
      </c>
      <c r="DK196" t="s">
        <v>3</v>
      </c>
      <c r="DL196" t="s">
        <v>3</v>
      </c>
      <c r="DM196" t="s">
        <v>3</v>
      </c>
      <c r="DN196">
        <v>0</v>
      </c>
      <c r="DO196">
        <v>0</v>
      </c>
      <c r="DP196">
        <v>1</v>
      </c>
      <c r="DQ196">
        <v>1</v>
      </c>
      <c r="DU196">
        <v>16987630</v>
      </c>
      <c r="DV196" t="s">
        <v>20</v>
      </c>
      <c r="DW196" t="s">
        <v>20</v>
      </c>
      <c r="DX196">
        <v>1</v>
      </c>
      <c r="DZ196" t="s">
        <v>3</v>
      </c>
      <c r="EA196" t="s">
        <v>3</v>
      </c>
      <c r="EB196" t="s">
        <v>3</v>
      </c>
      <c r="EC196" t="s">
        <v>3</v>
      </c>
      <c r="EE196">
        <v>1441815344</v>
      </c>
      <c r="EF196">
        <v>1</v>
      </c>
      <c r="EG196" t="s">
        <v>22</v>
      </c>
      <c r="EH196">
        <v>0</v>
      </c>
      <c r="EI196" t="s">
        <v>3</v>
      </c>
      <c r="EJ196">
        <v>4</v>
      </c>
      <c r="EK196">
        <v>0</v>
      </c>
      <c r="EL196" t="s">
        <v>23</v>
      </c>
      <c r="EM196" t="s">
        <v>24</v>
      </c>
      <c r="EO196" t="s">
        <v>3</v>
      </c>
      <c r="EQ196">
        <v>0</v>
      </c>
      <c r="ER196">
        <v>785.65</v>
      </c>
      <c r="ES196">
        <v>22.54</v>
      </c>
      <c r="ET196">
        <v>0</v>
      </c>
      <c r="EU196">
        <v>0</v>
      </c>
      <c r="EV196">
        <v>763.11</v>
      </c>
      <c r="EW196">
        <v>0.92</v>
      </c>
      <c r="EX196">
        <v>0</v>
      </c>
      <c r="EY196">
        <v>0</v>
      </c>
      <c r="FQ196">
        <v>0</v>
      </c>
      <c r="FR196">
        <f t="shared" si="130"/>
        <v>0</v>
      </c>
      <c r="FS196">
        <v>0</v>
      </c>
      <c r="FX196">
        <v>70</v>
      </c>
      <c r="FY196">
        <v>10</v>
      </c>
      <c r="GA196" t="s">
        <v>3</v>
      </c>
      <c r="GD196">
        <v>0</v>
      </c>
      <c r="GF196">
        <v>1237599321</v>
      </c>
      <c r="GG196">
        <v>2</v>
      </c>
      <c r="GH196">
        <v>1</v>
      </c>
      <c r="GI196">
        <v>-2</v>
      </c>
      <c r="GJ196">
        <v>0</v>
      </c>
      <c r="GK196">
        <f>ROUND(R196*(R12)/100,2)</f>
        <v>0</v>
      </c>
      <c r="GL196">
        <f t="shared" si="131"/>
        <v>0</v>
      </c>
      <c r="GM196">
        <f t="shared" si="132"/>
        <v>25130.49</v>
      </c>
      <c r="GN196">
        <f t="shared" si="133"/>
        <v>0</v>
      </c>
      <c r="GO196">
        <f t="shared" si="134"/>
        <v>0</v>
      </c>
      <c r="GP196">
        <f t="shared" si="135"/>
        <v>25130.49</v>
      </c>
      <c r="GR196">
        <v>0</v>
      </c>
      <c r="GS196">
        <v>3</v>
      </c>
      <c r="GT196">
        <v>0</v>
      </c>
      <c r="GU196" t="s">
        <v>3</v>
      </c>
      <c r="GV196">
        <f t="shared" si="136"/>
        <v>0</v>
      </c>
      <c r="GW196">
        <v>1</v>
      </c>
      <c r="GX196">
        <f t="shared" si="137"/>
        <v>0</v>
      </c>
      <c r="HA196">
        <v>0</v>
      </c>
      <c r="HB196">
        <v>0</v>
      </c>
      <c r="HC196">
        <f t="shared" si="138"/>
        <v>0</v>
      </c>
      <c r="HE196" t="s">
        <v>3</v>
      </c>
      <c r="HF196" t="s">
        <v>3</v>
      </c>
      <c r="HM196" t="s">
        <v>3</v>
      </c>
      <c r="HN196" t="s">
        <v>3</v>
      </c>
      <c r="HO196" t="s">
        <v>3</v>
      </c>
      <c r="HP196" t="s">
        <v>3</v>
      </c>
      <c r="HQ196" t="s">
        <v>3</v>
      </c>
      <c r="IK196">
        <v>0</v>
      </c>
    </row>
    <row r="197" spans="1:245" x14ac:dyDescent="0.2">
      <c r="A197">
        <v>17</v>
      </c>
      <c r="B197">
        <v>1</v>
      </c>
      <c r="D197">
        <f>ROW(EtalonRes!A41)</f>
        <v>41</v>
      </c>
      <c r="E197" t="s">
        <v>138</v>
      </c>
      <c r="F197" t="s">
        <v>139</v>
      </c>
      <c r="G197" t="s">
        <v>140</v>
      </c>
      <c r="H197" t="s">
        <v>141</v>
      </c>
      <c r="I197">
        <f>ROUND((4+33)/100,9)</f>
        <v>0.37</v>
      </c>
      <c r="J197">
        <v>0</v>
      </c>
      <c r="K197">
        <f>ROUND((4+33)/100,9)</f>
        <v>0.37</v>
      </c>
      <c r="O197">
        <f t="shared" si="108"/>
        <v>5344.84</v>
      </c>
      <c r="P197">
        <f t="shared" si="109"/>
        <v>90.12</v>
      </c>
      <c r="Q197">
        <f t="shared" si="110"/>
        <v>0</v>
      </c>
      <c r="R197">
        <f t="shared" si="111"/>
        <v>0</v>
      </c>
      <c r="S197">
        <f t="shared" si="112"/>
        <v>5254.72</v>
      </c>
      <c r="T197">
        <f t="shared" si="113"/>
        <v>0</v>
      </c>
      <c r="U197">
        <f t="shared" si="114"/>
        <v>10.3674</v>
      </c>
      <c r="V197">
        <f t="shared" si="115"/>
        <v>0</v>
      </c>
      <c r="W197">
        <f t="shared" si="116"/>
        <v>0</v>
      </c>
      <c r="X197">
        <f t="shared" si="117"/>
        <v>3678.3</v>
      </c>
      <c r="Y197">
        <f t="shared" si="117"/>
        <v>525.47</v>
      </c>
      <c r="AA197">
        <v>1472506909</v>
      </c>
      <c r="AB197">
        <f t="shared" si="118"/>
        <v>14445.51</v>
      </c>
      <c r="AC197">
        <f>ROUND((ES197),6)</f>
        <v>243.57</v>
      </c>
      <c r="AD197">
        <f>ROUND((((ET197)-(EU197))+AE197),6)</f>
        <v>0</v>
      </c>
      <c r="AE197">
        <f>ROUND((EU197),6)</f>
        <v>0</v>
      </c>
      <c r="AF197">
        <f>ROUND((EV197),6)</f>
        <v>14201.94</v>
      </c>
      <c r="AG197">
        <f t="shared" si="119"/>
        <v>0</v>
      </c>
      <c r="AH197">
        <f>(EW197)</f>
        <v>28.02</v>
      </c>
      <c r="AI197">
        <f>(EX197)</f>
        <v>0</v>
      </c>
      <c r="AJ197">
        <f t="shared" si="120"/>
        <v>0</v>
      </c>
      <c r="AK197">
        <v>14445.51</v>
      </c>
      <c r="AL197">
        <v>243.57</v>
      </c>
      <c r="AM197">
        <v>0</v>
      </c>
      <c r="AN197">
        <v>0</v>
      </c>
      <c r="AO197">
        <v>14201.94</v>
      </c>
      <c r="AP197">
        <v>0</v>
      </c>
      <c r="AQ197">
        <v>28.02</v>
      </c>
      <c r="AR197">
        <v>0</v>
      </c>
      <c r="AS197">
        <v>0</v>
      </c>
      <c r="AT197">
        <v>70</v>
      </c>
      <c r="AU197">
        <v>10</v>
      </c>
      <c r="AV197">
        <v>1</v>
      </c>
      <c r="AW197">
        <v>1</v>
      </c>
      <c r="AZ197">
        <v>1</v>
      </c>
      <c r="BA197">
        <v>1</v>
      </c>
      <c r="BB197">
        <v>1</v>
      </c>
      <c r="BC197">
        <v>1</v>
      </c>
      <c r="BD197" t="s">
        <v>3</v>
      </c>
      <c r="BE197" t="s">
        <v>3</v>
      </c>
      <c r="BF197" t="s">
        <v>3</v>
      </c>
      <c r="BG197" t="s">
        <v>3</v>
      </c>
      <c r="BH197">
        <v>0</v>
      </c>
      <c r="BI197">
        <v>4</v>
      </c>
      <c r="BJ197" t="s">
        <v>142</v>
      </c>
      <c r="BM197">
        <v>0</v>
      </c>
      <c r="BN197">
        <v>0</v>
      </c>
      <c r="BO197" t="s">
        <v>3</v>
      </c>
      <c r="BP197">
        <v>0</v>
      </c>
      <c r="BQ197">
        <v>1</v>
      </c>
      <c r="BR197">
        <v>0</v>
      </c>
      <c r="BS197">
        <v>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3</v>
      </c>
      <c r="BZ197">
        <v>70</v>
      </c>
      <c r="CA197">
        <v>10</v>
      </c>
      <c r="CB197" t="s">
        <v>3</v>
      </c>
      <c r="CE197">
        <v>0</v>
      </c>
      <c r="CF197">
        <v>0</v>
      </c>
      <c r="CG197">
        <v>0</v>
      </c>
      <c r="CM197">
        <v>0</v>
      </c>
      <c r="CN197" t="s">
        <v>3</v>
      </c>
      <c r="CO197">
        <v>0</v>
      </c>
      <c r="CP197">
        <f t="shared" si="121"/>
        <v>5344.84</v>
      </c>
      <c r="CQ197">
        <f t="shared" si="122"/>
        <v>243.57</v>
      </c>
      <c r="CR197">
        <f>((((ET197)*BB197-(EU197)*BS197)+AE197*BS197)*AV197)</f>
        <v>0</v>
      </c>
      <c r="CS197">
        <f t="shared" si="123"/>
        <v>0</v>
      </c>
      <c r="CT197">
        <f t="shared" si="124"/>
        <v>14201.94</v>
      </c>
      <c r="CU197">
        <f t="shared" si="125"/>
        <v>0</v>
      </c>
      <c r="CV197">
        <f t="shared" si="126"/>
        <v>28.02</v>
      </c>
      <c r="CW197">
        <f t="shared" si="127"/>
        <v>0</v>
      </c>
      <c r="CX197">
        <f t="shared" si="127"/>
        <v>0</v>
      </c>
      <c r="CY197">
        <f t="shared" si="128"/>
        <v>3678.3040000000001</v>
      </c>
      <c r="CZ197">
        <f t="shared" si="129"/>
        <v>525.47200000000009</v>
      </c>
      <c r="DC197" t="s">
        <v>3</v>
      </c>
      <c r="DD197" t="s">
        <v>3</v>
      </c>
      <c r="DE197" t="s">
        <v>3</v>
      </c>
      <c r="DF197" t="s">
        <v>3</v>
      </c>
      <c r="DG197" t="s">
        <v>3</v>
      </c>
      <c r="DH197" t="s">
        <v>3</v>
      </c>
      <c r="DI197" t="s">
        <v>3</v>
      </c>
      <c r="DJ197" t="s">
        <v>3</v>
      </c>
      <c r="DK197" t="s">
        <v>3</v>
      </c>
      <c r="DL197" t="s">
        <v>3</v>
      </c>
      <c r="DM197" t="s">
        <v>3</v>
      </c>
      <c r="DN197">
        <v>0</v>
      </c>
      <c r="DO197">
        <v>0</v>
      </c>
      <c r="DP197">
        <v>1</v>
      </c>
      <c r="DQ197">
        <v>1</v>
      </c>
      <c r="DU197">
        <v>16987630</v>
      </c>
      <c r="DV197" t="s">
        <v>141</v>
      </c>
      <c r="DW197" t="s">
        <v>141</v>
      </c>
      <c r="DX197">
        <v>100</v>
      </c>
      <c r="DZ197" t="s">
        <v>3</v>
      </c>
      <c r="EA197" t="s">
        <v>3</v>
      </c>
      <c r="EB197" t="s">
        <v>3</v>
      </c>
      <c r="EC197" t="s">
        <v>3</v>
      </c>
      <c r="EE197">
        <v>1441815344</v>
      </c>
      <c r="EF197">
        <v>1</v>
      </c>
      <c r="EG197" t="s">
        <v>22</v>
      </c>
      <c r="EH197">
        <v>0</v>
      </c>
      <c r="EI197" t="s">
        <v>3</v>
      </c>
      <c r="EJ197">
        <v>4</v>
      </c>
      <c r="EK197">
        <v>0</v>
      </c>
      <c r="EL197" t="s">
        <v>23</v>
      </c>
      <c r="EM197" t="s">
        <v>24</v>
      </c>
      <c r="EO197" t="s">
        <v>3</v>
      </c>
      <c r="EQ197">
        <v>0</v>
      </c>
      <c r="ER197">
        <v>14445.51</v>
      </c>
      <c r="ES197">
        <v>243.57</v>
      </c>
      <c r="ET197">
        <v>0</v>
      </c>
      <c r="EU197">
        <v>0</v>
      </c>
      <c r="EV197">
        <v>14201.94</v>
      </c>
      <c r="EW197">
        <v>28.02</v>
      </c>
      <c r="EX197">
        <v>0</v>
      </c>
      <c r="EY197">
        <v>0</v>
      </c>
      <c r="FQ197">
        <v>0</v>
      </c>
      <c r="FR197">
        <f t="shared" si="130"/>
        <v>0</v>
      </c>
      <c r="FS197">
        <v>0</v>
      </c>
      <c r="FX197">
        <v>70</v>
      </c>
      <c r="FY197">
        <v>10</v>
      </c>
      <c r="GA197" t="s">
        <v>3</v>
      </c>
      <c r="GD197">
        <v>0</v>
      </c>
      <c r="GF197">
        <v>1586733399</v>
      </c>
      <c r="GG197">
        <v>2</v>
      </c>
      <c r="GH197">
        <v>1</v>
      </c>
      <c r="GI197">
        <v>-2</v>
      </c>
      <c r="GJ197">
        <v>0</v>
      </c>
      <c r="GK197">
        <f>ROUND(R197*(R12)/100,2)</f>
        <v>0</v>
      </c>
      <c r="GL197">
        <f t="shared" si="131"/>
        <v>0</v>
      </c>
      <c r="GM197">
        <f t="shared" si="132"/>
        <v>9548.61</v>
      </c>
      <c r="GN197">
        <f t="shared" si="133"/>
        <v>0</v>
      </c>
      <c r="GO197">
        <f t="shared" si="134"/>
        <v>0</v>
      </c>
      <c r="GP197">
        <f t="shared" si="135"/>
        <v>9548.61</v>
      </c>
      <c r="GR197">
        <v>0</v>
      </c>
      <c r="GS197">
        <v>3</v>
      </c>
      <c r="GT197">
        <v>0</v>
      </c>
      <c r="GU197" t="s">
        <v>3</v>
      </c>
      <c r="GV197">
        <f t="shared" si="136"/>
        <v>0</v>
      </c>
      <c r="GW197">
        <v>1</v>
      </c>
      <c r="GX197">
        <f t="shared" si="137"/>
        <v>0</v>
      </c>
      <c r="HA197">
        <v>0</v>
      </c>
      <c r="HB197">
        <v>0</v>
      </c>
      <c r="HC197">
        <f t="shared" si="138"/>
        <v>0</v>
      </c>
      <c r="HE197" t="s">
        <v>3</v>
      </c>
      <c r="HF197" t="s">
        <v>3</v>
      </c>
      <c r="HM197" t="s">
        <v>3</v>
      </c>
      <c r="HN197" t="s">
        <v>3</v>
      </c>
      <c r="HO197" t="s">
        <v>3</v>
      </c>
      <c r="HP197" t="s">
        <v>3</v>
      </c>
      <c r="HQ197" t="s">
        <v>3</v>
      </c>
      <c r="IK197">
        <v>0</v>
      </c>
    </row>
    <row r="198" spans="1:245" x14ac:dyDescent="0.2">
      <c r="A198">
        <v>17</v>
      </c>
      <c r="B198">
        <v>1</v>
      </c>
      <c r="D198">
        <f>ROW(EtalonRes!A42)</f>
        <v>42</v>
      </c>
      <c r="E198" t="s">
        <v>3</v>
      </c>
      <c r="F198" t="s">
        <v>143</v>
      </c>
      <c r="G198" t="s">
        <v>144</v>
      </c>
      <c r="H198" t="s">
        <v>20</v>
      </c>
      <c r="I198">
        <v>6</v>
      </c>
      <c r="J198">
        <v>0</v>
      </c>
      <c r="K198">
        <v>6</v>
      </c>
      <c r="O198">
        <f t="shared" si="108"/>
        <v>3038.04</v>
      </c>
      <c r="P198">
        <f t="shared" si="109"/>
        <v>0</v>
      </c>
      <c r="Q198">
        <f t="shared" si="110"/>
        <v>0</v>
      </c>
      <c r="R198">
        <f t="shared" si="111"/>
        <v>0</v>
      </c>
      <c r="S198">
        <f t="shared" si="112"/>
        <v>3038.04</v>
      </c>
      <c r="T198">
        <f t="shared" si="113"/>
        <v>0</v>
      </c>
      <c r="U198">
        <f t="shared" si="114"/>
        <v>4.92</v>
      </c>
      <c r="V198">
        <f t="shared" si="115"/>
        <v>0</v>
      </c>
      <c r="W198">
        <f t="shared" si="116"/>
        <v>0</v>
      </c>
      <c r="X198">
        <f t="shared" si="117"/>
        <v>2126.63</v>
      </c>
      <c r="Y198">
        <f t="shared" si="117"/>
        <v>303.8</v>
      </c>
      <c r="AA198">
        <v>-1</v>
      </c>
      <c r="AB198">
        <f t="shared" si="118"/>
        <v>506.34</v>
      </c>
      <c r="AC198">
        <f>ROUND((ES198),6)</f>
        <v>0</v>
      </c>
      <c r="AD198">
        <f>ROUND((((ET198)-(EU198))+AE198),6)</f>
        <v>0</v>
      </c>
      <c r="AE198">
        <f>ROUND((EU198),6)</f>
        <v>0</v>
      </c>
      <c r="AF198">
        <f>ROUND((EV198),6)</f>
        <v>506.34</v>
      </c>
      <c r="AG198">
        <f t="shared" si="119"/>
        <v>0</v>
      </c>
      <c r="AH198">
        <f>(EW198)</f>
        <v>0.82</v>
      </c>
      <c r="AI198">
        <f>(EX198)</f>
        <v>0</v>
      </c>
      <c r="AJ198">
        <f t="shared" si="120"/>
        <v>0</v>
      </c>
      <c r="AK198">
        <v>506.34</v>
      </c>
      <c r="AL198">
        <v>0</v>
      </c>
      <c r="AM198">
        <v>0</v>
      </c>
      <c r="AN198">
        <v>0</v>
      </c>
      <c r="AO198">
        <v>506.34</v>
      </c>
      <c r="AP198">
        <v>0</v>
      </c>
      <c r="AQ198">
        <v>0.82</v>
      </c>
      <c r="AR198">
        <v>0</v>
      </c>
      <c r="AS198">
        <v>0</v>
      </c>
      <c r="AT198">
        <v>70</v>
      </c>
      <c r="AU198">
        <v>10</v>
      </c>
      <c r="AV198">
        <v>1</v>
      </c>
      <c r="AW198">
        <v>1</v>
      </c>
      <c r="AZ198">
        <v>1</v>
      </c>
      <c r="BA198">
        <v>1</v>
      </c>
      <c r="BB198">
        <v>1</v>
      </c>
      <c r="BC198">
        <v>1</v>
      </c>
      <c r="BD198" t="s">
        <v>3</v>
      </c>
      <c r="BE198" t="s">
        <v>3</v>
      </c>
      <c r="BF198" t="s">
        <v>3</v>
      </c>
      <c r="BG198" t="s">
        <v>3</v>
      </c>
      <c r="BH198">
        <v>0</v>
      </c>
      <c r="BI198">
        <v>4</v>
      </c>
      <c r="BJ198" t="s">
        <v>145</v>
      </c>
      <c r="BM198">
        <v>0</v>
      </c>
      <c r="BN198">
        <v>0</v>
      </c>
      <c r="BO198" t="s">
        <v>3</v>
      </c>
      <c r="BP198">
        <v>0</v>
      </c>
      <c r="BQ198">
        <v>1</v>
      </c>
      <c r="BR198">
        <v>0</v>
      </c>
      <c r="BS198">
        <v>1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3</v>
      </c>
      <c r="BZ198">
        <v>70</v>
      </c>
      <c r="CA198">
        <v>10</v>
      </c>
      <c r="CB198" t="s">
        <v>3</v>
      </c>
      <c r="CE198">
        <v>0</v>
      </c>
      <c r="CF198">
        <v>0</v>
      </c>
      <c r="CG198">
        <v>0</v>
      </c>
      <c r="CM198">
        <v>0</v>
      </c>
      <c r="CN198" t="s">
        <v>3</v>
      </c>
      <c r="CO198">
        <v>0</v>
      </c>
      <c r="CP198">
        <f t="shared" si="121"/>
        <v>3038.04</v>
      </c>
      <c r="CQ198">
        <f t="shared" si="122"/>
        <v>0</v>
      </c>
      <c r="CR198">
        <f>((((ET198)*BB198-(EU198)*BS198)+AE198*BS198)*AV198)</f>
        <v>0</v>
      </c>
      <c r="CS198">
        <f t="shared" si="123"/>
        <v>0</v>
      </c>
      <c r="CT198">
        <f t="shared" si="124"/>
        <v>506.34</v>
      </c>
      <c r="CU198">
        <f t="shared" si="125"/>
        <v>0</v>
      </c>
      <c r="CV198">
        <f t="shared" si="126"/>
        <v>0.82</v>
      </c>
      <c r="CW198">
        <f t="shared" si="127"/>
        <v>0</v>
      </c>
      <c r="CX198">
        <f t="shared" si="127"/>
        <v>0</v>
      </c>
      <c r="CY198">
        <f t="shared" si="128"/>
        <v>2126.6279999999997</v>
      </c>
      <c r="CZ198">
        <f t="shared" si="129"/>
        <v>303.80400000000003</v>
      </c>
      <c r="DC198" t="s">
        <v>3</v>
      </c>
      <c r="DD198" t="s">
        <v>3</v>
      </c>
      <c r="DE198" t="s">
        <v>3</v>
      </c>
      <c r="DF198" t="s">
        <v>3</v>
      </c>
      <c r="DG198" t="s">
        <v>3</v>
      </c>
      <c r="DH198" t="s">
        <v>3</v>
      </c>
      <c r="DI198" t="s">
        <v>3</v>
      </c>
      <c r="DJ198" t="s">
        <v>3</v>
      </c>
      <c r="DK198" t="s">
        <v>3</v>
      </c>
      <c r="DL198" t="s">
        <v>3</v>
      </c>
      <c r="DM198" t="s">
        <v>3</v>
      </c>
      <c r="DN198">
        <v>0</v>
      </c>
      <c r="DO198">
        <v>0</v>
      </c>
      <c r="DP198">
        <v>1</v>
      </c>
      <c r="DQ198">
        <v>1</v>
      </c>
      <c r="DU198">
        <v>16987630</v>
      </c>
      <c r="DV198" t="s">
        <v>20</v>
      </c>
      <c r="DW198" t="s">
        <v>20</v>
      </c>
      <c r="DX198">
        <v>1</v>
      </c>
      <c r="DZ198" t="s">
        <v>3</v>
      </c>
      <c r="EA198" t="s">
        <v>3</v>
      </c>
      <c r="EB198" t="s">
        <v>3</v>
      </c>
      <c r="EC198" t="s">
        <v>3</v>
      </c>
      <c r="EE198">
        <v>1441815344</v>
      </c>
      <c r="EF198">
        <v>1</v>
      </c>
      <c r="EG198" t="s">
        <v>22</v>
      </c>
      <c r="EH198">
        <v>0</v>
      </c>
      <c r="EI198" t="s">
        <v>3</v>
      </c>
      <c r="EJ198">
        <v>4</v>
      </c>
      <c r="EK198">
        <v>0</v>
      </c>
      <c r="EL198" t="s">
        <v>23</v>
      </c>
      <c r="EM198" t="s">
        <v>24</v>
      </c>
      <c r="EO198" t="s">
        <v>3</v>
      </c>
      <c r="EQ198">
        <v>1311744</v>
      </c>
      <c r="ER198">
        <v>506.34</v>
      </c>
      <c r="ES198">
        <v>0</v>
      </c>
      <c r="ET198">
        <v>0</v>
      </c>
      <c r="EU198">
        <v>0</v>
      </c>
      <c r="EV198">
        <v>506.34</v>
      </c>
      <c r="EW198">
        <v>0.82</v>
      </c>
      <c r="EX198">
        <v>0</v>
      </c>
      <c r="EY198">
        <v>0</v>
      </c>
      <c r="FQ198">
        <v>0</v>
      </c>
      <c r="FR198">
        <f t="shared" si="130"/>
        <v>0</v>
      </c>
      <c r="FS198">
        <v>0</v>
      </c>
      <c r="FX198">
        <v>70</v>
      </c>
      <c r="FY198">
        <v>10</v>
      </c>
      <c r="GA198" t="s">
        <v>3</v>
      </c>
      <c r="GD198">
        <v>0</v>
      </c>
      <c r="GF198">
        <v>1354931498</v>
      </c>
      <c r="GG198">
        <v>2</v>
      </c>
      <c r="GH198">
        <v>1</v>
      </c>
      <c r="GI198">
        <v>-2</v>
      </c>
      <c r="GJ198">
        <v>0</v>
      </c>
      <c r="GK198">
        <f>ROUND(R198*(R12)/100,2)</f>
        <v>0</v>
      </c>
      <c r="GL198">
        <f t="shared" si="131"/>
        <v>0</v>
      </c>
      <c r="GM198">
        <f t="shared" si="132"/>
        <v>5468.47</v>
      </c>
      <c r="GN198">
        <f t="shared" si="133"/>
        <v>0</v>
      </c>
      <c r="GO198">
        <f t="shared" si="134"/>
        <v>0</v>
      </c>
      <c r="GP198">
        <f t="shared" si="135"/>
        <v>5468.47</v>
      </c>
      <c r="GR198">
        <v>0</v>
      </c>
      <c r="GS198">
        <v>3</v>
      </c>
      <c r="GT198">
        <v>0</v>
      </c>
      <c r="GU198" t="s">
        <v>3</v>
      </c>
      <c r="GV198">
        <f t="shared" si="136"/>
        <v>0</v>
      </c>
      <c r="GW198">
        <v>1</v>
      </c>
      <c r="GX198">
        <f t="shared" si="137"/>
        <v>0</v>
      </c>
      <c r="HA198">
        <v>0</v>
      </c>
      <c r="HB198">
        <v>0</v>
      </c>
      <c r="HC198">
        <f t="shared" si="138"/>
        <v>0</v>
      </c>
      <c r="HE198" t="s">
        <v>3</v>
      </c>
      <c r="HF198" t="s">
        <v>3</v>
      </c>
      <c r="HM198" t="s">
        <v>3</v>
      </c>
      <c r="HN198" t="s">
        <v>3</v>
      </c>
      <c r="HO198" t="s">
        <v>3</v>
      </c>
      <c r="HP198" t="s">
        <v>3</v>
      </c>
      <c r="HQ198" t="s">
        <v>3</v>
      </c>
      <c r="IK198">
        <v>0</v>
      </c>
    </row>
    <row r="200" spans="1:245" x14ac:dyDescent="0.2">
      <c r="A200" s="2">
        <v>51</v>
      </c>
      <c r="B200" s="2">
        <f>B187</f>
        <v>1</v>
      </c>
      <c r="C200" s="2">
        <f>A187</f>
        <v>5</v>
      </c>
      <c r="D200" s="2">
        <f>ROW(A187)</f>
        <v>187</v>
      </c>
      <c r="E200" s="2"/>
      <c r="F200" s="2" t="str">
        <f>IF(F187&lt;&gt;"",F187,"")</f>
        <v>Новый подраздел</v>
      </c>
      <c r="G200" s="2" t="str">
        <f>IF(G187&lt;&gt;"",G187,"")</f>
        <v>Внутренний водосток</v>
      </c>
      <c r="H200" s="2">
        <v>0</v>
      </c>
      <c r="I200" s="2"/>
      <c r="J200" s="2"/>
      <c r="K200" s="2"/>
      <c r="L200" s="2"/>
      <c r="M200" s="2"/>
      <c r="N200" s="2"/>
      <c r="O200" s="2">
        <f t="shared" ref="O200:T200" si="141">ROUND(AB200,2)</f>
        <v>19486.54</v>
      </c>
      <c r="P200" s="2">
        <f t="shared" si="141"/>
        <v>495.84</v>
      </c>
      <c r="Q200" s="2">
        <f t="shared" si="141"/>
        <v>0</v>
      </c>
      <c r="R200" s="2">
        <f t="shared" si="141"/>
        <v>0</v>
      </c>
      <c r="S200" s="2">
        <f t="shared" si="141"/>
        <v>18990.7</v>
      </c>
      <c r="T200" s="2">
        <f t="shared" si="141"/>
        <v>0</v>
      </c>
      <c r="U200" s="2">
        <f>AH200</f>
        <v>26.927400000000002</v>
      </c>
      <c r="V200" s="2">
        <f>AI200</f>
        <v>0</v>
      </c>
      <c r="W200" s="2">
        <f>ROUND(AJ200,2)</f>
        <v>0</v>
      </c>
      <c r="X200" s="2">
        <f>ROUND(AK200,2)</f>
        <v>13293.49</v>
      </c>
      <c r="Y200" s="2">
        <f>ROUND(AL200,2)</f>
        <v>1899.07</v>
      </c>
      <c r="Z200" s="2"/>
      <c r="AA200" s="2"/>
      <c r="AB200" s="2">
        <f>ROUND(SUMIF(AA191:AA198,"=1472506909",O191:O198),2)</f>
        <v>19486.54</v>
      </c>
      <c r="AC200" s="2">
        <f>ROUND(SUMIF(AA191:AA198,"=1472506909",P191:P198),2)</f>
        <v>495.84</v>
      </c>
      <c r="AD200" s="2">
        <f>ROUND(SUMIF(AA191:AA198,"=1472506909",Q191:Q198),2)</f>
        <v>0</v>
      </c>
      <c r="AE200" s="2">
        <f>ROUND(SUMIF(AA191:AA198,"=1472506909",R191:R198),2)</f>
        <v>0</v>
      </c>
      <c r="AF200" s="2">
        <f>ROUND(SUMIF(AA191:AA198,"=1472506909",S191:S198),2)</f>
        <v>18990.7</v>
      </c>
      <c r="AG200" s="2">
        <f>ROUND(SUMIF(AA191:AA198,"=1472506909",T191:T198),2)</f>
        <v>0</v>
      </c>
      <c r="AH200" s="2">
        <f>SUMIF(AA191:AA198,"=1472506909",U191:U198)</f>
        <v>26.927400000000002</v>
      </c>
      <c r="AI200" s="2">
        <f>SUMIF(AA191:AA198,"=1472506909",V191:V198)</f>
        <v>0</v>
      </c>
      <c r="AJ200" s="2">
        <f>ROUND(SUMIF(AA191:AA198,"=1472506909",W191:W198),2)</f>
        <v>0</v>
      </c>
      <c r="AK200" s="2">
        <f>ROUND(SUMIF(AA191:AA198,"=1472506909",X191:X198),2)</f>
        <v>13293.49</v>
      </c>
      <c r="AL200" s="2">
        <f>ROUND(SUMIF(AA191:AA198,"=1472506909",Y191:Y198),2)</f>
        <v>1899.07</v>
      </c>
      <c r="AM200" s="2"/>
      <c r="AN200" s="2"/>
      <c r="AO200" s="2">
        <f t="shared" ref="AO200:BD200" si="142">ROUND(BX200,2)</f>
        <v>0</v>
      </c>
      <c r="AP200" s="2">
        <f t="shared" si="142"/>
        <v>0</v>
      </c>
      <c r="AQ200" s="2">
        <f t="shared" si="142"/>
        <v>0</v>
      </c>
      <c r="AR200" s="2">
        <f t="shared" si="142"/>
        <v>34679.1</v>
      </c>
      <c r="AS200" s="2">
        <f t="shared" si="142"/>
        <v>0</v>
      </c>
      <c r="AT200" s="2">
        <f t="shared" si="142"/>
        <v>0</v>
      </c>
      <c r="AU200" s="2">
        <f t="shared" si="142"/>
        <v>34679.1</v>
      </c>
      <c r="AV200" s="2">
        <f t="shared" si="142"/>
        <v>495.84</v>
      </c>
      <c r="AW200" s="2">
        <f t="shared" si="142"/>
        <v>495.84</v>
      </c>
      <c r="AX200" s="2">
        <f t="shared" si="142"/>
        <v>0</v>
      </c>
      <c r="AY200" s="2">
        <f t="shared" si="142"/>
        <v>495.84</v>
      </c>
      <c r="AZ200" s="2">
        <f t="shared" si="142"/>
        <v>0</v>
      </c>
      <c r="BA200" s="2">
        <f t="shared" si="142"/>
        <v>0</v>
      </c>
      <c r="BB200" s="2">
        <f t="shared" si="142"/>
        <v>0</v>
      </c>
      <c r="BC200" s="2">
        <f t="shared" si="142"/>
        <v>0</v>
      </c>
      <c r="BD200" s="2">
        <f t="shared" si="142"/>
        <v>0</v>
      </c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>
        <f>ROUND(SUMIF(AA191:AA198,"=1472506909",FQ191:FQ198),2)</f>
        <v>0</v>
      </c>
      <c r="BY200" s="2">
        <f>ROUND(SUMIF(AA191:AA198,"=1472506909",FR191:FR198),2)</f>
        <v>0</v>
      </c>
      <c r="BZ200" s="2">
        <f>ROUND(SUMIF(AA191:AA198,"=1472506909",GL191:GL198),2)</f>
        <v>0</v>
      </c>
      <c r="CA200" s="2">
        <f>ROUND(SUMIF(AA191:AA198,"=1472506909",GM191:GM198),2)</f>
        <v>34679.1</v>
      </c>
      <c r="CB200" s="2">
        <f>ROUND(SUMIF(AA191:AA198,"=1472506909",GN191:GN198),2)</f>
        <v>0</v>
      </c>
      <c r="CC200" s="2">
        <f>ROUND(SUMIF(AA191:AA198,"=1472506909",GO191:GO198),2)</f>
        <v>0</v>
      </c>
      <c r="CD200" s="2">
        <f>ROUND(SUMIF(AA191:AA198,"=1472506909",GP191:GP198),2)</f>
        <v>34679.1</v>
      </c>
      <c r="CE200" s="2">
        <f>AC200-BX200</f>
        <v>495.84</v>
      </c>
      <c r="CF200" s="2">
        <f>AC200-BY200</f>
        <v>495.84</v>
      </c>
      <c r="CG200" s="2">
        <f>BX200-BZ200</f>
        <v>0</v>
      </c>
      <c r="CH200" s="2">
        <f>AC200-BX200-BY200+BZ200</f>
        <v>495.84</v>
      </c>
      <c r="CI200" s="2">
        <f>BY200-BZ200</f>
        <v>0</v>
      </c>
      <c r="CJ200" s="2">
        <f>ROUND(SUMIF(AA191:AA198,"=1472506909",GX191:GX198),2)</f>
        <v>0</v>
      </c>
      <c r="CK200" s="2">
        <f>ROUND(SUMIF(AA191:AA198,"=1472506909",GY191:GY198),2)</f>
        <v>0</v>
      </c>
      <c r="CL200" s="2">
        <f>ROUND(SUMIF(AA191:AA198,"=1472506909",GZ191:GZ198),2)</f>
        <v>0</v>
      </c>
      <c r="CM200" s="2">
        <f>ROUND(SUMIF(AA191:AA198,"=1472506909",HD191:HD198),2)</f>
        <v>0</v>
      </c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  <c r="FA200" s="3"/>
      <c r="FB200" s="3"/>
      <c r="FC200" s="3"/>
      <c r="FD200" s="3"/>
      <c r="FE200" s="3"/>
      <c r="FF200" s="3"/>
      <c r="FG200" s="3"/>
      <c r="FH200" s="3"/>
      <c r="FI200" s="3"/>
      <c r="FJ200" s="3"/>
      <c r="FK200" s="3"/>
      <c r="FL200" s="3"/>
      <c r="FM200" s="3"/>
      <c r="FN200" s="3"/>
      <c r="FO200" s="3"/>
      <c r="FP200" s="3"/>
      <c r="FQ200" s="3"/>
      <c r="FR200" s="3"/>
      <c r="FS200" s="3"/>
      <c r="FT200" s="3"/>
      <c r="FU200" s="3"/>
      <c r="FV200" s="3"/>
      <c r="FW200" s="3"/>
      <c r="FX200" s="3"/>
      <c r="FY200" s="3"/>
      <c r="FZ200" s="3"/>
      <c r="GA200" s="3"/>
      <c r="GB200" s="3"/>
      <c r="GC200" s="3"/>
      <c r="GD200" s="3"/>
      <c r="GE200" s="3"/>
      <c r="GF200" s="3"/>
      <c r="GG200" s="3"/>
      <c r="GH200" s="3"/>
      <c r="GI200" s="3"/>
      <c r="GJ200" s="3"/>
      <c r="GK200" s="3"/>
      <c r="GL200" s="3"/>
      <c r="GM200" s="3"/>
      <c r="GN200" s="3"/>
      <c r="GO200" s="3"/>
      <c r="GP200" s="3"/>
      <c r="GQ200" s="3"/>
      <c r="GR200" s="3"/>
      <c r="GS200" s="3"/>
      <c r="GT200" s="3"/>
      <c r="GU200" s="3"/>
      <c r="GV200" s="3"/>
      <c r="GW200" s="3"/>
      <c r="GX200" s="3">
        <v>0</v>
      </c>
    </row>
    <row r="202" spans="1:245" x14ac:dyDescent="0.2">
      <c r="A202" s="4">
        <v>50</v>
      </c>
      <c r="B202" s="4">
        <v>0</v>
      </c>
      <c r="C202" s="4">
        <v>0</v>
      </c>
      <c r="D202" s="4">
        <v>1</v>
      </c>
      <c r="E202" s="4">
        <v>201</v>
      </c>
      <c r="F202" s="4">
        <f>ROUND(Source!O200,O202)</f>
        <v>19486.54</v>
      </c>
      <c r="G202" s="4" t="s">
        <v>36</v>
      </c>
      <c r="H202" s="4" t="s">
        <v>37</v>
      </c>
      <c r="I202" s="4"/>
      <c r="J202" s="4"/>
      <c r="K202" s="4">
        <v>201</v>
      </c>
      <c r="L202" s="4">
        <v>1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19486.54</v>
      </c>
      <c r="X202" s="4">
        <v>1</v>
      </c>
      <c r="Y202" s="4">
        <v>19486.54</v>
      </c>
      <c r="Z202" s="4"/>
      <c r="AA202" s="4"/>
      <c r="AB202" s="4"/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202</v>
      </c>
      <c r="F203" s="4">
        <f>ROUND(Source!P200,O203)</f>
        <v>495.84</v>
      </c>
      <c r="G203" s="4" t="s">
        <v>38</v>
      </c>
      <c r="H203" s="4" t="s">
        <v>39</v>
      </c>
      <c r="I203" s="4"/>
      <c r="J203" s="4"/>
      <c r="K203" s="4">
        <v>202</v>
      </c>
      <c r="L203" s="4">
        <v>2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495.84</v>
      </c>
      <c r="X203" s="4">
        <v>1</v>
      </c>
      <c r="Y203" s="4">
        <v>495.84</v>
      </c>
      <c r="Z203" s="4"/>
      <c r="AA203" s="4"/>
      <c r="AB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222</v>
      </c>
      <c r="F204" s="4">
        <f>ROUND(Source!AO200,O204)</f>
        <v>0</v>
      </c>
      <c r="G204" s="4" t="s">
        <v>40</v>
      </c>
      <c r="H204" s="4" t="s">
        <v>41</v>
      </c>
      <c r="I204" s="4"/>
      <c r="J204" s="4"/>
      <c r="K204" s="4">
        <v>222</v>
      </c>
      <c r="L204" s="4">
        <v>3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225</v>
      </c>
      <c r="F205" s="4">
        <f>ROUND(Source!AV200,O205)</f>
        <v>495.84</v>
      </c>
      <c r="G205" s="4" t="s">
        <v>42</v>
      </c>
      <c r="H205" s="4" t="s">
        <v>43</v>
      </c>
      <c r="I205" s="4"/>
      <c r="J205" s="4"/>
      <c r="K205" s="4">
        <v>225</v>
      </c>
      <c r="L205" s="4">
        <v>4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495.84</v>
      </c>
      <c r="X205" s="4">
        <v>1</v>
      </c>
      <c r="Y205" s="4">
        <v>495.84</v>
      </c>
      <c r="Z205" s="4"/>
      <c r="AA205" s="4"/>
      <c r="AB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226</v>
      </c>
      <c r="F206" s="4">
        <f>ROUND(Source!AW200,O206)</f>
        <v>495.84</v>
      </c>
      <c r="G206" s="4" t="s">
        <v>44</v>
      </c>
      <c r="H206" s="4" t="s">
        <v>45</v>
      </c>
      <c r="I206" s="4"/>
      <c r="J206" s="4"/>
      <c r="K206" s="4">
        <v>226</v>
      </c>
      <c r="L206" s="4">
        <v>5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495.84</v>
      </c>
      <c r="X206" s="4">
        <v>1</v>
      </c>
      <c r="Y206" s="4">
        <v>495.84</v>
      </c>
      <c r="Z206" s="4"/>
      <c r="AA206" s="4"/>
      <c r="AB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227</v>
      </c>
      <c r="F207" s="4">
        <f>ROUND(Source!AX200,O207)</f>
        <v>0</v>
      </c>
      <c r="G207" s="4" t="s">
        <v>46</v>
      </c>
      <c r="H207" s="4" t="s">
        <v>47</v>
      </c>
      <c r="I207" s="4"/>
      <c r="J207" s="4"/>
      <c r="K207" s="4">
        <v>227</v>
      </c>
      <c r="L207" s="4">
        <v>6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228</v>
      </c>
      <c r="F208" s="4">
        <f>ROUND(Source!AY200,O208)</f>
        <v>495.84</v>
      </c>
      <c r="G208" s="4" t="s">
        <v>48</v>
      </c>
      <c r="H208" s="4" t="s">
        <v>49</v>
      </c>
      <c r="I208" s="4"/>
      <c r="J208" s="4"/>
      <c r="K208" s="4">
        <v>228</v>
      </c>
      <c r="L208" s="4">
        <v>7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495.84</v>
      </c>
      <c r="X208" s="4">
        <v>1</v>
      </c>
      <c r="Y208" s="4">
        <v>495.84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216</v>
      </c>
      <c r="F209" s="4">
        <f>ROUND(Source!AP200,O209)</f>
        <v>0</v>
      </c>
      <c r="G209" s="4" t="s">
        <v>50</v>
      </c>
      <c r="H209" s="4" t="s">
        <v>51</v>
      </c>
      <c r="I209" s="4"/>
      <c r="J209" s="4"/>
      <c r="K209" s="4">
        <v>216</v>
      </c>
      <c r="L209" s="4">
        <v>8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223</v>
      </c>
      <c r="F210" s="4">
        <f>ROUND(Source!AQ200,O210)</f>
        <v>0</v>
      </c>
      <c r="G210" s="4" t="s">
        <v>52</v>
      </c>
      <c r="H210" s="4" t="s">
        <v>53</v>
      </c>
      <c r="I210" s="4"/>
      <c r="J210" s="4"/>
      <c r="K210" s="4">
        <v>223</v>
      </c>
      <c r="L210" s="4">
        <v>9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229</v>
      </c>
      <c r="F211" s="4">
        <f>ROUND(Source!AZ200,O211)</f>
        <v>0</v>
      </c>
      <c r="G211" s="4" t="s">
        <v>54</v>
      </c>
      <c r="H211" s="4" t="s">
        <v>55</v>
      </c>
      <c r="I211" s="4"/>
      <c r="J211" s="4"/>
      <c r="K211" s="4">
        <v>229</v>
      </c>
      <c r="L211" s="4">
        <v>10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203</v>
      </c>
      <c r="F212" s="4">
        <f>ROUND(Source!Q200,O212)</f>
        <v>0</v>
      </c>
      <c r="G212" s="4" t="s">
        <v>56</v>
      </c>
      <c r="H212" s="4" t="s">
        <v>57</v>
      </c>
      <c r="I212" s="4"/>
      <c r="J212" s="4"/>
      <c r="K212" s="4">
        <v>203</v>
      </c>
      <c r="L212" s="4">
        <v>11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231</v>
      </c>
      <c r="F213" s="4">
        <f>ROUND(Source!BB200,O213)</f>
        <v>0</v>
      </c>
      <c r="G213" s="4" t="s">
        <v>58</v>
      </c>
      <c r="H213" s="4" t="s">
        <v>59</v>
      </c>
      <c r="I213" s="4"/>
      <c r="J213" s="4"/>
      <c r="K213" s="4">
        <v>231</v>
      </c>
      <c r="L213" s="4">
        <v>12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204</v>
      </c>
      <c r="F214" s="4">
        <f>ROUND(Source!R200,O214)</f>
        <v>0</v>
      </c>
      <c r="G214" s="4" t="s">
        <v>60</v>
      </c>
      <c r="H214" s="4" t="s">
        <v>61</v>
      </c>
      <c r="I214" s="4"/>
      <c r="J214" s="4"/>
      <c r="K214" s="4">
        <v>204</v>
      </c>
      <c r="L214" s="4">
        <v>13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205</v>
      </c>
      <c r="F215" s="4">
        <f>ROUND(Source!S200,O215)</f>
        <v>18990.7</v>
      </c>
      <c r="G215" s="4" t="s">
        <v>62</v>
      </c>
      <c r="H215" s="4" t="s">
        <v>63</v>
      </c>
      <c r="I215" s="4"/>
      <c r="J215" s="4"/>
      <c r="K215" s="4">
        <v>205</v>
      </c>
      <c r="L215" s="4">
        <v>14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18990.7</v>
      </c>
      <c r="X215" s="4">
        <v>1</v>
      </c>
      <c r="Y215" s="4">
        <v>18990.7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232</v>
      </c>
      <c r="F216" s="4">
        <f>ROUND(Source!BC200,O216)</f>
        <v>0</v>
      </c>
      <c r="G216" s="4" t="s">
        <v>64</v>
      </c>
      <c r="H216" s="4" t="s">
        <v>65</v>
      </c>
      <c r="I216" s="4"/>
      <c r="J216" s="4"/>
      <c r="K216" s="4">
        <v>232</v>
      </c>
      <c r="L216" s="4">
        <v>15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214</v>
      </c>
      <c r="F217" s="4">
        <f>ROUND(Source!AS200,O217)</f>
        <v>0</v>
      </c>
      <c r="G217" s="4" t="s">
        <v>66</v>
      </c>
      <c r="H217" s="4" t="s">
        <v>67</v>
      </c>
      <c r="I217" s="4"/>
      <c r="J217" s="4"/>
      <c r="K217" s="4">
        <v>214</v>
      </c>
      <c r="L217" s="4">
        <v>16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215</v>
      </c>
      <c r="F218" s="4">
        <f>ROUND(Source!AT200,O218)</f>
        <v>0</v>
      </c>
      <c r="G218" s="4" t="s">
        <v>68</v>
      </c>
      <c r="H218" s="4" t="s">
        <v>69</v>
      </c>
      <c r="I218" s="4"/>
      <c r="J218" s="4"/>
      <c r="K218" s="4">
        <v>215</v>
      </c>
      <c r="L218" s="4">
        <v>17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217</v>
      </c>
      <c r="F219" s="4">
        <f>ROUND(Source!AU200,O219)</f>
        <v>34679.1</v>
      </c>
      <c r="G219" s="4" t="s">
        <v>70</v>
      </c>
      <c r="H219" s="4" t="s">
        <v>71</v>
      </c>
      <c r="I219" s="4"/>
      <c r="J219" s="4"/>
      <c r="K219" s="4">
        <v>217</v>
      </c>
      <c r="L219" s="4">
        <v>18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34679.1</v>
      </c>
      <c r="X219" s="4">
        <v>1</v>
      </c>
      <c r="Y219" s="4">
        <v>34679.1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230</v>
      </c>
      <c r="F220" s="4">
        <f>ROUND(Source!BA200,O220)</f>
        <v>0</v>
      </c>
      <c r="G220" s="4" t="s">
        <v>72</v>
      </c>
      <c r="H220" s="4" t="s">
        <v>73</v>
      </c>
      <c r="I220" s="4"/>
      <c r="J220" s="4"/>
      <c r="K220" s="4">
        <v>230</v>
      </c>
      <c r="L220" s="4">
        <v>19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206</v>
      </c>
      <c r="F221" s="4">
        <f>ROUND(Source!T200,O221)</f>
        <v>0</v>
      </c>
      <c r="G221" s="4" t="s">
        <v>74</v>
      </c>
      <c r="H221" s="4" t="s">
        <v>75</v>
      </c>
      <c r="I221" s="4"/>
      <c r="J221" s="4"/>
      <c r="K221" s="4">
        <v>206</v>
      </c>
      <c r="L221" s="4">
        <v>20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207</v>
      </c>
      <c r="F222" s="4">
        <f>Source!U200</f>
        <v>26.927400000000002</v>
      </c>
      <c r="G222" s="4" t="s">
        <v>76</v>
      </c>
      <c r="H222" s="4" t="s">
        <v>77</v>
      </c>
      <c r="I222" s="4"/>
      <c r="J222" s="4"/>
      <c r="K222" s="4">
        <v>207</v>
      </c>
      <c r="L222" s="4">
        <v>21</v>
      </c>
      <c r="M222" s="4">
        <v>3</v>
      </c>
      <c r="N222" s="4" t="s">
        <v>3</v>
      </c>
      <c r="O222" s="4">
        <v>-1</v>
      </c>
      <c r="P222" s="4"/>
      <c r="Q222" s="4"/>
      <c r="R222" s="4"/>
      <c r="S222" s="4"/>
      <c r="T222" s="4"/>
      <c r="U222" s="4"/>
      <c r="V222" s="4"/>
      <c r="W222" s="4">
        <v>26.927399999999999</v>
      </c>
      <c r="X222" s="4">
        <v>1</v>
      </c>
      <c r="Y222" s="4">
        <v>26.927399999999999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208</v>
      </c>
      <c r="F223" s="4">
        <f>Source!V200</f>
        <v>0</v>
      </c>
      <c r="G223" s="4" t="s">
        <v>78</v>
      </c>
      <c r="H223" s="4" t="s">
        <v>79</v>
      </c>
      <c r="I223" s="4"/>
      <c r="J223" s="4"/>
      <c r="K223" s="4">
        <v>208</v>
      </c>
      <c r="L223" s="4">
        <v>22</v>
      </c>
      <c r="M223" s="4">
        <v>3</v>
      </c>
      <c r="N223" s="4" t="s">
        <v>3</v>
      </c>
      <c r="O223" s="4">
        <v>-1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209</v>
      </c>
      <c r="F224" s="4">
        <f>ROUND(Source!W200,O224)</f>
        <v>0</v>
      </c>
      <c r="G224" s="4" t="s">
        <v>80</v>
      </c>
      <c r="H224" s="4" t="s">
        <v>81</v>
      </c>
      <c r="I224" s="4"/>
      <c r="J224" s="4"/>
      <c r="K224" s="4">
        <v>209</v>
      </c>
      <c r="L224" s="4">
        <v>23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45" x14ac:dyDescent="0.2">
      <c r="A225" s="4">
        <v>50</v>
      </c>
      <c r="B225" s="4">
        <v>0</v>
      </c>
      <c r="C225" s="4">
        <v>0</v>
      </c>
      <c r="D225" s="4">
        <v>1</v>
      </c>
      <c r="E225" s="4">
        <v>233</v>
      </c>
      <c r="F225" s="4">
        <f>ROUND(Source!BD200,O225)</f>
        <v>0</v>
      </c>
      <c r="G225" s="4" t="s">
        <v>82</v>
      </c>
      <c r="H225" s="4" t="s">
        <v>83</v>
      </c>
      <c r="I225" s="4"/>
      <c r="J225" s="4"/>
      <c r="K225" s="4">
        <v>233</v>
      </c>
      <c r="L225" s="4">
        <v>24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45" x14ac:dyDescent="0.2">
      <c r="A226" s="4">
        <v>50</v>
      </c>
      <c r="B226" s="4">
        <v>0</v>
      </c>
      <c r="C226" s="4">
        <v>0</v>
      </c>
      <c r="D226" s="4">
        <v>1</v>
      </c>
      <c r="E226" s="4">
        <v>210</v>
      </c>
      <c r="F226" s="4">
        <f>ROUND(Source!X200,O226)</f>
        <v>13293.49</v>
      </c>
      <c r="G226" s="4" t="s">
        <v>84</v>
      </c>
      <c r="H226" s="4" t="s">
        <v>85</v>
      </c>
      <c r="I226" s="4"/>
      <c r="J226" s="4"/>
      <c r="K226" s="4">
        <v>210</v>
      </c>
      <c r="L226" s="4">
        <v>25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13293.49</v>
      </c>
      <c r="X226" s="4">
        <v>1</v>
      </c>
      <c r="Y226" s="4">
        <v>13293.49</v>
      </c>
      <c r="Z226" s="4"/>
      <c r="AA226" s="4"/>
      <c r="AB226" s="4"/>
    </row>
    <row r="227" spans="1:245" x14ac:dyDescent="0.2">
      <c r="A227" s="4">
        <v>50</v>
      </c>
      <c r="B227" s="4">
        <v>0</v>
      </c>
      <c r="C227" s="4">
        <v>0</v>
      </c>
      <c r="D227" s="4">
        <v>1</v>
      </c>
      <c r="E227" s="4">
        <v>211</v>
      </c>
      <c r="F227" s="4">
        <f>ROUND(Source!Y200,O227)</f>
        <v>1899.07</v>
      </c>
      <c r="G227" s="4" t="s">
        <v>86</v>
      </c>
      <c r="H227" s="4" t="s">
        <v>87</v>
      </c>
      <c r="I227" s="4"/>
      <c r="J227" s="4"/>
      <c r="K227" s="4">
        <v>211</v>
      </c>
      <c r="L227" s="4">
        <v>26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1899.07</v>
      </c>
      <c r="X227" s="4">
        <v>1</v>
      </c>
      <c r="Y227" s="4">
        <v>1899.07</v>
      </c>
      <c r="Z227" s="4"/>
      <c r="AA227" s="4"/>
      <c r="AB227" s="4"/>
    </row>
    <row r="228" spans="1:245" x14ac:dyDescent="0.2">
      <c r="A228" s="4">
        <v>50</v>
      </c>
      <c r="B228" s="4">
        <v>0</v>
      </c>
      <c r="C228" s="4">
        <v>0</v>
      </c>
      <c r="D228" s="4">
        <v>1</v>
      </c>
      <c r="E228" s="4">
        <v>224</v>
      </c>
      <c r="F228" s="4">
        <f>ROUND(Source!AR200,O228)</f>
        <v>34679.1</v>
      </c>
      <c r="G228" s="4" t="s">
        <v>88</v>
      </c>
      <c r="H228" s="4" t="s">
        <v>89</v>
      </c>
      <c r="I228" s="4"/>
      <c r="J228" s="4"/>
      <c r="K228" s="4">
        <v>224</v>
      </c>
      <c r="L228" s="4">
        <v>27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34679.1</v>
      </c>
      <c r="X228" s="4">
        <v>1</v>
      </c>
      <c r="Y228" s="4">
        <v>34679.1</v>
      </c>
      <c r="Z228" s="4"/>
      <c r="AA228" s="4"/>
      <c r="AB228" s="4"/>
    </row>
    <row r="230" spans="1:245" x14ac:dyDescent="0.2">
      <c r="A230" s="1">
        <v>5</v>
      </c>
      <c r="B230" s="1">
        <v>1</v>
      </c>
      <c r="C230" s="1"/>
      <c r="D230" s="1">
        <f>ROW(A251)</f>
        <v>251</v>
      </c>
      <c r="E230" s="1"/>
      <c r="F230" s="1" t="s">
        <v>15</v>
      </c>
      <c r="G230" s="1" t="s">
        <v>146</v>
      </c>
      <c r="H230" s="1" t="s">
        <v>3</v>
      </c>
      <c r="I230" s="1">
        <v>0</v>
      </c>
      <c r="J230" s="1"/>
      <c r="K230" s="1">
        <v>0</v>
      </c>
      <c r="L230" s="1"/>
      <c r="M230" s="1" t="s">
        <v>3</v>
      </c>
      <c r="N230" s="1"/>
      <c r="O230" s="1"/>
      <c r="P230" s="1"/>
      <c r="Q230" s="1"/>
      <c r="R230" s="1"/>
      <c r="S230" s="1">
        <v>0</v>
      </c>
      <c r="T230" s="1"/>
      <c r="U230" s="1" t="s">
        <v>3</v>
      </c>
      <c r="V230" s="1">
        <v>0</v>
      </c>
      <c r="W230" s="1"/>
      <c r="X230" s="1"/>
      <c r="Y230" s="1"/>
      <c r="Z230" s="1"/>
      <c r="AA230" s="1"/>
      <c r="AB230" s="1" t="s">
        <v>3</v>
      </c>
      <c r="AC230" s="1" t="s">
        <v>3</v>
      </c>
      <c r="AD230" s="1" t="s">
        <v>3</v>
      </c>
      <c r="AE230" s="1" t="s">
        <v>3</v>
      </c>
      <c r="AF230" s="1" t="s">
        <v>3</v>
      </c>
      <c r="AG230" s="1" t="s">
        <v>3</v>
      </c>
      <c r="AH230" s="1"/>
      <c r="AI230" s="1"/>
      <c r="AJ230" s="1"/>
      <c r="AK230" s="1"/>
      <c r="AL230" s="1"/>
      <c r="AM230" s="1"/>
      <c r="AN230" s="1"/>
      <c r="AO230" s="1"/>
      <c r="AP230" s="1" t="s">
        <v>3</v>
      </c>
      <c r="AQ230" s="1" t="s">
        <v>3</v>
      </c>
      <c r="AR230" s="1" t="s">
        <v>3</v>
      </c>
      <c r="AS230" s="1"/>
      <c r="AT230" s="1"/>
      <c r="AU230" s="1"/>
      <c r="AV230" s="1"/>
      <c r="AW230" s="1"/>
      <c r="AX230" s="1"/>
      <c r="AY230" s="1"/>
      <c r="AZ230" s="1" t="s">
        <v>3</v>
      </c>
      <c r="BA230" s="1"/>
      <c r="BB230" s="1" t="s">
        <v>3</v>
      </c>
      <c r="BC230" s="1" t="s">
        <v>3</v>
      </c>
      <c r="BD230" s="1" t="s">
        <v>3</v>
      </c>
      <c r="BE230" s="1" t="s">
        <v>3</v>
      </c>
      <c r="BF230" s="1" t="s">
        <v>3</v>
      </c>
      <c r="BG230" s="1" t="s">
        <v>3</v>
      </c>
      <c r="BH230" s="1" t="s">
        <v>3</v>
      </c>
      <c r="BI230" s="1" t="s">
        <v>3</v>
      </c>
      <c r="BJ230" s="1" t="s">
        <v>3</v>
      </c>
      <c r="BK230" s="1" t="s">
        <v>3</v>
      </c>
      <c r="BL230" s="1" t="s">
        <v>3</v>
      </c>
      <c r="BM230" s="1" t="s">
        <v>3</v>
      </c>
      <c r="BN230" s="1" t="s">
        <v>3</v>
      </c>
      <c r="BO230" s="1" t="s">
        <v>3</v>
      </c>
      <c r="BP230" s="1" t="s">
        <v>3</v>
      </c>
      <c r="BQ230" s="1"/>
      <c r="BR230" s="1"/>
      <c r="BS230" s="1"/>
      <c r="BT230" s="1"/>
      <c r="BU230" s="1"/>
      <c r="BV230" s="1"/>
      <c r="BW230" s="1"/>
      <c r="BX230" s="1">
        <v>0</v>
      </c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>
        <v>0</v>
      </c>
    </row>
    <row r="232" spans="1:245" x14ac:dyDescent="0.2">
      <c r="A232" s="2">
        <v>52</v>
      </c>
      <c r="B232" s="2">
        <f t="shared" ref="B232:G232" si="143">B251</f>
        <v>1</v>
      </c>
      <c r="C232" s="2">
        <f t="shared" si="143"/>
        <v>5</v>
      </c>
      <c r="D232" s="2">
        <f t="shared" si="143"/>
        <v>230</v>
      </c>
      <c r="E232" s="2">
        <f t="shared" si="143"/>
        <v>0</v>
      </c>
      <c r="F232" s="2" t="str">
        <f t="shared" si="143"/>
        <v>Новый подраздел</v>
      </c>
      <c r="G232" s="2" t="str">
        <f t="shared" si="143"/>
        <v>Сантехприборы и оборудование</v>
      </c>
      <c r="H232" s="2"/>
      <c r="I232" s="2"/>
      <c r="J232" s="2"/>
      <c r="K232" s="2"/>
      <c r="L232" s="2"/>
      <c r="M232" s="2"/>
      <c r="N232" s="2"/>
      <c r="O232" s="2">
        <f t="shared" ref="O232:AT232" si="144">O251</f>
        <v>46904.85</v>
      </c>
      <c r="P232" s="2">
        <f t="shared" si="144"/>
        <v>321.07</v>
      </c>
      <c r="Q232" s="2">
        <f t="shared" si="144"/>
        <v>9112.7999999999993</v>
      </c>
      <c r="R232" s="2">
        <f t="shared" si="144"/>
        <v>5765.42</v>
      </c>
      <c r="S232" s="2">
        <f t="shared" si="144"/>
        <v>37470.980000000003</v>
      </c>
      <c r="T232" s="2">
        <f t="shared" si="144"/>
        <v>0</v>
      </c>
      <c r="U232" s="2">
        <f t="shared" si="144"/>
        <v>68.494399999999985</v>
      </c>
      <c r="V232" s="2">
        <f t="shared" si="144"/>
        <v>0</v>
      </c>
      <c r="W232" s="2">
        <f t="shared" si="144"/>
        <v>0</v>
      </c>
      <c r="X232" s="2">
        <f t="shared" si="144"/>
        <v>26229.69</v>
      </c>
      <c r="Y232" s="2">
        <f t="shared" si="144"/>
        <v>3747.1</v>
      </c>
      <c r="Z232" s="2">
        <f t="shared" si="144"/>
        <v>0</v>
      </c>
      <c r="AA232" s="2">
        <f t="shared" si="144"/>
        <v>0</v>
      </c>
      <c r="AB232" s="2">
        <f t="shared" si="144"/>
        <v>46904.85</v>
      </c>
      <c r="AC232" s="2">
        <f t="shared" si="144"/>
        <v>321.07</v>
      </c>
      <c r="AD232" s="2">
        <f t="shared" si="144"/>
        <v>9112.7999999999993</v>
      </c>
      <c r="AE232" s="2">
        <f t="shared" si="144"/>
        <v>5765.42</v>
      </c>
      <c r="AF232" s="2">
        <f t="shared" si="144"/>
        <v>37470.980000000003</v>
      </c>
      <c r="AG232" s="2">
        <f t="shared" si="144"/>
        <v>0</v>
      </c>
      <c r="AH232" s="2">
        <f t="shared" si="144"/>
        <v>68.494399999999985</v>
      </c>
      <c r="AI232" s="2">
        <f t="shared" si="144"/>
        <v>0</v>
      </c>
      <c r="AJ232" s="2">
        <f t="shared" si="144"/>
        <v>0</v>
      </c>
      <c r="AK232" s="2">
        <f t="shared" si="144"/>
        <v>26229.69</v>
      </c>
      <c r="AL232" s="2">
        <f t="shared" si="144"/>
        <v>3747.1</v>
      </c>
      <c r="AM232" s="2">
        <f t="shared" si="144"/>
        <v>0</v>
      </c>
      <c r="AN232" s="2">
        <f t="shared" si="144"/>
        <v>0</v>
      </c>
      <c r="AO232" s="2">
        <f t="shared" si="144"/>
        <v>0</v>
      </c>
      <c r="AP232" s="2">
        <f t="shared" si="144"/>
        <v>0</v>
      </c>
      <c r="AQ232" s="2">
        <f t="shared" si="144"/>
        <v>0</v>
      </c>
      <c r="AR232" s="2">
        <f t="shared" si="144"/>
        <v>83108.289999999994</v>
      </c>
      <c r="AS232" s="2">
        <f t="shared" si="144"/>
        <v>0</v>
      </c>
      <c r="AT232" s="2">
        <f t="shared" si="144"/>
        <v>0</v>
      </c>
      <c r="AU232" s="2">
        <f t="shared" ref="AU232:BZ232" si="145">AU251</f>
        <v>83108.289999999994</v>
      </c>
      <c r="AV232" s="2">
        <f t="shared" si="145"/>
        <v>321.07</v>
      </c>
      <c r="AW232" s="2">
        <f t="shared" si="145"/>
        <v>321.07</v>
      </c>
      <c r="AX232" s="2">
        <f t="shared" si="145"/>
        <v>0</v>
      </c>
      <c r="AY232" s="2">
        <f t="shared" si="145"/>
        <v>321.07</v>
      </c>
      <c r="AZ232" s="2">
        <f t="shared" si="145"/>
        <v>0</v>
      </c>
      <c r="BA232" s="2">
        <f t="shared" si="145"/>
        <v>0</v>
      </c>
      <c r="BB232" s="2">
        <f t="shared" si="145"/>
        <v>0</v>
      </c>
      <c r="BC232" s="2">
        <f t="shared" si="145"/>
        <v>0</v>
      </c>
      <c r="BD232" s="2">
        <f t="shared" si="145"/>
        <v>0</v>
      </c>
      <c r="BE232" s="2">
        <f t="shared" si="145"/>
        <v>0</v>
      </c>
      <c r="BF232" s="2">
        <f t="shared" si="145"/>
        <v>0</v>
      </c>
      <c r="BG232" s="2">
        <f t="shared" si="145"/>
        <v>0</v>
      </c>
      <c r="BH232" s="2">
        <f t="shared" si="145"/>
        <v>0</v>
      </c>
      <c r="BI232" s="2">
        <f t="shared" si="145"/>
        <v>0</v>
      </c>
      <c r="BJ232" s="2">
        <f t="shared" si="145"/>
        <v>0</v>
      </c>
      <c r="BK232" s="2">
        <f t="shared" si="145"/>
        <v>0</v>
      </c>
      <c r="BL232" s="2">
        <f t="shared" si="145"/>
        <v>0</v>
      </c>
      <c r="BM232" s="2">
        <f t="shared" si="145"/>
        <v>0</v>
      </c>
      <c r="BN232" s="2">
        <f t="shared" si="145"/>
        <v>0</v>
      </c>
      <c r="BO232" s="2">
        <f t="shared" si="145"/>
        <v>0</v>
      </c>
      <c r="BP232" s="2">
        <f t="shared" si="145"/>
        <v>0</v>
      </c>
      <c r="BQ232" s="2">
        <f t="shared" si="145"/>
        <v>0</v>
      </c>
      <c r="BR232" s="2">
        <f t="shared" si="145"/>
        <v>0</v>
      </c>
      <c r="BS232" s="2">
        <f t="shared" si="145"/>
        <v>0</v>
      </c>
      <c r="BT232" s="2">
        <f t="shared" si="145"/>
        <v>0</v>
      </c>
      <c r="BU232" s="2">
        <f t="shared" si="145"/>
        <v>0</v>
      </c>
      <c r="BV232" s="2">
        <f t="shared" si="145"/>
        <v>0</v>
      </c>
      <c r="BW232" s="2">
        <f t="shared" si="145"/>
        <v>0</v>
      </c>
      <c r="BX232" s="2">
        <f t="shared" si="145"/>
        <v>0</v>
      </c>
      <c r="BY232" s="2">
        <f t="shared" si="145"/>
        <v>0</v>
      </c>
      <c r="BZ232" s="2">
        <f t="shared" si="145"/>
        <v>0</v>
      </c>
      <c r="CA232" s="2">
        <f t="shared" ref="CA232:DF232" si="146">CA251</f>
        <v>83108.289999999994</v>
      </c>
      <c r="CB232" s="2">
        <f t="shared" si="146"/>
        <v>0</v>
      </c>
      <c r="CC232" s="2">
        <f t="shared" si="146"/>
        <v>0</v>
      </c>
      <c r="CD232" s="2">
        <f t="shared" si="146"/>
        <v>83108.289999999994</v>
      </c>
      <c r="CE232" s="2">
        <f t="shared" si="146"/>
        <v>321.07</v>
      </c>
      <c r="CF232" s="2">
        <f t="shared" si="146"/>
        <v>321.07</v>
      </c>
      <c r="CG232" s="2">
        <f t="shared" si="146"/>
        <v>0</v>
      </c>
      <c r="CH232" s="2">
        <f t="shared" si="146"/>
        <v>321.07</v>
      </c>
      <c r="CI232" s="2">
        <f t="shared" si="146"/>
        <v>0</v>
      </c>
      <c r="CJ232" s="2">
        <f t="shared" si="146"/>
        <v>0</v>
      </c>
      <c r="CK232" s="2">
        <f t="shared" si="146"/>
        <v>0</v>
      </c>
      <c r="CL232" s="2">
        <f t="shared" si="146"/>
        <v>0</v>
      </c>
      <c r="CM232" s="2">
        <f t="shared" si="146"/>
        <v>0</v>
      </c>
      <c r="CN232" s="2">
        <f t="shared" si="146"/>
        <v>0</v>
      </c>
      <c r="CO232" s="2">
        <f t="shared" si="146"/>
        <v>0</v>
      </c>
      <c r="CP232" s="2">
        <f t="shared" si="146"/>
        <v>0</v>
      </c>
      <c r="CQ232" s="2">
        <f t="shared" si="146"/>
        <v>0</v>
      </c>
      <c r="CR232" s="2">
        <f t="shared" si="146"/>
        <v>0</v>
      </c>
      <c r="CS232" s="2">
        <f t="shared" si="146"/>
        <v>0</v>
      </c>
      <c r="CT232" s="2">
        <f t="shared" si="146"/>
        <v>0</v>
      </c>
      <c r="CU232" s="2">
        <f t="shared" si="146"/>
        <v>0</v>
      </c>
      <c r="CV232" s="2">
        <f t="shared" si="146"/>
        <v>0</v>
      </c>
      <c r="CW232" s="2">
        <f t="shared" si="146"/>
        <v>0</v>
      </c>
      <c r="CX232" s="2">
        <f t="shared" si="146"/>
        <v>0</v>
      </c>
      <c r="CY232" s="2">
        <f t="shared" si="146"/>
        <v>0</v>
      </c>
      <c r="CZ232" s="2">
        <f t="shared" si="146"/>
        <v>0</v>
      </c>
      <c r="DA232" s="2">
        <f t="shared" si="146"/>
        <v>0</v>
      </c>
      <c r="DB232" s="2">
        <f t="shared" si="146"/>
        <v>0</v>
      </c>
      <c r="DC232" s="2">
        <f t="shared" si="146"/>
        <v>0</v>
      </c>
      <c r="DD232" s="2">
        <f t="shared" si="146"/>
        <v>0</v>
      </c>
      <c r="DE232" s="2">
        <f t="shared" si="146"/>
        <v>0</v>
      </c>
      <c r="DF232" s="2">
        <f t="shared" si="146"/>
        <v>0</v>
      </c>
      <c r="DG232" s="3">
        <f t="shared" ref="DG232:EL232" si="147">DG251</f>
        <v>0</v>
      </c>
      <c r="DH232" s="3">
        <f t="shared" si="147"/>
        <v>0</v>
      </c>
      <c r="DI232" s="3">
        <f t="shared" si="147"/>
        <v>0</v>
      </c>
      <c r="DJ232" s="3">
        <f t="shared" si="147"/>
        <v>0</v>
      </c>
      <c r="DK232" s="3">
        <f t="shared" si="147"/>
        <v>0</v>
      </c>
      <c r="DL232" s="3">
        <f t="shared" si="147"/>
        <v>0</v>
      </c>
      <c r="DM232" s="3">
        <f t="shared" si="147"/>
        <v>0</v>
      </c>
      <c r="DN232" s="3">
        <f t="shared" si="147"/>
        <v>0</v>
      </c>
      <c r="DO232" s="3">
        <f t="shared" si="147"/>
        <v>0</v>
      </c>
      <c r="DP232" s="3">
        <f t="shared" si="147"/>
        <v>0</v>
      </c>
      <c r="DQ232" s="3">
        <f t="shared" si="147"/>
        <v>0</v>
      </c>
      <c r="DR232" s="3">
        <f t="shared" si="147"/>
        <v>0</v>
      </c>
      <c r="DS232" s="3">
        <f t="shared" si="147"/>
        <v>0</v>
      </c>
      <c r="DT232" s="3">
        <f t="shared" si="147"/>
        <v>0</v>
      </c>
      <c r="DU232" s="3">
        <f t="shared" si="147"/>
        <v>0</v>
      </c>
      <c r="DV232" s="3">
        <f t="shared" si="147"/>
        <v>0</v>
      </c>
      <c r="DW232" s="3">
        <f t="shared" si="147"/>
        <v>0</v>
      </c>
      <c r="DX232" s="3">
        <f t="shared" si="147"/>
        <v>0</v>
      </c>
      <c r="DY232" s="3">
        <f t="shared" si="147"/>
        <v>0</v>
      </c>
      <c r="DZ232" s="3">
        <f t="shared" si="147"/>
        <v>0</v>
      </c>
      <c r="EA232" s="3">
        <f t="shared" si="147"/>
        <v>0</v>
      </c>
      <c r="EB232" s="3">
        <f t="shared" si="147"/>
        <v>0</v>
      </c>
      <c r="EC232" s="3">
        <f t="shared" si="147"/>
        <v>0</v>
      </c>
      <c r="ED232" s="3">
        <f t="shared" si="147"/>
        <v>0</v>
      </c>
      <c r="EE232" s="3">
        <f t="shared" si="147"/>
        <v>0</v>
      </c>
      <c r="EF232" s="3">
        <f t="shared" si="147"/>
        <v>0</v>
      </c>
      <c r="EG232" s="3">
        <f t="shared" si="147"/>
        <v>0</v>
      </c>
      <c r="EH232" s="3">
        <f t="shared" si="147"/>
        <v>0</v>
      </c>
      <c r="EI232" s="3">
        <f t="shared" si="147"/>
        <v>0</v>
      </c>
      <c r="EJ232" s="3">
        <f t="shared" si="147"/>
        <v>0</v>
      </c>
      <c r="EK232" s="3">
        <f t="shared" si="147"/>
        <v>0</v>
      </c>
      <c r="EL232" s="3">
        <f t="shared" si="147"/>
        <v>0</v>
      </c>
      <c r="EM232" s="3">
        <f t="shared" ref="EM232:FR232" si="148">EM251</f>
        <v>0</v>
      </c>
      <c r="EN232" s="3">
        <f t="shared" si="148"/>
        <v>0</v>
      </c>
      <c r="EO232" s="3">
        <f t="shared" si="148"/>
        <v>0</v>
      </c>
      <c r="EP232" s="3">
        <f t="shared" si="148"/>
        <v>0</v>
      </c>
      <c r="EQ232" s="3">
        <f t="shared" si="148"/>
        <v>0</v>
      </c>
      <c r="ER232" s="3">
        <f t="shared" si="148"/>
        <v>0</v>
      </c>
      <c r="ES232" s="3">
        <f t="shared" si="148"/>
        <v>0</v>
      </c>
      <c r="ET232" s="3">
        <f t="shared" si="148"/>
        <v>0</v>
      </c>
      <c r="EU232" s="3">
        <f t="shared" si="148"/>
        <v>0</v>
      </c>
      <c r="EV232" s="3">
        <f t="shared" si="148"/>
        <v>0</v>
      </c>
      <c r="EW232" s="3">
        <f t="shared" si="148"/>
        <v>0</v>
      </c>
      <c r="EX232" s="3">
        <f t="shared" si="148"/>
        <v>0</v>
      </c>
      <c r="EY232" s="3">
        <f t="shared" si="148"/>
        <v>0</v>
      </c>
      <c r="EZ232" s="3">
        <f t="shared" si="148"/>
        <v>0</v>
      </c>
      <c r="FA232" s="3">
        <f t="shared" si="148"/>
        <v>0</v>
      </c>
      <c r="FB232" s="3">
        <f t="shared" si="148"/>
        <v>0</v>
      </c>
      <c r="FC232" s="3">
        <f t="shared" si="148"/>
        <v>0</v>
      </c>
      <c r="FD232" s="3">
        <f t="shared" si="148"/>
        <v>0</v>
      </c>
      <c r="FE232" s="3">
        <f t="shared" si="148"/>
        <v>0</v>
      </c>
      <c r="FF232" s="3">
        <f t="shared" si="148"/>
        <v>0</v>
      </c>
      <c r="FG232" s="3">
        <f t="shared" si="148"/>
        <v>0</v>
      </c>
      <c r="FH232" s="3">
        <f t="shared" si="148"/>
        <v>0</v>
      </c>
      <c r="FI232" s="3">
        <f t="shared" si="148"/>
        <v>0</v>
      </c>
      <c r="FJ232" s="3">
        <f t="shared" si="148"/>
        <v>0</v>
      </c>
      <c r="FK232" s="3">
        <f t="shared" si="148"/>
        <v>0</v>
      </c>
      <c r="FL232" s="3">
        <f t="shared" si="148"/>
        <v>0</v>
      </c>
      <c r="FM232" s="3">
        <f t="shared" si="148"/>
        <v>0</v>
      </c>
      <c r="FN232" s="3">
        <f t="shared" si="148"/>
        <v>0</v>
      </c>
      <c r="FO232" s="3">
        <f t="shared" si="148"/>
        <v>0</v>
      </c>
      <c r="FP232" s="3">
        <f t="shared" si="148"/>
        <v>0</v>
      </c>
      <c r="FQ232" s="3">
        <f t="shared" si="148"/>
        <v>0</v>
      </c>
      <c r="FR232" s="3">
        <f t="shared" si="148"/>
        <v>0</v>
      </c>
      <c r="FS232" s="3">
        <f t="shared" ref="FS232:GX232" si="149">FS251</f>
        <v>0</v>
      </c>
      <c r="FT232" s="3">
        <f t="shared" si="149"/>
        <v>0</v>
      </c>
      <c r="FU232" s="3">
        <f t="shared" si="149"/>
        <v>0</v>
      </c>
      <c r="FV232" s="3">
        <f t="shared" si="149"/>
        <v>0</v>
      </c>
      <c r="FW232" s="3">
        <f t="shared" si="149"/>
        <v>0</v>
      </c>
      <c r="FX232" s="3">
        <f t="shared" si="149"/>
        <v>0</v>
      </c>
      <c r="FY232" s="3">
        <f t="shared" si="149"/>
        <v>0</v>
      </c>
      <c r="FZ232" s="3">
        <f t="shared" si="149"/>
        <v>0</v>
      </c>
      <c r="GA232" s="3">
        <f t="shared" si="149"/>
        <v>0</v>
      </c>
      <c r="GB232" s="3">
        <f t="shared" si="149"/>
        <v>0</v>
      </c>
      <c r="GC232" s="3">
        <f t="shared" si="149"/>
        <v>0</v>
      </c>
      <c r="GD232" s="3">
        <f t="shared" si="149"/>
        <v>0</v>
      </c>
      <c r="GE232" s="3">
        <f t="shared" si="149"/>
        <v>0</v>
      </c>
      <c r="GF232" s="3">
        <f t="shared" si="149"/>
        <v>0</v>
      </c>
      <c r="GG232" s="3">
        <f t="shared" si="149"/>
        <v>0</v>
      </c>
      <c r="GH232" s="3">
        <f t="shared" si="149"/>
        <v>0</v>
      </c>
      <c r="GI232" s="3">
        <f t="shared" si="149"/>
        <v>0</v>
      </c>
      <c r="GJ232" s="3">
        <f t="shared" si="149"/>
        <v>0</v>
      </c>
      <c r="GK232" s="3">
        <f t="shared" si="149"/>
        <v>0</v>
      </c>
      <c r="GL232" s="3">
        <f t="shared" si="149"/>
        <v>0</v>
      </c>
      <c r="GM232" s="3">
        <f t="shared" si="149"/>
        <v>0</v>
      </c>
      <c r="GN232" s="3">
        <f t="shared" si="149"/>
        <v>0</v>
      </c>
      <c r="GO232" s="3">
        <f t="shared" si="149"/>
        <v>0</v>
      </c>
      <c r="GP232" s="3">
        <f t="shared" si="149"/>
        <v>0</v>
      </c>
      <c r="GQ232" s="3">
        <f t="shared" si="149"/>
        <v>0</v>
      </c>
      <c r="GR232" s="3">
        <f t="shared" si="149"/>
        <v>0</v>
      </c>
      <c r="GS232" s="3">
        <f t="shared" si="149"/>
        <v>0</v>
      </c>
      <c r="GT232" s="3">
        <f t="shared" si="149"/>
        <v>0</v>
      </c>
      <c r="GU232" s="3">
        <f t="shared" si="149"/>
        <v>0</v>
      </c>
      <c r="GV232" s="3">
        <f t="shared" si="149"/>
        <v>0</v>
      </c>
      <c r="GW232" s="3">
        <f t="shared" si="149"/>
        <v>0</v>
      </c>
      <c r="GX232" s="3">
        <f t="shared" si="149"/>
        <v>0</v>
      </c>
    </row>
    <row r="234" spans="1:245" x14ac:dyDescent="0.2">
      <c r="A234">
        <v>17</v>
      </c>
      <c r="B234">
        <v>1</v>
      </c>
      <c r="D234">
        <f>ROW(EtalonRes!A43)</f>
        <v>43</v>
      </c>
      <c r="E234" t="s">
        <v>3</v>
      </c>
      <c r="F234" t="s">
        <v>147</v>
      </c>
      <c r="G234" t="s">
        <v>148</v>
      </c>
      <c r="H234" t="s">
        <v>94</v>
      </c>
      <c r="I234">
        <f>ROUND(15/10,9)</f>
        <v>1.5</v>
      </c>
      <c r="J234">
        <v>0</v>
      </c>
      <c r="K234">
        <f>ROUND(15/10,9)</f>
        <v>1.5</v>
      </c>
      <c r="O234">
        <f t="shared" ref="O234:O242" si="150">ROUND(CP234,2)</f>
        <v>19840.02</v>
      </c>
      <c r="P234">
        <f t="shared" ref="P234:P242" si="151">ROUND(CQ234*I234,2)</f>
        <v>0</v>
      </c>
      <c r="Q234">
        <f t="shared" ref="Q234:Q242" si="152">ROUND(CR234*I234,2)</f>
        <v>0</v>
      </c>
      <c r="R234">
        <f t="shared" ref="R234:R242" si="153">ROUND(CS234*I234,2)</f>
        <v>0</v>
      </c>
      <c r="S234">
        <f t="shared" ref="S234:S242" si="154">ROUND(CT234*I234,2)</f>
        <v>19840.02</v>
      </c>
      <c r="T234">
        <f t="shared" ref="T234:T242" si="155">ROUND(CU234*I234,2)</f>
        <v>0</v>
      </c>
      <c r="U234">
        <f t="shared" ref="U234:U242" si="156">CV234*I234</f>
        <v>32.130000000000003</v>
      </c>
      <c r="V234">
        <f t="shared" ref="V234:V242" si="157">CW234*I234</f>
        <v>0</v>
      </c>
      <c r="W234">
        <f t="shared" ref="W234:W242" si="158">ROUND(CX234*I234,2)</f>
        <v>0</v>
      </c>
      <c r="X234">
        <f t="shared" ref="X234:X242" si="159">ROUND(CY234,2)</f>
        <v>13888.01</v>
      </c>
      <c r="Y234">
        <f t="shared" ref="Y234:Y242" si="160">ROUND(CZ234,2)</f>
        <v>1984</v>
      </c>
      <c r="AA234">
        <v>-1</v>
      </c>
      <c r="AB234">
        <f t="shared" ref="AB234:AB242" si="161">ROUND((AC234+AD234+AF234),6)</f>
        <v>13226.68</v>
      </c>
      <c r="AC234">
        <f>ROUND(((ES234*17)),6)</f>
        <v>0</v>
      </c>
      <c r="AD234">
        <f>ROUND(((((ET234*17))-((EU234*17)))+AE234),6)</f>
        <v>0</v>
      </c>
      <c r="AE234">
        <f t="shared" ref="AE234:AF236" si="162">ROUND(((EU234*17)),6)</f>
        <v>0</v>
      </c>
      <c r="AF234">
        <f t="shared" si="162"/>
        <v>13226.68</v>
      </c>
      <c r="AG234">
        <f t="shared" ref="AG234:AG242" si="163">ROUND((AP234),6)</f>
        <v>0</v>
      </c>
      <c r="AH234">
        <f t="shared" ref="AH234:AI236" si="164">((EW234*17))</f>
        <v>21.42</v>
      </c>
      <c r="AI234">
        <f t="shared" si="164"/>
        <v>0</v>
      </c>
      <c r="AJ234">
        <f t="shared" ref="AJ234:AJ242" si="165">(AS234)</f>
        <v>0</v>
      </c>
      <c r="AK234">
        <v>778.04</v>
      </c>
      <c r="AL234">
        <v>0</v>
      </c>
      <c r="AM234">
        <v>0</v>
      </c>
      <c r="AN234">
        <v>0</v>
      </c>
      <c r="AO234">
        <v>778.04</v>
      </c>
      <c r="AP234">
        <v>0</v>
      </c>
      <c r="AQ234">
        <v>1.26</v>
      </c>
      <c r="AR234">
        <v>0</v>
      </c>
      <c r="AS234">
        <v>0</v>
      </c>
      <c r="AT234">
        <v>70</v>
      </c>
      <c r="AU234">
        <v>10</v>
      </c>
      <c r="AV234">
        <v>1</v>
      </c>
      <c r="AW234">
        <v>1</v>
      </c>
      <c r="AZ234">
        <v>1</v>
      </c>
      <c r="BA234">
        <v>1</v>
      </c>
      <c r="BB234">
        <v>1</v>
      </c>
      <c r="BC234">
        <v>1</v>
      </c>
      <c r="BD234" t="s">
        <v>3</v>
      </c>
      <c r="BE234" t="s">
        <v>3</v>
      </c>
      <c r="BF234" t="s">
        <v>3</v>
      </c>
      <c r="BG234" t="s">
        <v>3</v>
      </c>
      <c r="BH234">
        <v>0</v>
      </c>
      <c r="BI234">
        <v>4</v>
      </c>
      <c r="BJ234" t="s">
        <v>149</v>
      </c>
      <c r="BM234">
        <v>0</v>
      </c>
      <c r="BN234">
        <v>0</v>
      </c>
      <c r="BO234" t="s">
        <v>3</v>
      </c>
      <c r="BP234">
        <v>0</v>
      </c>
      <c r="BQ234">
        <v>1</v>
      </c>
      <c r="BR234">
        <v>0</v>
      </c>
      <c r="BS234">
        <v>1</v>
      </c>
      <c r="BT234">
        <v>1</v>
      </c>
      <c r="BU234">
        <v>1</v>
      </c>
      <c r="BV234">
        <v>1</v>
      </c>
      <c r="BW234">
        <v>1</v>
      </c>
      <c r="BX234">
        <v>1</v>
      </c>
      <c r="BY234" t="s">
        <v>3</v>
      </c>
      <c r="BZ234">
        <v>70</v>
      </c>
      <c r="CA234">
        <v>10</v>
      </c>
      <c r="CB234" t="s">
        <v>3</v>
      </c>
      <c r="CE234">
        <v>0</v>
      </c>
      <c r="CF234">
        <v>0</v>
      </c>
      <c r="CG234">
        <v>0</v>
      </c>
      <c r="CM234">
        <v>0</v>
      </c>
      <c r="CN234" t="s">
        <v>3</v>
      </c>
      <c r="CO234">
        <v>0</v>
      </c>
      <c r="CP234">
        <f t="shared" ref="CP234:CP242" si="166">(P234+Q234+S234)</f>
        <v>19840.02</v>
      </c>
      <c r="CQ234">
        <f t="shared" ref="CQ234:CQ242" si="167">(AC234*BC234*AW234)</f>
        <v>0</v>
      </c>
      <c r="CR234">
        <f>(((((ET234*17))*BB234-((EU234*17))*BS234)+AE234*BS234)*AV234)</f>
        <v>0</v>
      </c>
      <c r="CS234">
        <f t="shared" ref="CS234:CS242" si="168">(AE234*BS234*AV234)</f>
        <v>0</v>
      </c>
      <c r="CT234">
        <f t="shared" ref="CT234:CT242" si="169">(AF234*BA234*AV234)</f>
        <v>13226.68</v>
      </c>
      <c r="CU234">
        <f t="shared" ref="CU234:CU242" si="170">AG234</f>
        <v>0</v>
      </c>
      <c r="CV234">
        <f t="shared" ref="CV234:CV242" si="171">(AH234*AV234)</f>
        <v>21.42</v>
      </c>
      <c r="CW234">
        <f t="shared" ref="CW234:CW242" si="172">AI234</f>
        <v>0</v>
      </c>
      <c r="CX234">
        <f t="shared" ref="CX234:CX242" si="173">AJ234</f>
        <v>0</v>
      </c>
      <c r="CY234">
        <f t="shared" ref="CY234:CY242" si="174">((S234*BZ234)/100)</f>
        <v>13888.014000000001</v>
      </c>
      <c r="CZ234">
        <f t="shared" ref="CZ234:CZ242" si="175">((S234*CA234)/100)</f>
        <v>1984.0020000000002</v>
      </c>
      <c r="DC234" t="s">
        <v>3</v>
      </c>
      <c r="DD234" t="s">
        <v>150</v>
      </c>
      <c r="DE234" t="s">
        <v>150</v>
      </c>
      <c r="DF234" t="s">
        <v>150</v>
      </c>
      <c r="DG234" t="s">
        <v>150</v>
      </c>
      <c r="DH234" t="s">
        <v>3</v>
      </c>
      <c r="DI234" t="s">
        <v>150</v>
      </c>
      <c r="DJ234" t="s">
        <v>150</v>
      </c>
      <c r="DK234" t="s">
        <v>3</v>
      </c>
      <c r="DL234" t="s">
        <v>3</v>
      </c>
      <c r="DM234" t="s">
        <v>3</v>
      </c>
      <c r="DN234">
        <v>0</v>
      </c>
      <c r="DO234">
        <v>0</v>
      </c>
      <c r="DP234">
        <v>1</v>
      </c>
      <c r="DQ234">
        <v>1</v>
      </c>
      <c r="DU234">
        <v>16987630</v>
      </c>
      <c r="DV234" t="s">
        <v>94</v>
      </c>
      <c r="DW234" t="s">
        <v>94</v>
      </c>
      <c r="DX234">
        <v>10</v>
      </c>
      <c r="DZ234" t="s">
        <v>3</v>
      </c>
      <c r="EA234" t="s">
        <v>3</v>
      </c>
      <c r="EB234" t="s">
        <v>3</v>
      </c>
      <c r="EC234" t="s">
        <v>3</v>
      </c>
      <c r="EE234">
        <v>1441815344</v>
      </c>
      <c r="EF234">
        <v>1</v>
      </c>
      <c r="EG234" t="s">
        <v>22</v>
      </c>
      <c r="EH234">
        <v>0</v>
      </c>
      <c r="EI234" t="s">
        <v>3</v>
      </c>
      <c r="EJ234">
        <v>4</v>
      </c>
      <c r="EK234">
        <v>0</v>
      </c>
      <c r="EL234" t="s">
        <v>23</v>
      </c>
      <c r="EM234" t="s">
        <v>24</v>
      </c>
      <c r="EO234" t="s">
        <v>3</v>
      </c>
      <c r="EQ234">
        <v>1024</v>
      </c>
      <c r="ER234">
        <v>778.04</v>
      </c>
      <c r="ES234">
        <v>0</v>
      </c>
      <c r="ET234">
        <v>0</v>
      </c>
      <c r="EU234">
        <v>0</v>
      </c>
      <c r="EV234">
        <v>778.04</v>
      </c>
      <c r="EW234">
        <v>1.26</v>
      </c>
      <c r="EX234">
        <v>0</v>
      </c>
      <c r="EY234">
        <v>0</v>
      </c>
      <c r="FQ234">
        <v>0</v>
      </c>
      <c r="FR234">
        <f t="shared" ref="FR234:FR242" si="176">ROUND(IF(BI234=3,GM234,0),2)</f>
        <v>0</v>
      </c>
      <c r="FS234">
        <v>0</v>
      </c>
      <c r="FX234">
        <v>70</v>
      </c>
      <c r="FY234">
        <v>10</v>
      </c>
      <c r="GA234" t="s">
        <v>3</v>
      </c>
      <c r="GD234">
        <v>0</v>
      </c>
      <c r="GF234">
        <v>1084928283</v>
      </c>
      <c r="GG234">
        <v>2</v>
      </c>
      <c r="GH234">
        <v>1</v>
      </c>
      <c r="GI234">
        <v>-2</v>
      </c>
      <c r="GJ234">
        <v>0</v>
      </c>
      <c r="GK234">
        <f>ROUND(R234*(R12)/100,2)</f>
        <v>0</v>
      </c>
      <c r="GL234">
        <f t="shared" ref="GL234:GL242" si="177">ROUND(IF(AND(BH234=3,BI234=3,FS234&lt;&gt;0),P234,0),2)</f>
        <v>0</v>
      </c>
      <c r="GM234">
        <f t="shared" ref="GM234:GM242" si="178">ROUND(O234+X234+Y234+GK234,2)+GX234</f>
        <v>35712.03</v>
      </c>
      <c r="GN234">
        <f t="shared" ref="GN234:GN242" si="179">IF(OR(BI234=0,BI234=1),GM234-GX234,0)</f>
        <v>0</v>
      </c>
      <c r="GO234">
        <f t="shared" ref="GO234:GO242" si="180">IF(BI234=2,GM234-GX234,0)</f>
        <v>0</v>
      </c>
      <c r="GP234">
        <f t="shared" ref="GP234:GP242" si="181">IF(BI234=4,GM234-GX234,0)</f>
        <v>35712.03</v>
      </c>
      <c r="GR234">
        <v>0</v>
      </c>
      <c r="GS234">
        <v>3</v>
      </c>
      <c r="GT234">
        <v>0</v>
      </c>
      <c r="GU234" t="s">
        <v>3</v>
      </c>
      <c r="GV234">
        <f t="shared" ref="GV234:GV242" si="182">ROUND((GT234),6)</f>
        <v>0</v>
      </c>
      <c r="GW234">
        <v>1</v>
      </c>
      <c r="GX234">
        <f t="shared" ref="GX234:GX242" si="183">ROUND(HC234*I234,2)</f>
        <v>0</v>
      </c>
      <c r="HA234">
        <v>0</v>
      </c>
      <c r="HB234">
        <v>0</v>
      </c>
      <c r="HC234">
        <f t="shared" ref="HC234:HC242" si="184">GV234*GW234</f>
        <v>0</v>
      </c>
      <c r="HE234" t="s">
        <v>3</v>
      </c>
      <c r="HF234" t="s">
        <v>3</v>
      </c>
      <c r="HM234" t="s">
        <v>3</v>
      </c>
      <c r="HN234" t="s">
        <v>3</v>
      </c>
      <c r="HO234" t="s">
        <v>3</v>
      </c>
      <c r="HP234" t="s">
        <v>3</v>
      </c>
      <c r="HQ234" t="s">
        <v>3</v>
      </c>
      <c r="IK234">
        <v>0</v>
      </c>
    </row>
    <row r="235" spans="1:245" x14ac:dyDescent="0.2">
      <c r="A235">
        <v>17</v>
      </c>
      <c r="B235">
        <v>1</v>
      </c>
      <c r="D235">
        <f>ROW(EtalonRes!A44)</f>
        <v>44</v>
      </c>
      <c r="E235" t="s">
        <v>3</v>
      </c>
      <c r="F235" t="s">
        <v>151</v>
      </c>
      <c r="G235" t="s">
        <v>152</v>
      </c>
      <c r="H235" t="s">
        <v>94</v>
      </c>
      <c r="I235">
        <f>ROUND(2/10,9)</f>
        <v>0.2</v>
      </c>
      <c r="J235">
        <v>0</v>
      </c>
      <c r="K235">
        <f>ROUND(2/10,9)</f>
        <v>0.2</v>
      </c>
      <c r="O235">
        <f t="shared" si="150"/>
        <v>566.85</v>
      </c>
      <c r="P235">
        <f t="shared" si="151"/>
        <v>0</v>
      </c>
      <c r="Q235">
        <f t="shared" si="152"/>
        <v>0</v>
      </c>
      <c r="R235">
        <f t="shared" si="153"/>
        <v>0</v>
      </c>
      <c r="S235">
        <f t="shared" si="154"/>
        <v>566.85</v>
      </c>
      <c r="T235">
        <f t="shared" si="155"/>
        <v>0</v>
      </c>
      <c r="U235">
        <f t="shared" si="156"/>
        <v>0.91800000000000004</v>
      </c>
      <c r="V235">
        <f t="shared" si="157"/>
        <v>0</v>
      </c>
      <c r="W235">
        <f t="shared" si="158"/>
        <v>0</v>
      </c>
      <c r="X235">
        <f t="shared" si="159"/>
        <v>396.8</v>
      </c>
      <c r="Y235">
        <f t="shared" si="160"/>
        <v>56.69</v>
      </c>
      <c r="AA235">
        <v>-1</v>
      </c>
      <c r="AB235">
        <f t="shared" si="161"/>
        <v>2834.24</v>
      </c>
      <c r="AC235">
        <f>ROUND(((ES235*17)),6)</f>
        <v>0</v>
      </c>
      <c r="AD235">
        <f>ROUND(((((ET235*17))-((EU235*17)))+AE235),6)</f>
        <v>0</v>
      </c>
      <c r="AE235">
        <f t="shared" si="162"/>
        <v>0</v>
      </c>
      <c r="AF235">
        <f t="shared" si="162"/>
        <v>2834.24</v>
      </c>
      <c r="AG235">
        <f t="shared" si="163"/>
        <v>0</v>
      </c>
      <c r="AH235">
        <f t="shared" si="164"/>
        <v>4.59</v>
      </c>
      <c r="AI235">
        <f t="shared" si="164"/>
        <v>0</v>
      </c>
      <c r="AJ235">
        <f t="shared" si="165"/>
        <v>0</v>
      </c>
      <c r="AK235">
        <v>166.72</v>
      </c>
      <c r="AL235">
        <v>0</v>
      </c>
      <c r="AM235">
        <v>0</v>
      </c>
      <c r="AN235">
        <v>0</v>
      </c>
      <c r="AO235">
        <v>166.72</v>
      </c>
      <c r="AP235">
        <v>0</v>
      </c>
      <c r="AQ235">
        <v>0.27</v>
      </c>
      <c r="AR235">
        <v>0</v>
      </c>
      <c r="AS235">
        <v>0</v>
      </c>
      <c r="AT235">
        <v>70</v>
      </c>
      <c r="AU235">
        <v>10</v>
      </c>
      <c r="AV235">
        <v>1</v>
      </c>
      <c r="AW235">
        <v>1</v>
      </c>
      <c r="AZ235">
        <v>1</v>
      </c>
      <c r="BA235">
        <v>1</v>
      </c>
      <c r="BB235">
        <v>1</v>
      </c>
      <c r="BC235">
        <v>1</v>
      </c>
      <c r="BD235" t="s">
        <v>3</v>
      </c>
      <c r="BE235" t="s">
        <v>3</v>
      </c>
      <c r="BF235" t="s">
        <v>3</v>
      </c>
      <c r="BG235" t="s">
        <v>3</v>
      </c>
      <c r="BH235">
        <v>0</v>
      </c>
      <c r="BI235">
        <v>4</v>
      </c>
      <c r="BJ235" t="s">
        <v>153</v>
      </c>
      <c r="BM235">
        <v>0</v>
      </c>
      <c r="BN235">
        <v>0</v>
      </c>
      <c r="BO235" t="s">
        <v>3</v>
      </c>
      <c r="BP235">
        <v>0</v>
      </c>
      <c r="BQ235">
        <v>1</v>
      </c>
      <c r="BR235">
        <v>0</v>
      </c>
      <c r="BS235">
        <v>1</v>
      </c>
      <c r="BT235">
        <v>1</v>
      </c>
      <c r="BU235">
        <v>1</v>
      </c>
      <c r="BV235">
        <v>1</v>
      </c>
      <c r="BW235">
        <v>1</v>
      </c>
      <c r="BX235">
        <v>1</v>
      </c>
      <c r="BY235" t="s">
        <v>3</v>
      </c>
      <c r="BZ235">
        <v>70</v>
      </c>
      <c r="CA235">
        <v>10</v>
      </c>
      <c r="CB235" t="s">
        <v>3</v>
      </c>
      <c r="CE235">
        <v>0</v>
      </c>
      <c r="CF235">
        <v>0</v>
      </c>
      <c r="CG235">
        <v>0</v>
      </c>
      <c r="CM235">
        <v>0</v>
      </c>
      <c r="CN235" t="s">
        <v>3</v>
      </c>
      <c r="CO235">
        <v>0</v>
      </c>
      <c r="CP235">
        <f t="shared" si="166"/>
        <v>566.85</v>
      </c>
      <c r="CQ235">
        <f t="shared" si="167"/>
        <v>0</v>
      </c>
      <c r="CR235">
        <f>(((((ET235*17))*BB235-((EU235*17))*BS235)+AE235*BS235)*AV235)</f>
        <v>0</v>
      </c>
      <c r="CS235">
        <f t="shared" si="168"/>
        <v>0</v>
      </c>
      <c r="CT235">
        <f t="shared" si="169"/>
        <v>2834.24</v>
      </c>
      <c r="CU235">
        <f t="shared" si="170"/>
        <v>0</v>
      </c>
      <c r="CV235">
        <f t="shared" si="171"/>
        <v>4.59</v>
      </c>
      <c r="CW235">
        <f t="shared" si="172"/>
        <v>0</v>
      </c>
      <c r="CX235">
        <f t="shared" si="173"/>
        <v>0</v>
      </c>
      <c r="CY235">
        <f t="shared" si="174"/>
        <v>396.79500000000002</v>
      </c>
      <c r="CZ235">
        <f t="shared" si="175"/>
        <v>56.685000000000002</v>
      </c>
      <c r="DC235" t="s">
        <v>3</v>
      </c>
      <c r="DD235" t="s">
        <v>150</v>
      </c>
      <c r="DE235" t="s">
        <v>150</v>
      </c>
      <c r="DF235" t="s">
        <v>150</v>
      </c>
      <c r="DG235" t="s">
        <v>150</v>
      </c>
      <c r="DH235" t="s">
        <v>3</v>
      </c>
      <c r="DI235" t="s">
        <v>150</v>
      </c>
      <c r="DJ235" t="s">
        <v>150</v>
      </c>
      <c r="DK235" t="s">
        <v>3</v>
      </c>
      <c r="DL235" t="s">
        <v>3</v>
      </c>
      <c r="DM235" t="s">
        <v>3</v>
      </c>
      <c r="DN235">
        <v>0</v>
      </c>
      <c r="DO235">
        <v>0</v>
      </c>
      <c r="DP235">
        <v>1</v>
      </c>
      <c r="DQ235">
        <v>1</v>
      </c>
      <c r="DU235">
        <v>16987630</v>
      </c>
      <c r="DV235" t="s">
        <v>94</v>
      </c>
      <c r="DW235" t="s">
        <v>94</v>
      </c>
      <c r="DX235">
        <v>10</v>
      </c>
      <c r="DZ235" t="s">
        <v>3</v>
      </c>
      <c r="EA235" t="s">
        <v>3</v>
      </c>
      <c r="EB235" t="s">
        <v>3</v>
      </c>
      <c r="EC235" t="s">
        <v>3</v>
      </c>
      <c r="EE235">
        <v>1441815344</v>
      </c>
      <c r="EF235">
        <v>1</v>
      </c>
      <c r="EG235" t="s">
        <v>22</v>
      </c>
      <c r="EH235">
        <v>0</v>
      </c>
      <c r="EI235" t="s">
        <v>3</v>
      </c>
      <c r="EJ235">
        <v>4</v>
      </c>
      <c r="EK235">
        <v>0</v>
      </c>
      <c r="EL235" t="s">
        <v>23</v>
      </c>
      <c r="EM235" t="s">
        <v>24</v>
      </c>
      <c r="EO235" t="s">
        <v>3</v>
      </c>
      <c r="EQ235">
        <v>1024</v>
      </c>
      <c r="ER235">
        <v>166.72</v>
      </c>
      <c r="ES235">
        <v>0</v>
      </c>
      <c r="ET235">
        <v>0</v>
      </c>
      <c r="EU235">
        <v>0</v>
      </c>
      <c r="EV235">
        <v>166.72</v>
      </c>
      <c r="EW235">
        <v>0.27</v>
      </c>
      <c r="EX235">
        <v>0</v>
      </c>
      <c r="EY235">
        <v>0</v>
      </c>
      <c r="FQ235">
        <v>0</v>
      </c>
      <c r="FR235">
        <f t="shared" si="176"/>
        <v>0</v>
      </c>
      <c r="FS235">
        <v>0</v>
      </c>
      <c r="FX235">
        <v>70</v>
      </c>
      <c r="FY235">
        <v>10</v>
      </c>
      <c r="GA235" t="s">
        <v>3</v>
      </c>
      <c r="GD235">
        <v>0</v>
      </c>
      <c r="GF235">
        <v>-1133115676</v>
      </c>
      <c r="GG235">
        <v>2</v>
      </c>
      <c r="GH235">
        <v>1</v>
      </c>
      <c r="GI235">
        <v>-2</v>
      </c>
      <c r="GJ235">
        <v>0</v>
      </c>
      <c r="GK235">
        <f>ROUND(R235*(R12)/100,2)</f>
        <v>0</v>
      </c>
      <c r="GL235">
        <f t="shared" si="177"/>
        <v>0</v>
      </c>
      <c r="GM235">
        <f t="shared" si="178"/>
        <v>1020.34</v>
      </c>
      <c r="GN235">
        <f t="shared" si="179"/>
        <v>0</v>
      </c>
      <c r="GO235">
        <f t="shared" si="180"/>
        <v>0</v>
      </c>
      <c r="GP235">
        <f t="shared" si="181"/>
        <v>1020.34</v>
      </c>
      <c r="GR235">
        <v>0</v>
      </c>
      <c r="GS235">
        <v>3</v>
      </c>
      <c r="GT235">
        <v>0</v>
      </c>
      <c r="GU235" t="s">
        <v>3</v>
      </c>
      <c r="GV235">
        <f t="shared" si="182"/>
        <v>0</v>
      </c>
      <c r="GW235">
        <v>1</v>
      </c>
      <c r="GX235">
        <f t="shared" si="183"/>
        <v>0</v>
      </c>
      <c r="HA235">
        <v>0</v>
      </c>
      <c r="HB235">
        <v>0</v>
      </c>
      <c r="HC235">
        <f t="shared" si="184"/>
        <v>0</v>
      </c>
      <c r="HE235" t="s">
        <v>3</v>
      </c>
      <c r="HF235" t="s">
        <v>3</v>
      </c>
      <c r="HM235" t="s">
        <v>3</v>
      </c>
      <c r="HN235" t="s">
        <v>3</v>
      </c>
      <c r="HO235" t="s">
        <v>3</v>
      </c>
      <c r="HP235" t="s">
        <v>3</v>
      </c>
      <c r="HQ235" t="s">
        <v>3</v>
      </c>
      <c r="IK235">
        <v>0</v>
      </c>
    </row>
    <row r="236" spans="1:245" x14ac:dyDescent="0.2">
      <c r="A236">
        <v>17</v>
      </c>
      <c r="B236">
        <v>1</v>
      </c>
      <c r="D236">
        <f>ROW(EtalonRes!A45)</f>
        <v>45</v>
      </c>
      <c r="E236" t="s">
        <v>3</v>
      </c>
      <c r="F236" t="s">
        <v>154</v>
      </c>
      <c r="G236" t="s">
        <v>155</v>
      </c>
      <c r="H236" t="s">
        <v>94</v>
      </c>
      <c r="I236">
        <f>ROUND(10/10,9)</f>
        <v>1</v>
      </c>
      <c r="J236">
        <v>0</v>
      </c>
      <c r="K236">
        <f>ROUND(10/10,9)</f>
        <v>1</v>
      </c>
      <c r="O236">
        <f t="shared" si="150"/>
        <v>2414.34</v>
      </c>
      <c r="P236">
        <f t="shared" si="151"/>
        <v>0</v>
      </c>
      <c r="Q236">
        <f t="shared" si="152"/>
        <v>0</v>
      </c>
      <c r="R236">
        <f t="shared" si="153"/>
        <v>0</v>
      </c>
      <c r="S236">
        <f t="shared" si="154"/>
        <v>2414.34</v>
      </c>
      <c r="T236">
        <f t="shared" si="155"/>
        <v>0</v>
      </c>
      <c r="U236">
        <f t="shared" si="156"/>
        <v>3.91</v>
      </c>
      <c r="V236">
        <f t="shared" si="157"/>
        <v>0</v>
      </c>
      <c r="W236">
        <f t="shared" si="158"/>
        <v>0</v>
      </c>
      <c r="X236">
        <f t="shared" si="159"/>
        <v>1690.04</v>
      </c>
      <c r="Y236">
        <f t="shared" si="160"/>
        <v>241.43</v>
      </c>
      <c r="AA236">
        <v>-1</v>
      </c>
      <c r="AB236">
        <f t="shared" si="161"/>
        <v>2414.34</v>
      </c>
      <c r="AC236">
        <f>ROUND(((ES236*17)),6)</f>
        <v>0</v>
      </c>
      <c r="AD236">
        <f>ROUND(((((ET236*17))-((EU236*17)))+AE236),6)</f>
        <v>0</v>
      </c>
      <c r="AE236">
        <f t="shared" si="162"/>
        <v>0</v>
      </c>
      <c r="AF236">
        <f t="shared" si="162"/>
        <v>2414.34</v>
      </c>
      <c r="AG236">
        <f t="shared" si="163"/>
        <v>0</v>
      </c>
      <c r="AH236">
        <f t="shared" si="164"/>
        <v>3.91</v>
      </c>
      <c r="AI236">
        <f t="shared" si="164"/>
        <v>0</v>
      </c>
      <c r="AJ236">
        <f t="shared" si="165"/>
        <v>0</v>
      </c>
      <c r="AK236">
        <v>142.02000000000001</v>
      </c>
      <c r="AL236">
        <v>0</v>
      </c>
      <c r="AM236">
        <v>0</v>
      </c>
      <c r="AN236">
        <v>0</v>
      </c>
      <c r="AO236">
        <v>142.02000000000001</v>
      </c>
      <c r="AP236">
        <v>0</v>
      </c>
      <c r="AQ236">
        <v>0.23</v>
      </c>
      <c r="AR236">
        <v>0</v>
      </c>
      <c r="AS236">
        <v>0</v>
      </c>
      <c r="AT236">
        <v>70</v>
      </c>
      <c r="AU236">
        <v>10</v>
      </c>
      <c r="AV236">
        <v>1</v>
      </c>
      <c r="AW236">
        <v>1</v>
      </c>
      <c r="AZ236">
        <v>1</v>
      </c>
      <c r="BA236">
        <v>1</v>
      </c>
      <c r="BB236">
        <v>1</v>
      </c>
      <c r="BC236">
        <v>1</v>
      </c>
      <c r="BD236" t="s">
        <v>3</v>
      </c>
      <c r="BE236" t="s">
        <v>3</v>
      </c>
      <c r="BF236" t="s">
        <v>3</v>
      </c>
      <c r="BG236" t="s">
        <v>3</v>
      </c>
      <c r="BH236">
        <v>0</v>
      </c>
      <c r="BI236">
        <v>4</v>
      </c>
      <c r="BJ236" t="s">
        <v>156</v>
      </c>
      <c r="BM236">
        <v>0</v>
      </c>
      <c r="BN236">
        <v>0</v>
      </c>
      <c r="BO236" t="s">
        <v>3</v>
      </c>
      <c r="BP236">
        <v>0</v>
      </c>
      <c r="BQ236">
        <v>1</v>
      </c>
      <c r="BR236">
        <v>0</v>
      </c>
      <c r="BS236">
        <v>1</v>
      </c>
      <c r="BT236">
        <v>1</v>
      </c>
      <c r="BU236">
        <v>1</v>
      </c>
      <c r="BV236">
        <v>1</v>
      </c>
      <c r="BW236">
        <v>1</v>
      </c>
      <c r="BX236">
        <v>1</v>
      </c>
      <c r="BY236" t="s">
        <v>3</v>
      </c>
      <c r="BZ236">
        <v>70</v>
      </c>
      <c r="CA236">
        <v>10</v>
      </c>
      <c r="CB236" t="s">
        <v>3</v>
      </c>
      <c r="CE236">
        <v>0</v>
      </c>
      <c r="CF236">
        <v>0</v>
      </c>
      <c r="CG236">
        <v>0</v>
      </c>
      <c r="CM236">
        <v>0</v>
      </c>
      <c r="CN236" t="s">
        <v>3</v>
      </c>
      <c r="CO236">
        <v>0</v>
      </c>
      <c r="CP236">
        <f t="shared" si="166"/>
        <v>2414.34</v>
      </c>
      <c r="CQ236">
        <f t="shared" si="167"/>
        <v>0</v>
      </c>
      <c r="CR236">
        <f>(((((ET236*17))*BB236-((EU236*17))*BS236)+AE236*BS236)*AV236)</f>
        <v>0</v>
      </c>
      <c r="CS236">
        <f t="shared" si="168"/>
        <v>0</v>
      </c>
      <c r="CT236">
        <f t="shared" si="169"/>
        <v>2414.34</v>
      </c>
      <c r="CU236">
        <f t="shared" si="170"/>
        <v>0</v>
      </c>
      <c r="CV236">
        <f t="shared" si="171"/>
        <v>3.91</v>
      </c>
      <c r="CW236">
        <f t="shared" si="172"/>
        <v>0</v>
      </c>
      <c r="CX236">
        <f t="shared" si="173"/>
        <v>0</v>
      </c>
      <c r="CY236">
        <f t="shared" si="174"/>
        <v>1690.0380000000002</v>
      </c>
      <c r="CZ236">
        <f t="shared" si="175"/>
        <v>241.43400000000003</v>
      </c>
      <c r="DC236" t="s">
        <v>3</v>
      </c>
      <c r="DD236" t="s">
        <v>150</v>
      </c>
      <c r="DE236" t="s">
        <v>150</v>
      </c>
      <c r="DF236" t="s">
        <v>150</v>
      </c>
      <c r="DG236" t="s">
        <v>150</v>
      </c>
      <c r="DH236" t="s">
        <v>3</v>
      </c>
      <c r="DI236" t="s">
        <v>150</v>
      </c>
      <c r="DJ236" t="s">
        <v>150</v>
      </c>
      <c r="DK236" t="s">
        <v>3</v>
      </c>
      <c r="DL236" t="s">
        <v>3</v>
      </c>
      <c r="DM236" t="s">
        <v>3</v>
      </c>
      <c r="DN236">
        <v>0</v>
      </c>
      <c r="DO236">
        <v>0</v>
      </c>
      <c r="DP236">
        <v>1</v>
      </c>
      <c r="DQ236">
        <v>1</v>
      </c>
      <c r="DU236">
        <v>16987630</v>
      </c>
      <c r="DV236" t="s">
        <v>94</v>
      </c>
      <c r="DW236" t="s">
        <v>94</v>
      </c>
      <c r="DX236">
        <v>10</v>
      </c>
      <c r="DZ236" t="s">
        <v>3</v>
      </c>
      <c r="EA236" t="s">
        <v>3</v>
      </c>
      <c r="EB236" t="s">
        <v>3</v>
      </c>
      <c r="EC236" t="s">
        <v>3</v>
      </c>
      <c r="EE236">
        <v>1441815344</v>
      </c>
      <c r="EF236">
        <v>1</v>
      </c>
      <c r="EG236" t="s">
        <v>22</v>
      </c>
      <c r="EH236">
        <v>0</v>
      </c>
      <c r="EI236" t="s">
        <v>3</v>
      </c>
      <c r="EJ236">
        <v>4</v>
      </c>
      <c r="EK236">
        <v>0</v>
      </c>
      <c r="EL236" t="s">
        <v>23</v>
      </c>
      <c r="EM236" t="s">
        <v>24</v>
      </c>
      <c r="EO236" t="s">
        <v>3</v>
      </c>
      <c r="EQ236">
        <v>1024</v>
      </c>
      <c r="ER236">
        <v>142.02000000000001</v>
      </c>
      <c r="ES236">
        <v>0</v>
      </c>
      <c r="ET236">
        <v>0</v>
      </c>
      <c r="EU236">
        <v>0</v>
      </c>
      <c r="EV236">
        <v>142.02000000000001</v>
      </c>
      <c r="EW236">
        <v>0.23</v>
      </c>
      <c r="EX236">
        <v>0</v>
      </c>
      <c r="EY236">
        <v>0</v>
      </c>
      <c r="FQ236">
        <v>0</v>
      </c>
      <c r="FR236">
        <f t="shared" si="176"/>
        <v>0</v>
      </c>
      <c r="FS236">
        <v>0</v>
      </c>
      <c r="FX236">
        <v>70</v>
      </c>
      <c r="FY236">
        <v>10</v>
      </c>
      <c r="GA236" t="s">
        <v>3</v>
      </c>
      <c r="GD236">
        <v>0</v>
      </c>
      <c r="GF236">
        <v>536245422</v>
      </c>
      <c r="GG236">
        <v>2</v>
      </c>
      <c r="GH236">
        <v>1</v>
      </c>
      <c r="GI236">
        <v>-2</v>
      </c>
      <c r="GJ236">
        <v>0</v>
      </c>
      <c r="GK236">
        <f>ROUND(R236*(R12)/100,2)</f>
        <v>0</v>
      </c>
      <c r="GL236">
        <f t="shared" si="177"/>
        <v>0</v>
      </c>
      <c r="GM236">
        <f t="shared" si="178"/>
        <v>4345.8100000000004</v>
      </c>
      <c r="GN236">
        <f t="shared" si="179"/>
        <v>0</v>
      </c>
      <c r="GO236">
        <f t="shared" si="180"/>
        <v>0</v>
      </c>
      <c r="GP236">
        <f t="shared" si="181"/>
        <v>4345.8100000000004</v>
      </c>
      <c r="GR236">
        <v>0</v>
      </c>
      <c r="GS236">
        <v>3</v>
      </c>
      <c r="GT236">
        <v>0</v>
      </c>
      <c r="GU236" t="s">
        <v>3</v>
      </c>
      <c r="GV236">
        <f t="shared" si="182"/>
        <v>0</v>
      </c>
      <c r="GW236">
        <v>1</v>
      </c>
      <c r="GX236">
        <f t="shared" si="183"/>
        <v>0</v>
      </c>
      <c r="HA236">
        <v>0</v>
      </c>
      <c r="HB236">
        <v>0</v>
      </c>
      <c r="HC236">
        <f t="shared" si="184"/>
        <v>0</v>
      </c>
      <c r="HE236" t="s">
        <v>3</v>
      </c>
      <c r="HF236" t="s">
        <v>3</v>
      </c>
      <c r="HM236" t="s">
        <v>3</v>
      </c>
      <c r="HN236" t="s">
        <v>3</v>
      </c>
      <c r="HO236" t="s">
        <v>3</v>
      </c>
      <c r="HP236" t="s">
        <v>3</v>
      </c>
      <c r="HQ236" t="s">
        <v>3</v>
      </c>
      <c r="IK236">
        <v>0</v>
      </c>
    </row>
    <row r="237" spans="1:245" x14ac:dyDescent="0.2">
      <c r="A237">
        <v>17</v>
      </c>
      <c r="B237">
        <v>1</v>
      </c>
      <c r="D237">
        <f>ROW(EtalonRes!A50)</f>
        <v>50</v>
      </c>
      <c r="E237" t="s">
        <v>157</v>
      </c>
      <c r="F237" t="s">
        <v>158</v>
      </c>
      <c r="G237" t="s">
        <v>159</v>
      </c>
      <c r="H237" t="s">
        <v>141</v>
      </c>
      <c r="I237">
        <f>ROUND(15/100,9)</f>
        <v>0.15</v>
      </c>
      <c r="J237">
        <v>0</v>
      </c>
      <c r="K237">
        <f>ROUND(15/100,9)</f>
        <v>0.15</v>
      </c>
      <c r="O237">
        <f t="shared" si="150"/>
        <v>8066.06</v>
      </c>
      <c r="P237">
        <f t="shared" si="151"/>
        <v>116.48</v>
      </c>
      <c r="Q237">
        <f t="shared" si="152"/>
        <v>9.27</v>
      </c>
      <c r="R237">
        <f t="shared" si="153"/>
        <v>0.11</v>
      </c>
      <c r="S237">
        <f t="shared" si="154"/>
        <v>7940.31</v>
      </c>
      <c r="T237">
        <f t="shared" si="155"/>
        <v>0</v>
      </c>
      <c r="U237">
        <f t="shared" si="156"/>
        <v>15.665999999999999</v>
      </c>
      <c r="V237">
        <f t="shared" si="157"/>
        <v>0</v>
      </c>
      <c r="W237">
        <f t="shared" si="158"/>
        <v>0</v>
      </c>
      <c r="X237">
        <f t="shared" si="159"/>
        <v>5558.22</v>
      </c>
      <c r="Y237">
        <f t="shared" si="160"/>
        <v>794.03</v>
      </c>
      <c r="AA237">
        <v>1472506909</v>
      </c>
      <c r="AB237">
        <f t="shared" si="161"/>
        <v>53773.79</v>
      </c>
      <c r="AC237">
        <f t="shared" ref="AC237:AC242" si="185">ROUND((ES237),6)</f>
        <v>776.55</v>
      </c>
      <c r="AD237">
        <f t="shared" ref="AD237:AD242" si="186">ROUND((((ET237)-(EU237))+AE237),6)</f>
        <v>61.83</v>
      </c>
      <c r="AE237">
        <f t="shared" ref="AE237:AF242" si="187">ROUND((EU237),6)</f>
        <v>0.7</v>
      </c>
      <c r="AF237">
        <f t="shared" si="187"/>
        <v>52935.41</v>
      </c>
      <c r="AG237">
        <f t="shared" si="163"/>
        <v>0</v>
      </c>
      <c r="AH237">
        <f t="shared" ref="AH237:AI242" si="188">(EW237)</f>
        <v>104.44</v>
      </c>
      <c r="AI237">
        <f t="shared" si="188"/>
        <v>0</v>
      </c>
      <c r="AJ237">
        <f t="shared" si="165"/>
        <v>0</v>
      </c>
      <c r="AK237">
        <v>53773.79</v>
      </c>
      <c r="AL237">
        <v>776.55</v>
      </c>
      <c r="AM237">
        <v>61.83</v>
      </c>
      <c r="AN237">
        <v>0.7</v>
      </c>
      <c r="AO237">
        <v>52935.41</v>
      </c>
      <c r="AP237">
        <v>0</v>
      </c>
      <c r="AQ237">
        <v>104.44</v>
      </c>
      <c r="AR237">
        <v>0</v>
      </c>
      <c r="AS237">
        <v>0</v>
      </c>
      <c r="AT237">
        <v>70</v>
      </c>
      <c r="AU237">
        <v>10</v>
      </c>
      <c r="AV237">
        <v>1</v>
      </c>
      <c r="AW237">
        <v>1</v>
      </c>
      <c r="AZ237">
        <v>1</v>
      </c>
      <c r="BA237">
        <v>1</v>
      </c>
      <c r="BB237">
        <v>1</v>
      </c>
      <c r="BC237">
        <v>1</v>
      </c>
      <c r="BD237" t="s">
        <v>3</v>
      </c>
      <c r="BE237" t="s">
        <v>3</v>
      </c>
      <c r="BF237" t="s">
        <v>3</v>
      </c>
      <c r="BG237" t="s">
        <v>3</v>
      </c>
      <c r="BH237">
        <v>0</v>
      </c>
      <c r="BI237">
        <v>4</v>
      </c>
      <c r="BJ237" t="s">
        <v>160</v>
      </c>
      <c r="BM237">
        <v>0</v>
      </c>
      <c r="BN237">
        <v>0</v>
      </c>
      <c r="BO237" t="s">
        <v>3</v>
      </c>
      <c r="BP237">
        <v>0</v>
      </c>
      <c r="BQ237">
        <v>1</v>
      </c>
      <c r="BR237">
        <v>0</v>
      </c>
      <c r="BS237">
        <v>1</v>
      </c>
      <c r="BT237">
        <v>1</v>
      </c>
      <c r="BU237">
        <v>1</v>
      </c>
      <c r="BV237">
        <v>1</v>
      </c>
      <c r="BW237">
        <v>1</v>
      </c>
      <c r="BX237">
        <v>1</v>
      </c>
      <c r="BY237" t="s">
        <v>3</v>
      </c>
      <c r="BZ237">
        <v>70</v>
      </c>
      <c r="CA237">
        <v>10</v>
      </c>
      <c r="CB237" t="s">
        <v>3</v>
      </c>
      <c r="CE237">
        <v>0</v>
      </c>
      <c r="CF237">
        <v>0</v>
      </c>
      <c r="CG237">
        <v>0</v>
      </c>
      <c r="CM237">
        <v>0</v>
      </c>
      <c r="CN237" t="s">
        <v>3</v>
      </c>
      <c r="CO237">
        <v>0</v>
      </c>
      <c r="CP237">
        <f t="shared" si="166"/>
        <v>8066.06</v>
      </c>
      <c r="CQ237">
        <f t="shared" si="167"/>
        <v>776.55</v>
      </c>
      <c r="CR237">
        <f t="shared" ref="CR237:CR242" si="189">((((ET237)*BB237-(EU237)*BS237)+AE237*BS237)*AV237)</f>
        <v>61.83</v>
      </c>
      <c r="CS237">
        <f t="shared" si="168"/>
        <v>0.7</v>
      </c>
      <c r="CT237">
        <f t="shared" si="169"/>
        <v>52935.41</v>
      </c>
      <c r="CU237">
        <f t="shared" si="170"/>
        <v>0</v>
      </c>
      <c r="CV237">
        <f t="shared" si="171"/>
        <v>104.44</v>
      </c>
      <c r="CW237">
        <f t="shared" si="172"/>
        <v>0</v>
      </c>
      <c r="CX237">
        <f t="shared" si="173"/>
        <v>0</v>
      </c>
      <c r="CY237">
        <f t="shared" si="174"/>
        <v>5558.2170000000006</v>
      </c>
      <c r="CZ237">
        <f t="shared" si="175"/>
        <v>794.03100000000006</v>
      </c>
      <c r="DC237" t="s">
        <v>3</v>
      </c>
      <c r="DD237" t="s">
        <v>3</v>
      </c>
      <c r="DE237" t="s">
        <v>3</v>
      </c>
      <c r="DF237" t="s">
        <v>3</v>
      </c>
      <c r="DG237" t="s">
        <v>3</v>
      </c>
      <c r="DH237" t="s">
        <v>3</v>
      </c>
      <c r="DI237" t="s">
        <v>3</v>
      </c>
      <c r="DJ237" t="s">
        <v>3</v>
      </c>
      <c r="DK237" t="s">
        <v>3</v>
      </c>
      <c r="DL237" t="s">
        <v>3</v>
      </c>
      <c r="DM237" t="s">
        <v>3</v>
      </c>
      <c r="DN237">
        <v>0</v>
      </c>
      <c r="DO237">
        <v>0</v>
      </c>
      <c r="DP237">
        <v>1</v>
      </c>
      <c r="DQ237">
        <v>1</v>
      </c>
      <c r="DU237">
        <v>16987630</v>
      </c>
      <c r="DV237" t="s">
        <v>141</v>
      </c>
      <c r="DW237" t="s">
        <v>141</v>
      </c>
      <c r="DX237">
        <v>100</v>
      </c>
      <c r="DZ237" t="s">
        <v>3</v>
      </c>
      <c r="EA237" t="s">
        <v>3</v>
      </c>
      <c r="EB237" t="s">
        <v>3</v>
      </c>
      <c r="EC237" t="s">
        <v>3</v>
      </c>
      <c r="EE237">
        <v>1441815344</v>
      </c>
      <c r="EF237">
        <v>1</v>
      </c>
      <c r="EG237" t="s">
        <v>22</v>
      </c>
      <c r="EH237">
        <v>0</v>
      </c>
      <c r="EI237" t="s">
        <v>3</v>
      </c>
      <c r="EJ237">
        <v>4</v>
      </c>
      <c r="EK237">
        <v>0</v>
      </c>
      <c r="EL237" t="s">
        <v>23</v>
      </c>
      <c r="EM237" t="s">
        <v>24</v>
      </c>
      <c r="EO237" t="s">
        <v>3</v>
      </c>
      <c r="EQ237">
        <v>0</v>
      </c>
      <c r="ER237">
        <v>53773.79</v>
      </c>
      <c r="ES237">
        <v>776.55</v>
      </c>
      <c r="ET237">
        <v>61.83</v>
      </c>
      <c r="EU237">
        <v>0.7</v>
      </c>
      <c r="EV237">
        <v>52935.41</v>
      </c>
      <c r="EW237">
        <v>104.44</v>
      </c>
      <c r="EX237">
        <v>0</v>
      </c>
      <c r="EY237">
        <v>0</v>
      </c>
      <c r="FQ237">
        <v>0</v>
      </c>
      <c r="FR237">
        <f t="shared" si="176"/>
        <v>0</v>
      </c>
      <c r="FS237">
        <v>0</v>
      </c>
      <c r="FX237">
        <v>70</v>
      </c>
      <c r="FY237">
        <v>10</v>
      </c>
      <c r="GA237" t="s">
        <v>3</v>
      </c>
      <c r="GD237">
        <v>0</v>
      </c>
      <c r="GF237">
        <v>-36092940</v>
      </c>
      <c r="GG237">
        <v>2</v>
      </c>
      <c r="GH237">
        <v>1</v>
      </c>
      <c r="GI237">
        <v>-2</v>
      </c>
      <c r="GJ237">
        <v>0</v>
      </c>
      <c r="GK237">
        <f>ROUND(R237*(R12)/100,2)</f>
        <v>0.12</v>
      </c>
      <c r="GL237">
        <f t="shared" si="177"/>
        <v>0</v>
      </c>
      <c r="GM237">
        <f t="shared" si="178"/>
        <v>14418.43</v>
      </c>
      <c r="GN237">
        <f t="shared" si="179"/>
        <v>0</v>
      </c>
      <c r="GO237">
        <f t="shared" si="180"/>
        <v>0</v>
      </c>
      <c r="GP237">
        <f t="shared" si="181"/>
        <v>14418.43</v>
      </c>
      <c r="GR237">
        <v>0</v>
      </c>
      <c r="GS237">
        <v>3</v>
      </c>
      <c r="GT237">
        <v>0</v>
      </c>
      <c r="GU237" t="s">
        <v>3</v>
      </c>
      <c r="GV237">
        <f t="shared" si="182"/>
        <v>0</v>
      </c>
      <c r="GW237">
        <v>1</v>
      </c>
      <c r="GX237">
        <f t="shared" si="183"/>
        <v>0</v>
      </c>
      <c r="HA237">
        <v>0</v>
      </c>
      <c r="HB237">
        <v>0</v>
      </c>
      <c r="HC237">
        <f t="shared" si="184"/>
        <v>0</v>
      </c>
      <c r="HE237" t="s">
        <v>3</v>
      </c>
      <c r="HF237" t="s">
        <v>3</v>
      </c>
      <c r="HM237" t="s">
        <v>3</v>
      </c>
      <c r="HN237" t="s">
        <v>3</v>
      </c>
      <c r="HO237" t="s">
        <v>3</v>
      </c>
      <c r="HP237" t="s">
        <v>3</v>
      </c>
      <c r="HQ237" t="s">
        <v>3</v>
      </c>
      <c r="IK237">
        <v>0</v>
      </c>
    </row>
    <row r="238" spans="1:245" x14ac:dyDescent="0.2">
      <c r="A238">
        <v>17</v>
      </c>
      <c r="B238">
        <v>1</v>
      </c>
      <c r="D238">
        <f>ROW(EtalonRes!A55)</f>
        <v>55</v>
      </c>
      <c r="E238" t="s">
        <v>161</v>
      </c>
      <c r="F238" t="s">
        <v>162</v>
      </c>
      <c r="G238" t="s">
        <v>163</v>
      </c>
      <c r="H238" t="s">
        <v>141</v>
      </c>
      <c r="I238">
        <f>ROUND(18/100,9)</f>
        <v>0.18</v>
      </c>
      <c r="J238">
        <v>0</v>
      </c>
      <c r="K238">
        <f>ROUND(18/100,9)</f>
        <v>0.18</v>
      </c>
      <c r="O238">
        <f t="shared" si="150"/>
        <v>14011.94</v>
      </c>
      <c r="P238">
        <f t="shared" si="151"/>
        <v>139.78</v>
      </c>
      <c r="Q238">
        <f t="shared" si="152"/>
        <v>11.13</v>
      </c>
      <c r="R238">
        <f t="shared" si="153"/>
        <v>0.13</v>
      </c>
      <c r="S238">
        <f t="shared" si="154"/>
        <v>13861.03</v>
      </c>
      <c r="T238">
        <f t="shared" si="155"/>
        <v>0</v>
      </c>
      <c r="U238">
        <f t="shared" si="156"/>
        <v>27.3474</v>
      </c>
      <c r="V238">
        <f t="shared" si="157"/>
        <v>0</v>
      </c>
      <c r="W238">
        <f t="shared" si="158"/>
        <v>0</v>
      </c>
      <c r="X238">
        <f t="shared" si="159"/>
        <v>9702.7199999999993</v>
      </c>
      <c r="Y238">
        <f t="shared" si="160"/>
        <v>1386.1</v>
      </c>
      <c r="AA238">
        <v>1472506909</v>
      </c>
      <c r="AB238">
        <f t="shared" si="161"/>
        <v>77844.100000000006</v>
      </c>
      <c r="AC238">
        <f t="shared" si="185"/>
        <v>776.55</v>
      </c>
      <c r="AD238">
        <f t="shared" si="186"/>
        <v>61.83</v>
      </c>
      <c r="AE238">
        <f t="shared" si="187"/>
        <v>0.7</v>
      </c>
      <c r="AF238">
        <f t="shared" si="187"/>
        <v>77005.72</v>
      </c>
      <c r="AG238">
        <f t="shared" si="163"/>
        <v>0</v>
      </c>
      <c r="AH238">
        <f t="shared" si="188"/>
        <v>151.93</v>
      </c>
      <c r="AI238">
        <f t="shared" si="188"/>
        <v>0</v>
      </c>
      <c r="AJ238">
        <f t="shared" si="165"/>
        <v>0</v>
      </c>
      <c r="AK238">
        <v>77844.100000000006</v>
      </c>
      <c r="AL238">
        <v>776.55</v>
      </c>
      <c r="AM238">
        <v>61.83</v>
      </c>
      <c r="AN238">
        <v>0.7</v>
      </c>
      <c r="AO238">
        <v>77005.72</v>
      </c>
      <c r="AP238">
        <v>0</v>
      </c>
      <c r="AQ238">
        <v>151.93</v>
      </c>
      <c r="AR238">
        <v>0</v>
      </c>
      <c r="AS238">
        <v>0</v>
      </c>
      <c r="AT238">
        <v>70</v>
      </c>
      <c r="AU238">
        <v>10</v>
      </c>
      <c r="AV238">
        <v>1</v>
      </c>
      <c r="AW238">
        <v>1</v>
      </c>
      <c r="AZ238">
        <v>1</v>
      </c>
      <c r="BA238">
        <v>1</v>
      </c>
      <c r="BB238">
        <v>1</v>
      </c>
      <c r="BC238">
        <v>1</v>
      </c>
      <c r="BD238" t="s">
        <v>3</v>
      </c>
      <c r="BE238" t="s">
        <v>3</v>
      </c>
      <c r="BF238" t="s">
        <v>3</v>
      </c>
      <c r="BG238" t="s">
        <v>3</v>
      </c>
      <c r="BH238">
        <v>0</v>
      </c>
      <c r="BI238">
        <v>4</v>
      </c>
      <c r="BJ238" t="s">
        <v>164</v>
      </c>
      <c r="BM238">
        <v>0</v>
      </c>
      <c r="BN238">
        <v>0</v>
      </c>
      <c r="BO238" t="s">
        <v>3</v>
      </c>
      <c r="BP238">
        <v>0</v>
      </c>
      <c r="BQ238">
        <v>1</v>
      </c>
      <c r="BR238">
        <v>0</v>
      </c>
      <c r="BS238">
        <v>1</v>
      </c>
      <c r="BT238">
        <v>1</v>
      </c>
      <c r="BU238">
        <v>1</v>
      </c>
      <c r="BV238">
        <v>1</v>
      </c>
      <c r="BW238">
        <v>1</v>
      </c>
      <c r="BX238">
        <v>1</v>
      </c>
      <c r="BY238" t="s">
        <v>3</v>
      </c>
      <c r="BZ238">
        <v>70</v>
      </c>
      <c r="CA238">
        <v>10</v>
      </c>
      <c r="CB238" t="s">
        <v>3</v>
      </c>
      <c r="CE238">
        <v>0</v>
      </c>
      <c r="CF238">
        <v>0</v>
      </c>
      <c r="CG238">
        <v>0</v>
      </c>
      <c r="CM238">
        <v>0</v>
      </c>
      <c r="CN238" t="s">
        <v>3</v>
      </c>
      <c r="CO238">
        <v>0</v>
      </c>
      <c r="CP238">
        <f t="shared" si="166"/>
        <v>14011.94</v>
      </c>
      <c r="CQ238">
        <f t="shared" si="167"/>
        <v>776.55</v>
      </c>
      <c r="CR238">
        <f t="shared" si="189"/>
        <v>61.83</v>
      </c>
      <c r="CS238">
        <f t="shared" si="168"/>
        <v>0.7</v>
      </c>
      <c r="CT238">
        <f t="shared" si="169"/>
        <v>77005.72</v>
      </c>
      <c r="CU238">
        <f t="shared" si="170"/>
        <v>0</v>
      </c>
      <c r="CV238">
        <f t="shared" si="171"/>
        <v>151.93</v>
      </c>
      <c r="CW238">
        <f t="shared" si="172"/>
        <v>0</v>
      </c>
      <c r="CX238">
        <f t="shared" si="173"/>
        <v>0</v>
      </c>
      <c r="CY238">
        <f t="shared" si="174"/>
        <v>9702.7210000000014</v>
      </c>
      <c r="CZ238">
        <f t="shared" si="175"/>
        <v>1386.1030000000001</v>
      </c>
      <c r="DC238" t="s">
        <v>3</v>
      </c>
      <c r="DD238" t="s">
        <v>3</v>
      </c>
      <c r="DE238" t="s">
        <v>3</v>
      </c>
      <c r="DF238" t="s">
        <v>3</v>
      </c>
      <c r="DG238" t="s">
        <v>3</v>
      </c>
      <c r="DH238" t="s">
        <v>3</v>
      </c>
      <c r="DI238" t="s">
        <v>3</v>
      </c>
      <c r="DJ238" t="s">
        <v>3</v>
      </c>
      <c r="DK238" t="s">
        <v>3</v>
      </c>
      <c r="DL238" t="s">
        <v>3</v>
      </c>
      <c r="DM238" t="s">
        <v>3</v>
      </c>
      <c r="DN238">
        <v>0</v>
      </c>
      <c r="DO238">
        <v>0</v>
      </c>
      <c r="DP238">
        <v>1</v>
      </c>
      <c r="DQ238">
        <v>1</v>
      </c>
      <c r="DU238">
        <v>16987630</v>
      </c>
      <c r="DV238" t="s">
        <v>141</v>
      </c>
      <c r="DW238" t="s">
        <v>141</v>
      </c>
      <c r="DX238">
        <v>100</v>
      </c>
      <c r="DZ238" t="s">
        <v>3</v>
      </c>
      <c r="EA238" t="s">
        <v>3</v>
      </c>
      <c r="EB238" t="s">
        <v>3</v>
      </c>
      <c r="EC238" t="s">
        <v>3</v>
      </c>
      <c r="EE238">
        <v>1441815344</v>
      </c>
      <c r="EF238">
        <v>1</v>
      </c>
      <c r="EG238" t="s">
        <v>22</v>
      </c>
      <c r="EH238">
        <v>0</v>
      </c>
      <c r="EI238" t="s">
        <v>3</v>
      </c>
      <c r="EJ238">
        <v>4</v>
      </c>
      <c r="EK238">
        <v>0</v>
      </c>
      <c r="EL238" t="s">
        <v>23</v>
      </c>
      <c r="EM238" t="s">
        <v>24</v>
      </c>
      <c r="EO238" t="s">
        <v>3</v>
      </c>
      <c r="EQ238">
        <v>0</v>
      </c>
      <c r="ER238">
        <v>77844.100000000006</v>
      </c>
      <c r="ES238">
        <v>776.55</v>
      </c>
      <c r="ET238">
        <v>61.83</v>
      </c>
      <c r="EU238">
        <v>0.7</v>
      </c>
      <c r="EV238">
        <v>77005.72</v>
      </c>
      <c r="EW238">
        <v>151.93</v>
      </c>
      <c r="EX238">
        <v>0</v>
      </c>
      <c r="EY238">
        <v>0</v>
      </c>
      <c r="FQ238">
        <v>0</v>
      </c>
      <c r="FR238">
        <f t="shared" si="176"/>
        <v>0</v>
      </c>
      <c r="FS238">
        <v>0</v>
      </c>
      <c r="FX238">
        <v>70</v>
      </c>
      <c r="FY238">
        <v>10</v>
      </c>
      <c r="GA238" t="s">
        <v>3</v>
      </c>
      <c r="GD238">
        <v>0</v>
      </c>
      <c r="GF238">
        <v>1944845796</v>
      </c>
      <c r="GG238">
        <v>2</v>
      </c>
      <c r="GH238">
        <v>1</v>
      </c>
      <c r="GI238">
        <v>-2</v>
      </c>
      <c r="GJ238">
        <v>0</v>
      </c>
      <c r="GK238">
        <f>ROUND(R238*(R12)/100,2)</f>
        <v>0.14000000000000001</v>
      </c>
      <c r="GL238">
        <f t="shared" si="177"/>
        <v>0</v>
      </c>
      <c r="GM238">
        <f t="shared" si="178"/>
        <v>25100.9</v>
      </c>
      <c r="GN238">
        <f t="shared" si="179"/>
        <v>0</v>
      </c>
      <c r="GO238">
        <f t="shared" si="180"/>
        <v>0</v>
      </c>
      <c r="GP238">
        <f t="shared" si="181"/>
        <v>25100.9</v>
      </c>
      <c r="GR238">
        <v>0</v>
      </c>
      <c r="GS238">
        <v>3</v>
      </c>
      <c r="GT238">
        <v>0</v>
      </c>
      <c r="GU238" t="s">
        <v>3</v>
      </c>
      <c r="GV238">
        <f t="shared" si="182"/>
        <v>0</v>
      </c>
      <c r="GW238">
        <v>1</v>
      </c>
      <c r="GX238">
        <f t="shared" si="183"/>
        <v>0</v>
      </c>
      <c r="HA238">
        <v>0</v>
      </c>
      <c r="HB238">
        <v>0</v>
      </c>
      <c r="HC238">
        <f t="shared" si="184"/>
        <v>0</v>
      </c>
      <c r="HE238" t="s">
        <v>3</v>
      </c>
      <c r="HF238" t="s">
        <v>3</v>
      </c>
      <c r="HM238" t="s">
        <v>3</v>
      </c>
      <c r="HN238" t="s">
        <v>3</v>
      </c>
      <c r="HO238" t="s">
        <v>3</v>
      </c>
      <c r="HP238" t="s">
        <v>3</v>
      </c>
      <c r="HQ238" t="s">
        <v>3</v>
      </c>
      <c r="IK238">
        <v>0</v>
      </c>
    </row>
    <row r="239" spans="1:245" x14ac:dyDescent="0.2">
      <c r="A239">
        <v>17</v>
      </c>
      <c r="B239">
        <v>1</v>
      </c>
      <c r="D239">
        <f>ROW(EtalonRes!A56)</f>
        <v>56</v>
      </c>
      <c r="E239" t="s">
        <v>165</v>
      </c>
      <c r="F239" t="s">
        <v>166</v>
      </c>
      <c r="G239" t="s">
        <v>167</v>
      </c>
      <c r="H239" t="s">
        <v>168</v>
      </c>
      <c r="I239">
        <f>ROUND(18/100,9)</f>
        <v>0.18</v>
      </c>
      <c r="J239">
        <v>0</v>
      </c>
      <c r="K239">
        <f>ROUND(18/100,9)</f>
        <v>0.18</v>
      </c>
      <c r="O239">
        <f t="shared" si="150"/>
        <v>2861.3</v>
      </c>
      <c r="P239">
        <f t="shared" si="151"/>
        <v>0</v>
      </c>
      <c r="Q239">
        <f t="shared" si="152"/>
        <v>0</v>
      </c>
      <c r="R239">
        <f t="shared" si="153"/>
        <v>0</v>
      </c>
      <c r="S239">
        <f t="shared" si="154"/>
        <v>2861.3</v>
      </c>
      <c r="T239">
        <f t="shared" si="155"/>
        <v>0</v>
      </c>
      <c r="U239">
        <f t="shared" si="156"/>
        <v>4.806</v>
      </c>
      <c r="V239">
        <f t="shared" si="157"/>
        <v>0</v>
      </c>
      <c r="W239">
        <f t="shared" si="158"/>
        <v>0</v>
      </c>
      <c r="X239">
        <f t="shared" si="159"/>
        <v>2002.91</v>
      </c>
      <c r="Y239">
        <f t="shared" si="160"/>
        <v>286.13</v>
      </c>
      <c r="AA239">
        <v>1472506909</v>
      </c>
      <c r="AB239">
        <f t="shared" si="161"/>
        <v>15896.11</v>
      </c>
      <c r="AC239">
        <f t="shared" si="185"/>
        <v>0</v>
      </c>
      <c r="AD239">
        <f t="shared" si="186"/>
        <v>0</v>
      </c>
      <c r="AE239">
        <f t="shared" si="187"/>
        <v>0</v>
      </c>
      <c r="AF239">
        <f t="shared" si="187"/>
        <v>15896.11</v>
      </c>
      <c r="AG239">
        <f t="shared" si="163"/>
        <v>0</v>
      </c>
      <c r="AH239">
        <f t="shared" si="188"/>
        <v>26.7</v>
      </c>
      <c r="AI239">
        <f t="shared" si="188"/>
        <v>0</v>
      </c>
      <c r="AJ239">
        <f t="shared" si="165"/>
        <v>0</v>
      </c>
      <c r="AK239">
        <v>15896.11</v>
      </c>
      <c r="AL239">
        <v>0</v>
      </c>
      <c r="AM239">
        <v>0</v>
      </c>
      <c r="AN239">
        <v>0</v>
      </c>
      <c r="AO239">
        <v>15896.11</v>
      </c>
      <c r="AP239">
        <v>0</v>
      </c>
      <c r="AQ239">
        <v>26.7</v>
      </c>
      <c r="AR239">
        <v>0</v>
      </c>
      <c r="AS239">
        <v>0</v>
      </c>
      <c r="AT239">
        <v>70</v>
      </c>
      <c r="AU239">
        <v>10</v>
      </c>
      <c r="AV239">
        <v>1</v>
      </c>
      <c r="AW239">
        <v>1</v>
      </c>
      <c r="AZ239">
        <v>1</v>
      </c>
      <c r="BA239">
        <v>1</v>
      </c>
      <c r="BB239">
        <v>1</v>
      </c>
      <c r="BC239">
        <v>1</v>
      </c>
      <c r="BD239" t="s">
        <v>3</v>
      </c>
      <c r="BE239" t="s">
        <v>3</v>
      </c>
      <c r="BF239" t="s">
        <v>3</v>
      </c>
      <c r="BG239" t="s">
        <v>3</v>
      </c>
      <c r="BH239">
        <v>0</v>
      </c>
      <c r="BI239">
        <v>4</v>
      </c>
      <c r="BJ239" t="s">
        <v>169</v>
      </c>
      <c r="BM239">
        <v>0</v>
      </c>
      <c r="BN239">
        <v>0</v>
      </c>
      <c r="BO239" t="s">
        <v>3</v>
      </c>
      <c r="BP239">
        <v>0</v>
      </c>
      <c r="BQ239">
        <v>1</v>
      </c>
      <c r="BR239">
        <v>0</v>
      </c>
      <c r="BS239">
        <v>1</v>
      </c>
      <c r="BT239">
        <v>1</v>
      </c>
      <c r="BU239">
        <v>1</v>
      </c>
      <c r="BV239">
        <v>1</v>
      </c>
      <c r="BW239">
        <v>1</v>
      </c>
      <c r="BX239">
        <v>1</v>
      </c>
      <c r="BY239" t="s">
        <v>3</v>
      </c>
      <c r="BZ239">
        <v>70</v>
      </c>
      <c r="CA239">
        <v>10</v>
      </c>
      <c r="CB239" t="s">
        <v>3</v>
      </c>
      <c r="CE239">
        <v>0</v>
      </c>
      <c r="CF239">
        <v>0</v>
      </c>
      <c r="CG239">
        <v>0</v>
      </c>
      <c r="CM239">
        <v>0</v>
      </c>
      <c r="CN239" t="s">
        <v>3</v>
      </c>
      <c r="CO239">
        <v>0</v>
      </c>
      <c r="CP239">
        <f t="shared" si="166"/>
        <v>2861.3</v>
      </c>
      <c r="CQ239">
        <f t="shared" si="167"/>
        <v>0</v>
      </c>
      <c r="CR239">
        <f t="shared" si="189"/>
        <v>0</v>
      </c>
      <c r="CS239">
        <f t="shared" si="168"/>
        <v>0</v>
      </c>
      <c r="CT239">
        <f t="shared" si="169"/>
        <v>15896.11</v>
      </c>
      <c r="CU239">
        <f t="shared" si="170"/>
        <v>0</v>
      </c>
      <c r="CV239">
        <f t="shared" si="171"/>
        <v>26.7</v>
      </c>
      <c r="CW239">
        <f t="shared" si="172"/>
        <v>0</v>
      </c>
      <c r="CX239">
        <f t="shared" si="173"/>
        <v>0</v>
      </c>
      <c r="CY239">
        <f t="shared" si="174"/>
        <v>2002.91</v>
      </c>
      <c r="CZ239">
        <f t="shared" si="175"/>
        <v>286.13</v>
      </c>
      <c r="DC239" t="s">
        <v>3</v>
      </c>
      <c r="DD239" t="s">
        <v>3</v>
      </c>
      <c r="DE239" t="s">
        <v>3</v>
      </c>
      <c r="DF239" t="s">
        <v>3</v>
      </c>
      <c r="DG239" t="s">
        <v>3</v>
      </c>
      <c r="DH239" t="s">
        <v>3</v>
      </c>
      <c r="DI239" t="s">
        <v>3</v>
      </c>
      <c r="DJ239" t="s">
        <v>3</v>
      </c>
      <c r="DK239" t="s">
        <v>3</v>
      </c>
      <c r="DL239" t="s">
        <v>3</v>
      </c>
      <c r="DM239" t="s">
        <v>3</v>
      </c>
      <c r="DN239">
        <v>0</v>
      </c>
      <c r="DO239">
        <v>0</v>
      </c>
      <c r="DP239">
        <v>1</v>
      </c>
      <c r="DQ239">
        <v>1</v>
      </c>
      <c r="DU239">
        <v>1013</v>
      </c>
      <c r="DV239" t="s">
        <v>168</v>
      </c>
      <c r="DW239" t="s">
        <v>168</v>
      </c>
      <c r="DX239">
        <v>1</v>
      </c>
      <c r="DZ239" t="s">
        <v>3</v>
      </c>
      <c r="EA239" t="s">
        <v>3</v>
      </c>
      <c r="EB239" t="s">
        <v>3</v>
      </c>
      <c r="EC239" t="s">
        <v>3</v>
      </c>
      <c r="EE239">
        <v>1441815344</v>
      </c>
      <c r="EF239">
        <v>1</v>
      </c>
      <c r="EG239" t="s">
        <v>22</v>
      </c>
      <c r="EH239">
        <v>0</v>
      </c>
      <c r="EI239" t="s">
        <v>3</v>
      </c>
      <c r="EJ239">
        <v>4</v>
      </c>
      <c r="EK239">
        <v>0</v>
      </c>
      <c r="EL239" t="s">
        <v>23</v>
      </c>
      <c r="EM239" t="s">
        <v>24</v>
      </c>
      <c r="EO239" t="s">
        <v>3</v>
      </c>
      <c r="EQ239">
        <v>0</v>
      </c>
      <c r="ER239">
        <v>15896.11</v>
      </c>
      <c r="ES239">
        <v>0</v>
      </c>
      <c r="ET239">
        <v>0</v>
      </c>
      <c r="EU239">
        <v>0</v>
      </c>
      <c r="EV239">
        <v>15896.11</v>
      </c>
      <c r="EW239">
        <v>26.7</v>
      </c>
      <c r="EX239">
        <v>0</v>
      </c>
      <c r="EY239">
        <v>0</v>
      </c>
      <c r="FQ239">
        <v>0</v>
      </c>
      <c r="FR239">
        <f t="shared" si="176"/>
        <v>0</v>
      </c>
      <c r="FS239">
        <v>0</v>
      </c>
      <c r="FX239">
        <v>70</v>
      </c>
      <c r="FY239">
        <v>10</v>
      </c>
      <c r="GA239" t="s">
        <v>3</v>
      </c>
      <c r="GD239">
        <v>0</v>
      </c>
      <c r="GF239">
        <v>-1089660975</v>
      </c>
      <c r="GG239">
        <v>2</v>
      </c>
      <c r="GH239">
        <v>1</v>
      </c>
      <c r="GI239">
        <v>-2</v>
      </c>
      <c r="GJ239">
        <v>0</v>
      </c>
      <c r="GK239">
        <f>ROUND(R239*(R12)/100,2)</f>
        <v>0</v>
      </c>
      <c r="GL239">
        <f t="shared" si="177"/>
        <v>0</v>
      </c>
      <c r="GM239">
        <f t="shared" si="178"/>
        <v>5150.34</v>
      </c>
      <c r="GN239">
        <f t="shared" si="179"/>
        <v>0</v>
      </c>
      <c r="GO239">
        <f t="shared" si="180"/>
        <v>0</v>
      </c>
      <c r="GP239">
        <f t="shared" si="181"/>
        <v>5150.34</v>
      </c>
      <c r="GR239">
        <v>0</v>
      </c>
      <c r="GS239">
        <v>3</v>
      </c>
      <c r="GT239">
        <v>0</v>
      </c>
      <c r="GU239" t="s">
        <v>3</v>
      </c>
      <c r="GV239">
        <f t="shared" si="182"/>
        <v>0</v>
      </c>
      <c r="GW239">
        <v>1</v>
      </c>
      <c r="GX239">
        <f t="shared" si="183"/>
        <v>0</v>
      </c>
      <c r="HA239">
        <v>0</v>
      </c>
      <c r="HB239">
        <v>0</v>
      </c>
      <c r="HC239">
        <f t="shared" si="184"/>
        <v>0</v>
      </c>
      <c r="HE239" t="s">
        <v>3</v>
      </c>
      <c r="HF239" t="s">
        <v>3</v>
      </c>
      <c r="HM239" t="s">
        <v>3</v>
      </c>
      <c r="HN239" t="s">
        <v>3</v>
      </c>
      <c r="HO239" t="s">
        <v>3</v>
      </c>
      <c r="HP239" t="s">
        <v>3</v>
      </c>
      <c r="HQ239" t="s">
        <v>3</v>
      </c>
      <c r="IK239">
        <v>0</v>
      </c>
    </row>
    <row r="240" spans="1:245" x14ac:dyDescent="0.2">
      <c r="A240">
        <v>17</v>
      </c>
      <c r="B240">
        <v>1</v>
      </c>
      <c r="D240">
        <f>ROW(EtalonRes!A58)</f>
        <v>58</v>
      </c>
      <c r="E240" t="s">
        <v>170</v>
      </c>
      <c r="F240" t="s">
        <v>139</v>
      </c>
      <c r="G240" t="s">
        <v>140</v>
      </c>
      <c r="H240" t="s">
        <v>141</v>
      </c>
      <c r="I240">
        <f>ROUND((15+10)/100,9)</f>
        <v>0.25</v>
      </c>
      <c r="J240">
        <v>0</v>
      </c>
      <c r="K240">
        <f>ROUND((15+10)/100,9)</f>
        <v>0.25</v>
      </c>
      <c r="O240">
        <f t="shared" si="150"/>
        <v>3611.38</v>
      </c>
      <c r="P240">
        <f t="shared" si="151"/>
        <v>60.89</v>
      </c>
      <c r="Q240">
        <f t="shared" si="152"/>
        <v>0</v>
      </c>
      <c r="R240">
        <f t="shared" si="153"/>
        <v>0</v>
      </c>
      <c r="S240">
        <f t="shared" si="154"/>
        <v>3550.49</v>
      </c>
      <c r="T240">
        <f t="shared" si="155"/>
        <v>0</v>
      </c>
      <c r="U240">
        <f t="shared" si="156"/>
        <v>7.0049999999999999</v>
      </c>
      <c r="V240">
        <f t="shared" si="157"/>
        <v>0</v>
      </c>
      <c r="W240">
        <f t="shared" si="158"/>
        <v>0</v>
      </c>
      <c r="X240">
        <f t="shared" si="159"/>
        <v>2485.34</v>
      </c>
      <c r="Y240">
        <f t="shared" si="160"/>
        <v>355.05</v>
      </c>
      <c r="AA240">
        <v>1472506909</v>
      </c>
      <c r="AB240">
        <f t="shared" si="161"/>
        <v>14445.51</v>
      </c>
      <c r="AC240">
        <f t="shared" si="185"/>
        <v>243.57</v>
      </c>
      <c r="AD240">
        <f t="shared" si="186"/>
        <v>0</v>
      </c>
      <c r="AE240">
        <f t="shared" si="187"/>
        <v>0</v>
      </c>
      <c r="AF240">
        <f t="shared" si="187"/>
        <v>14201.94</v>
      </c>
      <c r="AG240">
        <f t="shared" si="163"/>
        <v>0</v>
      </c>
      <c r="AH240">
        <f t="shared" si="188"/>
        <v>28.02</v>
      </c>
      <c r="AI240">
        <f t="shared" si="188"/>
        <v>0</v>
      </c>
      <c r="AJ240">
        <f t="shared" si="165"/>
        <v>0</v>
      </c>
      <c r="AK240">
        <v>14445.51</v>
      </c>
      <c r="AL240">
        <v>243.57</v>
      </c>
      <c r="AM240">
        <v>0</v>
      </c>
      <c r="AN240">
        <v>0</v>
      </c>
      <c r="AO240">
        <v>14201.94</v>
      </c>
      <c r="AP240">
        <v>0</v>
      </c>
      <c r="AQ240">
        <v>28.02</v>
      </c>
      <c r="AR240">
        <v>0</v>
      </c>
      <c r="AS240">
        <v>0</v>
      </c>
      <c r="AT240">
        <v>70</v>
      </c>
      <c r="AU240">
        <v>10</v>
      </c>
      <c r="AV240">
        <v>1</v>
      </c>
      <c r="AW240">
        <v>1</v>
      </c>
      <c r="AZ240">
        <v>1</v>
      </c>
      <c r="BA240">
        <v>1</v>
      </c>
      <c r="BB240">
        <v>1</v>
      </c>
      <c r="BC240">
        <v>1</v>
      </c>
      <c r="BD240" t="s">
        <v>3</v>
      </c>
      <c r="BE240" t="s">
        <v>3</v>
      </c>
      <c r="BF240" t="s">
        <v>3</v>
      </c>
      <c r="BG240" t="s">
        <v>3</v>
      </c>
      <c r="BH240">
        <v>0</v>
      </c>
      <c r="BI240">
        <v>4</v>
      </c>
      <c r="BJ240" t="s">
        <v>142</v>
      </c>
      <c r="BM240">
        <v>0</v>
      </c>
      <c r="BN240">
        <v>0</v>
      </c>
      <c r="BO240" t="s">
        <v>3</v>
      </c>
      <c r="BP240">
        <v>0</v>
      </c>
      <c r="BQ240">
        <v>1</v>
      </c>
      <c r="BR240">
        <v>0</v>
      </c>
      <c r="BS240">
        <v>1</v>
      </c>
      <c r="BT240">
        <v>1</v>
      </c>
      <c r="BU240">
        <v>1</v>
      </c>
      <c r="BV240">
        <v>1</v>
      </c>
      <c r="BW240">
        <v>1</v>
      </c>
      <c r="BX240">
        <v>1</v>
      </c>
      <c r="BY240" t="s">
        <v>3</v>
      </c>
      <c r="BZ240">
        <v>70</v>
      </c>
      <c r="CA240">
        <v>10</v>
      </c>
      <c r="CB240" t="s">
        <v>3</v>
      </c>
      <c r="CE240">
        <v>0</v>
      </c>
      <c r="CF240">
        <v>0</v>
      </c>
      <c r="CG240">
        <v>0</v>
      </c>
      <c r="CM240">
        <v>0</v>
      </c>
      <c r="CN240" t="s">
        <v>3</v>
      </c>
      <c r="CO240">
        <v>0</v>
      </c>
      <c r="CP240">
        <f t="shared" si="166"/>
        <v>3611.3799999999997</v>
      </c>
      <c r="CQ240">
        <f t="shared" si="167"/>
        <v>243.57</v>
      </c>
      <c r="CR240">
        <f t="shared" si="189"/>
        <v>0</v>
      </c>
      <c r="CS240">
        <f t="shared" si="168"/>
        <v>0</v>
      </c>
      <c r="CT240">
        <f t="shared" si="169"/>
        <v>14201.94</v>
      </c>
      <c r="CU240">
        <f t="shared" si="170"/>
        <v>0</v>
      </c>
      <c r="CV240">
        <f t="shared" si="171"/>
        <v>28.02</v>
      </c>
      <c r="CW240">
        <f t="shared" si="172"/>
        <v>0</v>
      </c>
      <c r="CX240">
        <f t="shared" si="173"/>
        <v>0</v>
      </c>
      <c r="CY240">
        <f t="shared" si="174"/>
        <v>2485.3429999999998</v>
      </c>
      <c r="CZ240">
        <f t="shared" si="175"/>
        <v>355.04899999999992</v>
      </c>
      <c r="DC240" t="s">
        <v>3</v>
      </c>
      <c r="DD240" t="s">
        <v>3</v>
      </c>
      <c r="DE240" t="s">
        <v>3</v>
      </c>
      <c r="DF240" t="s">
        <v>3</v>
      </c>
      <c r="DG240" t="s">
        <v>3</v>
      </c>
      <c r="DH240" t="s">
        <v>3</v>
      </c>
      <c r="DI240" t="s">
        <v>3</v>
      </c>
      <c r="DJ240" t="s">
        <v>3</v>
      </c>
      <c r="DK240" t="s">
        <v>3</v>
      </c>
      <c r="DL240" t="s">
        <v>3</v>
      </c>
      <c r="DM240" t="s">
        <v>3</v>
      </c>
      <c r="DN240">
        <v>0</v>
      </c>
      <c r="DO240">
        <v>0</v>
      </c>
      <c r="DP240">
        <v>1</v>
      </c>
      <c r="DQ240">
        <v>1</v>
      </c>
      <c r="DU240">
        <v>16987630</v>
      </c>
      <c r="DV240" t="s">
        <v>141</v>
      </c>
      <c r="DW240" t="s">
        <v>141</v>
      </c>
      <c r="DX240">
        <v>100</v>
      </c>
      <c r="DZ240" t="s">
        <v>3</v>
      </c>
      <c r="EA240" t="s">
        <v>3</v>
      </c>
      <c r="EB240" t="s">
        <v>3</v>
      </c>
      <c r="EC240" t="s">
        <v>3</v>
      </c>
      <c r="EE240">
        <v>1441815344</v>
      </c>
      <c r="EF240">
        <v>1</v>
      </c>
      <c r="EG240" t="s">
        <v>22</v>
      </c>
      <c r="EH240">
        <v>0</v>
      </c>
      <c r="EI240" t="s">
        <v>3</v>
      </c>
      <c r="EJ240">
        <v>4</v>
      </c>
      <c r="EK240">
        <v>0</v>
      </c>
      <c r="EL240" t="s">
        <v>23</v>
      </c>
      <c r="EM240" t="s">
        <v>24</v>
      </c>
      <c r="EO240" t="s">
        <v>3</v>
      </c>
      <c r="EQ240">
        <v>0</v>
      </c>
      <c r="ER240">
        <v>14445.51</v>
      </c>
      <c r="ES240">
        <v>243.57</v>
      </c>
      <c r="ET240">
        <v>0</v>
      </c>
      <c r="EU240">
        <v>0</v>
      </c>
      <c r="EV240">
        <v>14201.94</v>
      </c>
      <c r="EW240">
        <v>28.02</v>
      </c>
      <c r="EX240">
        <v>0</v>
      </c>
      <c r="EY240">
        <v>0</v>
      </c>
      <c r="FQ240">
        <v>0</v>
      </c>
      <c r="FR240">
        <f t="shared" si="176"/>
        <v>0</v>
      </c>
      <c r="FS240">
        <v>0</v>
      </c>
      <c r="FX240">
        <v>70</v>
      </c>
      <c r="FY240">
        <v>10</v>
      </c>
      <c r="GA240" t="s">
        <v>3</v>
      </c>
      <c r="GD240">
        <v>0</v>
      </c>
      <c r="GF240">
        <v>1586733399</v>
      </c>
      <c r="GG240">
        <v>2</v>
      </c>
      <c r="GH240">
        <v>1</v>
      </c>
      <c r="GI240">
        <v>-2</v>
      </c>
      <c r="GJ240">
        <v>0</v>
      </c>
      <c r="GK240">
        <f>ROUND(R240*(R12)/100,2)</f>
        <v>0</v>
      </c>
      <c r="GL240">
        <f t="shared" si="177"/>
        <v>0</v>
      </c>
      <c r="GM240">
        <f t="shared" si="178"/>
        <v>6451.77</v>
      </c>
      <c r="GN240">
        <f t="shared" si="179"/>
        <v>0</v>
      </c>
      <c r="GO240">
        <f t="shared" si="180"/>
        <v>0</v>
      </c>
      <c r="GP240">
        <f t="shared" si="181"/>
        <v>6451.77</v>
      </c>
      <c r="GR240">
        <v>0</v>
      </c>
      <c r="GS240">
        <v>3</v>
      </c>
      <c r="GT240">
        <v>0</v>
      </c>
      <c r="GU240" t="s">
        <v>3</v>
      </c>
      <c r="GV240">
        <f t="shared" si="182"/>
        <v>0</v>
      </c>
      <c r="GW240">
        <v>1</v>
      </c>
      <c r="GX240">
        <f t="shared" si="183"/>
        <v>0</v>
      </c>
      <c r="HA240">
        <v>0</v>
      </c>
      <c r="HB240">
        <v>0</v>
      </c>
      <c r="HC240">
        <f t="shared" si="184"/>
        <v>0</v>
      </c>
      <c r="HE240" t="s">
        <v>3</v>
      </c>
      <c r="HF240" t="s">
        <v>3</v>
      </c>
      <c r="HM240" t="s">
        <v>3</v>
      </c>
      <c r="HN240" t="s">
        <v>3</v>
      </c>
      <c r="HO240" t="s">
        <v>3</v>
      </c>
      <c r="HP240" t="s">
        <v>3</v>
      </c>
      <c r="HQ240" t="s">
        <v>3</v>
      </c>
      <c r="IK240">
        <v>0</v>
      </c>
    </row>
    <row r="241" spans="1:245" x14ac:dyDescent="0.2">
      <c r="A241">
        <v>17</v>
      </c>
      <c r="B241">
        <v>1</v>
      </c>
      <c r="D241">
        <f>ROW(EtalonRes!A61)</f>
        <v>61</v>
      </c>
      <c r="E241" t="s">
        <v>171</v>
      </c>
      <c r="F241" t="s">
        <v>172</v>
      </c>
      <c r="G241" t="s">
        <v>173</v>
      </c>
      <c r="H241" t="s">
        <v>20</v>
      </c>
      <c r="I241">
        <v>6</v>
      </c>
      <c r="J241">
        <v>0</v>
      </c>
      <c r="K241">
        <v>6</v>
      </c>
      <c r="O241">
        <f t="shared" si="150"/>
        <v>15934.92</v>
      </c>
      <c r="P241">
        <f t="shared" si="151"/>
        <v>3.78</v>
      </c>
      <c r="Q241">
        <f t="shared" si="152"/>
        <v>8466.9599999999991</v>
      </c>
      <c r="R241">
        <f t="shared" si="153"/>
        <v>5368.62</v>
      </c>
      <c r="S241">
        <f t="shared" si="154"/>
        <v>7464.18</v>
      </c>
      <c r="T241">
        <f t="shared" si="155"/>
        <v>0</v>
      </c>
      <c r="U241">
        <f t="shared" si="156"/>
        <v>10.5</v>
      </c>
      <c r="V241">
        <f t="shared" si="157"/>
        <v>0</v>
      </c>
      <c r="W241">
        <f t="shared" si="158"/>
        <v>0</v>
      </c>
      <c r="X241">
        <f t="shared" si="159"/>
        <v>5224.93</v>
      </c>
      <c r="Y241">
        <f t="shared" si="160"/>
        <v>746.42</v>
      </c>
      <c r="AA241">
        <v>1472506909</v>
      </c>
      <c r="AB241">
        <f t="shared" si="161"/>
        <v>2655.82</v>
      </c>
      <c r="AC241">
        <f t="shared" si="185"/>
        <v>0.63</v>
      </c>
      <c r="AD241">
        <f t="shared" si="186"/>
        <v>1411.16</v>
      </c>
      <c r="AE241">
        <f t="shared" si="187"/>
        <v>894.77</v>
      </c>
      <c r="AF241">
        <f t="shared" si="187"/>
        <v>1244.03</v>
      </c>
      <c r="AG241">
        <f t="shared" si="163"/>
        <v>0</v>
      </c>
      <c r="AH241">
        <f t="shared" si="188"/>
        <v>1.75</v>
      </c>
      <c r="AI241">
        <f t="shared" si="188"/>
        <v>0</v>
      </c>
      <c r="AJ241">
        <f t="shared" si="165"/>
        <v>0</v>
      </c>
      <c r="AK241">
        <v>2655.82</v>
      </c>
      <c r="AL241">
        <v>0.63</v>
      </c>
      <c r="AM241">
        <v>1411.16</v>
      </c>
      <c r="AN241">
        <v>894.77</v>
      </c>
      <c r="AO241">
        <v>1244.03</v>
      </c>
      <c r="AP241">
        <v>0</v>
      </c>
      <c r="AQ241">
        <v>1.75</v>
      </c>
      <c r="AR241">
        <v>0</v>
      </c>
      <c r="AS241">
        <v>0</v>
      </c>
      <c r="AT241">
        <v>70</v>
      </c>
      <c r="AU241">
        <v>10</v>
      </c>
      <c r="AV241">
        <v>1</v>
      </c>
      <c r="AW241">
        <v>1</v>
      </c>
      <c r="AZ241">
        <v>1</v>
      </c>
      <c r="BA241">
        <v>1</v>
      </c>
      <c r="BB241">
        <v>1</v>
      </c>
      <c r="BC241">
        <v>1</v>
      </c>
      <c r="BD241" t="s">
        <v>3</v>
      </c>
      <c r="BE241" t="s">
        <v>3</v>
      </c>
      <c r="BF241" t="s">
        <v>3</v>
      </c>
      <c r="BG241" t="s">
        <v>3</v>
      </c>
      <c r="BH241">
        <v>0</v>
      </c>
      <c r="BI241">
        <v>4</v>
      </c>
      <c r="BJ241" t="s">
        <v>174</v>
      </c>
      <c r="BM241">
        <v>0</v>
      </c>
      <c r="BN241">
        <v>0</v>
      </c>
      <c r="BO241" t="s">
        <v>3</v>
      </c>
      <c r="BP241">
        <v>0</v>
      </c>
      <c r="BQ241">
        <v>1</v>
      </c>
      <c r="BR241">
        <v>0</v>
      </c>
      <c r="BS241">
        <v>1</v>
      </c>
      <c r="BT241">
        <v>1</v>
      </c>
      <c r="BU241">
        <v>1</v>
      </c>
      <c r="BV241">
        <v>1</v>
      </c>
      <c r="BW241">
        <v>1</v>
      </c>
      <c r="BX241">
        <v>1</v>
      </c>
      <c r="BY241" t="s">
        <v>3</v>
      </c>
      <c r="BZ241">
        <v>70</v>
      </c>
      <c r="CA241">
        <v>10</v>
      </c>
      <c r="CB241" t="s">
        <v>3</v>
      </c>
      <c r="CE241">
        <v>0</v>
      </c>
      <c r="CF241">
        <v>0</v>
      </c>
      <c r="CG241">
        <v>0</v>
      </c>
      <c r="CM241">
        <v>0</v>
      </c>
      <c r="CN241" t="s">
        <v>3</v>
      </c>
      <c r="CO241">
        <v>0</v>
      </c>
      <c r="CP241">
        <f t="shared" si="166"/>
        <v>15934.92</v>
      </c>
      <c r="CQ241">
        <f t="shared" si="167"/>
        <v>0.63</v>
      </c>
      <c r="CR241">
        <f t="shared" si="189"/>
        <v>1411.16</v>
      </c>
      <c r="CS241">
        <f t="shared" si="168"/>
        <v>894.77</v>
      </c>
      <c r="CT241">
        <f t="shared" si="169"/>
        <v>1244.03</v>
      </c>
      <c r="CU241">
        <f t="shared" si="170"/>
        <v>0</v>
      </c>
      <c r="CV241">
        <f t="shared" si="171"/>
        <v>1.75</v>
      </c>
      <c r="CW241">
        <f t="shared" si="172"/>
        <v>0</v>
      </c>
      <c r="CX241">
        <f t="shared" si="173"/>
        <v>0</v>
      </c>
      <c r="CY241">
        <f t="shared" si="174"/>
        <v>5224.9260000000004</v>
      </c>
      <c r="CZ241">
        <f t="shared" si="175"/>
        <v>746.41800000000001</v>
      </c>
      <c r="DC241" t="s">
        <v>3</v>
      </c>
      <c r="DD241" t="s">
        <v>3</v>
      </c>
      <c r="DE241" t="s">
        <v>3</v>
      </c>
      <c r="DF241" t="s">
        <v>3</v>
      </c>
      <c r="DG241" t="s">
        <v>3</v>
      </c>
      <c r="DH241" t="s">
        <v>3</v>
      </c>
      <c r="DI241" t="s">
        <v>3</v>
      </c>
      <c r="DJ241" t="s">
        <v>3</v>
      </c>
      <c r="DK241" t="s">
        <v>3</v>
      </c>
      <c r="DL241" t="s">
        <v>3</v>
      </c>
      <c r="DM241" t="s">
        <v>3</v>
      </c>
      <c r="DN241">
        <v>0</v>
      </c>
      <c r="DO241">
        <v>0</v>
      </c>
      <c r="DP241">
        <v>1</v>
      </c>
      <c r="DQ241">
        <v>1</v>
      </c>
      <c r="DU241">
        <v>16987630</v>
      </c>
      <c r="DV241" t="s">
        <v>20</v>
      </c>
      <c r="DW241" t="s">
        <v>20</v>
      </c>
      <c r="DX241">
        <v>1</v>
      </c>
      <c r="DZ241" t="s">
        <v>3</v>
      </c>
      <c r="EA241" t="s">
        <v>3</v>
      </c>
      <c r="EB241" t="s">
        <v>3</v>
      </c>
      <c r="EC241" t="s">
        <v>3</v>
      </c>
      <c r="EE241">
        <v>1441815344</v>
      </c>
      <c r="EF241">
        <v>1</v>
      </c>
      <c r="EG241" t="s">
        <v>22</v>
      </c>
      <c r="EH241">
        <v>0</v>
      </c>
      <c r="EI241" t="s">
        <v>3</v>
      </c>
      <c r="EJ241">
        <v>4</v>
      </c>
      <c r="EK241">
        <v>0</v>
      </c>
      <c r="EL241" t="s">
        <v>23</v>
      </c>
      <c r="EM241" t="s">
        <v>24</v>
      </c>
      <c r="EO241" t="s">
        <v>3</v>
      </c>
      <c r="EQ241">
        <v>0</v>
      </c>
      <c r="ER241">
        <v>2655.82</v>
      </c>
      <c r="ES241">
        <v>0.63</v>
      </c>
      <c r="ET241">
        <v>1411.16</v>
      </c>
      <c r="EU241">
        <v>894.77</v>
      </c>
      <c r="EV241">
        <v>1244.03</v>
      </c>
      <c r="EW241">
        <v>1.75</v>
      </c>
      <c r="EX241">
        <v>0</v>
      </c>
      <c r="EY241">
        <v>0</v>
      </c>
      <c r="FQ241">
        <v>0</v>
      </c>
      <c r="FR241">
        <f t="shared" si="176"/>
        <v>0</v>
      </c>
      <c r="FS241">
        <v>0</v>
      </c>
      <c r="FX241">
        <v>70</v>
      </c>
      <c r="FY241">
        <v>10</v>
      </c>
      <c r="GA241" t="s">
        <v>3</v>
      </c>
      <c r="GD241">
        <v>0</v>
      </c>
      <c r="GF241">
        <v>-1602766855</v>
      </c>
      <c r="GG241">
        <v>2</v>
      </c>
      <c r="GH241">
        <v>1</v>
      </c>
      <c r="GI241">
        <v>-2</v>
      </c>
      <c r="GJ241">
        <v>0</v>
      </c>
      <c r="GK241">
        <f>ROUND(R241*(R12)/100,2)</f>
        <v>5798.11</v>
      </c>
      <c r="GL241">
        <f t="shared" si="177"/>
        <v>0</v>
      </c>
      <c r="GM241">
        <f t="shared" si="178"/>
        <v>27704.38</v>
      </c>
      <c r="GN241">
        <f t="shared" si="179"/>
        <v>0</v>
      </c>
      <c r="GO241">
        <f t="shared" si="180"/>
        <v>0</v>
      </c>
      <c r="GP241">
        <f t="shared" si="181"/>
        <v>27704.38</v>
      </c>
      <c r="GR241">
        <v>0</v>
      </c>
      <c r="GS241">
        <v>3</v>
      </c>
      <c r="GT241">
        <v>0</v>
      </c>
      <c r="GU241" t="s">
        <v>3</v>
      </c>
      <c r="GV241">
        <f t="shared" si="182"/>
        <v>0</v>
      </c>
      <c r="GW241">
        <v>1</v>
      </c>
      <c r="GX241">
        <f t="shared" si="183"/>
        <v>0</v>
      </c>
      <c r="HA241">
        <v>0</v>
      </c>
      <c r="HB241">
        <v>0</v>
      </c>
      <c r="HC241">
        <f t="shared" si="184"/>
        <v>0</v>
      </c>
      <c r="HE241" t="s">
        <v>3</v>
      </c>
      <c r="HF241" t="s">
        <v>3</v>
      </c>
      <c r="HM241" t="s">
        <v>3</v>
      </c>
      <c r="HN241" t="s">
        <v>3</v>
      </c>
      <c r="HO241" t="s">
        <v>3</v>
      </c>
      <c r="HP241" t="s">
        <v>3</v>
      </c>
      <c r="HQ241" t="s">
        <v>3</v>
      </c>
      <c r="IK241">
        <v>0</v>
      </c>
    </row>
    <row r="242" spans="1:245" x14ac:dyDescent="0.2">
      <c r="A242">
        <v>17</v>
      </c>
      <c r="B242">
        <v>1</v>
      </c>
      <c r="D242">
        <f>ROW(EtalonRes!A63)</f>
        <v>63</v>
      </c>
      <c r="E242" t="s">
        <v>175</v>
      </c>
      <c r="F242" t="s">
        <v>30</v>
      </c>
      <c r="G242" t="s">
        <v>176</v>
      </c>
      <c r="H242" t="s">
        <v>20</v>
      </c>
      <c r="I242">
        <v>6</v>
      </c>
      <c r="J242">
        <v>0</v>
      </c>
      <c r="K242">
        <v>6</v>
      </c>
      <c r="O242">
        <f t="shared" si="150"/>
        <v>1717.08</v>
      </c>
      <c r="P242">
        <f t="shared" si="151"/>
        <v>0</v>
      </c>
      <c r="Q242">
        <f t="shared" si="152"/>
        <v>469.08</v>
      </c>
      <c r="R242">
        <f t="shared" si="153"/>
        <v>297.42</v>
      </c>
      <c r="S242">
        <f t="shared" si="154"/>
        <v>1248</v>
      </c>
      <c r="T242">
        <f t="shared" si="155"/>
        <v>0</v>
      </c>
      <c r="U242">
        <f t="shared" si="156"/>
        <v>2.2199999999999998</v>
      </c>
      <c r="V242">
        <f t="shared" si="157"/>
        <v>0</v>
      </c>
      <c r="W242">
        <f t="shared" si="158"/>
        <v>0</v>
      </c>
      <c r="X242">
        <f t="shared" si="159"/>
        <v>873.6</v>
      </c>
      <c r="Y242">
        <f t="shared" si="160"/>
        <v>124.8</v>
      </c>
      <c r="AA242">
        <v>1472506909</v>
      </c>
      <c r="AB242">
        <f t="shared" si="161"/>
        <v>286.18</v>
      </c>
      <c r="AC242">
        <f t="shared" si="185"/>
        <v>0</v>
      </c>
      <c r="AD242">
        <f t="shared" si="186"/>
        <v>78.180000000000007</v>
      </c>
      <c r="AE242">
        <f t="shared" si="187"/>
        <v>49.57</v>
      </c>
      <c r="AF242">
        <f t="shared" si="187"/>
        <v>208</v>
      </c>
      <c r="AG242">
        <f t="shared" si="163"/>
        <v>0</v>
      </c>
      <c r="AH242">
        <f t="shared" si="188"/>
        <v>0.37</v>
      </c>
      <c r="AI242">
        <f t="shared" si="188"/>
        <v>0</v>
      </c>
      <c r="AJ242">
        <f t="shared" si="165"/>
        <v>0</v>
      </c>
      <c r="AK242">
        <v>286.18</v>
      </c>
      <c r="AL242">
        <v>0</v>
      </c>
      <c r="AM242">
        <v>78.180000000000007</v>
      </c>
      <c r="AN242">
        <v>49.57</v>
      </c>
      <c r="AO242">
        <v>208</v>
      </c>
      <c r="AP242">
        <v>0</v>
      </c>
      <c r="AQ242">
        <v>0.37</v>
      </c>
      <c r="AR242">
        <v>0</v>
      </c>
      <c r="AS242">
        <v>0</v>
      </c>
      <c r="AT242">
        <v>70</v>
      </c>
      <c r="AU242">
        <v>10</v>
      </c>
      <c r="AV242">
        <v>1</v>
      </c>
      <c r="AW242">
        <v>1</v>
      </c>
      <c r="AZ242">
        <v>1</v>
      </c>
      <c r="BA242">
        <v>1</v>
      </c>
      <c r="BB242">
        <v>1</v>
      </c>
      <c r="BC242">
        <v>1</v>
      </c>
      <c r="BD242" t="s">
        <v>3</v>
      </c>
      <c r="BE242" t="s">
        <v>3</v>
      </c>
      <c r="BF242" t="s">
        <v>3</v>
      </c>
      <c r="BG242" t="s">
        <v>3</v>
      </c>
      <c r="BH242">
        <v>0</v>
      </c>
      <c r="BI242">
        <v>4</v>
      </c>
      <c r="BJ242" t="s">
        <v>32</v>
      </c>
      <c r="BM242">
        <v>0</v>
      </c>
      <c r="BN242">
        <v>0</v>
      </c>
      <c r="BO242" t="s">
        <v>3</v>
      </c>
      <c r="BP242">
        <v>0</v>
      </c>
      <c r="BQ242">
        <v>1</v>
      </c>
      <c r="BR242">
        <v>0</v>
      </c>
      <c r="BS242">
        <v>1</v>
      </c>
      <c r="BT242">
        <v>1</v>
      </c>
      <c r="BU242">
        <v>1</v>
      </c>
      <c r="BV242">
        <v>1</v>
      </c>
      <c r="BW242">
        <v>1</v>
      </c>
      <c r="BX242">
        <v>1</v>
      </c>
      <c r="BY242" t="s">
        <v>3</v>
      </c>
      <c r="BZ242">
        <v>70</v>
      </c>
      <c r="CA242">
        <v>10</v>
      </c>
      <c r="CB242" t="s">
        <v>3</v>
      </c>
      <c r="CE242">
        <v>0</v>
      </c>
      <c r="CF242">
        <v>0</v>
      </c>
      <c r="CG242">
        <v>0</v>
      </c>
      <c r="CM242">
        <v>0</v>
      </c>
      <c r="CN242" t="s">
        <v>3</v>
      </c>
      <c r="CO242">
        <v>0</v>
      </c>
      <c r="CP242">
        <f t="shared" si="166"/>
        <v>1717.08</v>
      </c>
      <c r="CQ242">
        <f t="shared" si="167"/>
        <v>0</v>
      </c>
      <c r="CR242">
        <f t="shared" si="189"/>
        <v>78.180000000000007</v>
      </c>
      <c r="CS242">
        <f t="shared" si="168"/>
        <v>49.57</v>
      </c>
      <c r="CT242">
        <f t="shared" si="169"/>
        <v>208</v>
      </c>
      <c r="CU242">
        <f t="shared" si="170"/>
        <v>0</v>
      </c>
      <c r="CV242">
        <f t="shared" si="171"/>
        <v>0.37</v>
      </c>
      <c r="CW242">
        <f t="shared" si="172"/>
        <v>0</v>
      </c>
      <c r="CX242">
        <f t="shared" si="173"/>
        <v>0</v>
      </c>
      <c r="CY242">
        <f t="shared" si="174"/>
        <v>873.6</v>
      </c>
      <c r="CZ242">
        <f t="shared" si="175"/>
        <v>124.8</v>
      </c>
      <c r="DC242" t="s">
        <v>3</v>
      </c>
      <c r="DD242" t="s">
        <v>3</v>
      </c>
      <c r="DE242" t="s">
        <v>3</v>
      </c>
      <c r="DF242" t="s">
        <v>3</v>
      </c>
      <c r="DG242" t="s">
        <v>3</v>
      </c>
      <c r="DH242" t="s">
        <v>3</v>
      </c>
      <c r="DI242" t="s">
        <v>3</v>
      </c>
      <c r="DJ242" t="s">
        <v>3</v>
      </c>
      <c r="DK242" t="s">
        <v>3</v>
      </c>
      <c r="DL242" t="s">
        <v>3</v>
      </c>
      <c r="DM242" t="s">
        <v>3</v>
      </c>
      <c r="DN242">
        <v>0</v>
      </c>
      <c r="DO242">
        <v>0</v>
      </c>
      <c r="DP242">
        <v>1</v>
      </c>
      <c r="DQ242">
        <v>1</v>
      </c>
      <c r="DU242">
        <v>16987630</v>
      </c>
      <c r="DV242" t="s">
        <v>20</v>
      </c>
      <c r="DW242" t="s">
        <v>20</v>
      </c>
      <c r="DX242">
        <v>1</v>
      </c>
      <c r="DZ242" t="s">
        <v>3</v>
      </c>
      <c r="EA242" t="s">
        <v>3</v>
      </c>
      <c r="EB242" t="s">
        <v>3</v>
      </c>
      <c r="EC242" t="s">
        <v>3</v>
      </c>
      <c r="EE242">
        <v>1441815344</v>
      </c>
      <c r="EF242">
        <v>1</v>
      </c>
      <c r="EG242" t="s">
        <v>22</v>
      </c>
      <c r="EH242">
        <v>0</v>
      </c>
      <c r="EI242" t="s">
        <v>3</v>
      </c>
      <c r="EJ242">
        <v>4</v>
      </c>
      <c r="EK242">
        <v>0</v>
      </c>
      <c r="EL242" t="s">
        <v>23</v>
      </c>
      <c r="EM242" t="s">
        <v>24</v>
      </c>
      <c r="EO242" t="s">
        <v>3</v>
      </c>
      <c r="EQ242">
        <v>0</v>
      </c>
      <c r="ER242">
        <v>286.18</v>
      </c>
      <c r="ES242">
        <v>0</v>
      </c>
      <c r="ET242">
        <v>78.180000000000007</v>
      </c>
      <c r="EU242">
        <v>49.57</v>
      </c>
      <c r="EV242">
        <v>208</v>
      </c>
      <c r="EW242">
        <v>0.37</v>
      </c>
      <c r="EX242">
        <v>0</v>
      </c>
      <c r="EY242">
        <v>0</v>
      </c>
      <c r="FQ242">
        <v>0</v>
      </c>
      <c r="FR242">
        <f t="shared" si="176"/>
        <v>0</v>
      </c>
      <c r="FS242">
        <v>0</v>
      </c>
      <c r="FX242">
        <v>70</v>
      </c>
      <c r="FY242">
        <v>10</v>
      </c>
      <c r="GA242" t="s">
        <v>3</v>
      </c>
      <c r="GD242">
        <v>0</v>
      </c>
      <c r="GF242">
        <v>1576201736</v>
      </c>
      <c r="GG242">
        <v>2</v>
      </c>
      <c r="GH242">
        <v>1</v>
      </c>
      <c r="GI242">
        <v>-2</v>
      </c>
      <c r="GJ242">
        <v>0</v>
      </c>
      <c r="GK242">
        <f>ROUND(R242*(R12)/100,2)</f>
        <v>321.20999999999998</v>
      </c>
      <c r="GL242">
        <f t="shared" si="177"/>
        <v>0</v>
      </c>
      <c r="GM242">
        <f t="shared" si="178"/>
        <v>3036.69</v>
      </c>
      <c r="GN242">
        <f t="shared" si="179"/>
        <v>0</v>
      </c>
      <c r="GO242">
        <f t="shared" si="180"/>
        <v>0</v>
      </c>
      <c r="GP242">
        <f t="shared" si="181"/>
        <v>3036.69</v>
      </c>
      <c r="GR242">
        <v>0</v>
      </c>
      <c r="GS242">
        <v>3</v>
      </c>
      <c r="GT242">
        <v>0</v>
      </c>
      <c r="GU242" t="s">
        <v>3</v>
      </c>
      <c r="GV242">
        <f t="shared" si="182"/>
        <v>0</v>
      </c>
      <c r="GW242">
        <v>1</v>
      </c>
      <c r="GX242">
        <f t="shared" si="183"/>
        <v>0</v>
      </c>
      <c r="HA242">
        <v>0</v>
      </c>
      <c r="HB242">
        <v>0</v>
      </c>
      <c r="HC242">
        <f t="shared" si="184"/>
        <v>0</v>
      </c>
      <c r="HE242" t="s">
        <v>3</v>
      </c>
      <c r="HF242" t="s">
        <v>3</v>
      </c>
      <c r="HM242" t="s">
        <v>3</v>
      </c>
      <c r="HN242" t="s">
        <v>3</v>
      </c>
      <c r="HO242" t="s">
        <v>3</v>
      </c>
      <c r="HP242" t="s">
        <v>3</v>
      </c>
      <c r="HQ242" t="s">
        <v>3</v>
      </c>
      <c r="IK242">
        <v>0</v>
      </c>
    </row>
    <row r="243" spans="1:245" x14ac:dyDescent="0.2">
      <c r="A243">
        <v>19</v>
      </c>
      <c r="B243">
        <v>1</v>
      </c>
      <c r="F243" t="s">
        <v>3</v>
      </c>
      <c r="G243" t="s">
        <v>177</v>
      </c>
      <c r="H243" t="s">
        <v>3</v>
      </c>
      <c r="AA243">
        <v>1</v>
      </c>
      <c r="IK243">
        <v>0</v>
      </c>
    </row>
    <row r="244" spans="1:245" x14ac:dyDescent="0.2">
      <c r="A244">
        <v>17</v>
      </c>
      <c r="B244">
        <v>1</v>
      </c>
      <c r="D244">
        <f>ROW(EtalonRes!A65)</f>
        <v>65</v>
      </c>
      <c r="E244" t="s">
        <v>178</v>
      </c>
      <c r="F244" t="s">
        <v>179</v>
      </c>
      <c r="G244" t="s">
        <v>180</v>
      </c>
      <c r="H244" t="s">
        <v>20</v>
      </c>
      <c r="I244">
        <v>1</v>
      </c>
      <c r="J244">
        <v>0</v>
      </c>
      <c r="K244">
        <v>1</v>
      </c>
      <c r="O244">
        <f t="shared" ref="O244:O249" si="190">ROUND(CP244,2)</f>
        <v>129.81</v>
      </c>
      <c r="P244">
        <f t="shared" ref="P244:P249" si="191">ROUND(CQ244*I244,2)</f>
        <v>0.14000000000000001</v>
      </c>
      <c r="Q244">
        <f t="shared" ref="Q244:Q249" si="192">ROUND(CR244*I244,2)</f>
        <v>0</v>
      </c>
      <c r="R244">
        <f t="shared" ref="R244:R249" si="193">ROUND(CS244*I244,2)</f>
        <v>0</v>
      </c>
      <c r="S244">
        <f t="shared" ref="S244:S249" si="194">ROUND(CT244*I244,2)</f>
        <v>129.66999999999999</v>
      </c>
      <c r="T244">
        <f t="shared" ref="T244:T249" si="195">ROUND(CU244*I244,2)</f>
        <v>0</v>
      </c>
      <c r="U244">
        <f t="shared" ref="U244:U249" si="196">CV244*I244</f>
        <v>0.21</v>
      </c>
      <c r="V244">
        <f t="shared" ref="V244:V249" si="197">CW244*I244</f>
        <v>0</v>
      </c>
      <c r="W244">
        <f t="shared" ref="W244:W249" si="198">ROUND(CX244*I244,2)</f>
        <v>0</v>
      </c>
      <c r="X244">
        <f t="shared" ref="X244:Y249" si="199">ROUND(CY244,2)</f>
        <v>90.77</v>
      </c>
      <c r="Y244">
        <f t="shared" si="199"/>
        <v>12.97</v>
      </c>
      <c r="AA244">
        <v>1472506909</v>
      </c>
      <c r="AB244">
        <f t="shared" ref="AB244:AB249" si="200">ROUND((AC244+AD244+AF244),6)</f>
        <v>129.81</v>
      </c>
      <c r="AC244">
        <f>ROUND((ES244),6)</f>
        <v>0.14000000000000001</v>
      </c>
      <c r="AD244">
        <f>ROUND((((ET244)-(EU244))+AE244),6)</f>
        <v>0</v>
      </c>
      <c r="AE244">
        <f>ROUND((EU244),6)</f>
        <v>0</v>
      </c>
      <c r="AF244">
        <f>ROUND((EV244),6)</f>
        <v>129.66999999999999</v>
      </c>
      <c r="AG244">
        <f t="shared" ref="AG244:AG249" si="201">ROUND((AP244),6)</f>
        <v>0</v>
      </c>
      <c r="AH244">
        <f>(EW244)</f>
        <v>0.21</v>
      </c>
      <c r="AI244">
        <f>(EX244)</f>
        <v>0</v>
      </c>
      <c r="AJ244">
        <f t="shared" ref="AJ244:AJ249" si="202">(AS244)</f>
        <v>0</v>
      </c>
      <c r="AK244">
        <v>129.81</v>
      </c>
      <c r="AL244">
        <v>0.14000000000000001</v>
      </c>
      <c r="AM244">
        <v>0</v>
      </c>
      <c r="AN244">
        <v>0</v>
      </c>
      <c r="AO244">
        <v>129.66999999999999</v>
      </c>
      <c r="AP244">
        <v>0</v>
      </c>
      <c r="AQ244">
        <v>0.21</v>
      </c>
      <c r="AR244">
        <v>0</v>
      </c>
      <c r="AS244">
        <v>0</v>
      </c>
      <c r="AT244">
        <v>70</v>
      </c>
      <c r="AU244">
        <v>10</v>
      </c>
      <c r="AV244">
        <v>1</v>
      </c>
      <c r="AW244">
        <v>1</v>
      </c>
      <c r="AZ244">
        <v>1</v>
      </c>
      <c r="BA244">
        <v>1</v>
      </c>
      <c r="BB244">
        <v>1</v>
      </c>
      <c r="BC244">
        <v>1</v>
      </c>
      <c r="BD244" t="s">
        <v>3</v>
      </c>
      <c r="BE244" t="s">
        <v>3</v>
      </c>
      <c r="BF244" t="s">
        <v>3</v>
      </c>
      <c r="BG244" t="s">
        <v>3</v>
      </c>
      <c r="BH244">
        <v>0</v>
      </c>
      <c r="BI244">
        <v>4</v>
      </c>
      <c r="BJ244" t="s">
        <v>181</v>
      </c>
      <c r="BM244">
        <v>0</v>
      </c>
      <c r="BN244">
        <v>0</v>
      </c>
      <c r="BO244" t="s">
        <v>3</v>
      </c>
      <c r="BP244">
        <v>0</v>
      </c>
      <c r="BQ244">
        <v>1</v>
      </c>
      <c r="BR244">
        <v>0</v>
      </c>
      <c r="BS244">
        <v>1</v>
      </c>
      <c r="BT244">
        <v>1</v>
      </c>
      <c r="BU244">
        <v>1</v>
      </c>
      <c r="BV244">
        <v>1</v>
      </c>
      <c r="BW244">
        <v>1</v>
      </c>
      <c r="BX244">
        <v>1</v>
      </c>
      <c r="BY244" t="s">
        <v>3</v>
      </c>
      <c r="BZ244">
        <v>70</v>
      </c>
      <c r="CA244">
        <v>10</v>
      </c>
      <c r="CB244" t="s">
        <v>3</v>
      </c>
      <c r="CE244">
        <v>0</v>
      </c>
      <c r="CF244">
        <v>0</v>
      </c>
      <c r="CG244">
        <v>0</v>
      </c>
      <c r="CM244">
        <v>0</v>
      </c>
      <c r="CN244" t="s">
        <v>3</v>
      </c>
      <c r="CO244">
        <v>0</v>
      </c>
      <c r="CP244">
        <f t="shared" ref="CP244:CP249" si="203">(P244+Q244+S244)</f>
        <v>129.80999999999997</v>
      </c>
      <c r="CQ244">
        <f t="shared" ref="CQ244:CQ249" si="204">(AC244*BC244*AW244)</f>
        <v>0.14000000000000001</v>
      </c>
      <c r="CR244">
        <f>((((ET244)*BB244-(EU244)*BS244)+AE244*BS244)*AV244)</f>
        <v>0</v>
      </c>
      <c r="CS244">
        <f t="shared" ref="CS244:CS249" si="205">(AE244*BS244*AV244)</f>
        <v>0</v>
      </c>
      <c r="CT244">
        <f t="shared" ref="CT244:CT249" si="206">(AF244*BA244*AV244)</f>
        <v>129.66999999999999</v>
      </c>
      <c r="CU244">
        <f t="shared" ref="CU244:CU249" si="207">AG244</f>
        <v>0</v>
      </c>
      <c r="CV244">
        <f t="shared" ref="CV244:CV249" si="208">(AH244*AV244)</f>
        <v>0.21</v>
      </c>
      <c r="CW244">
        <f t="shared" ref="CW244:CX249" si="209">AI244</f>
        <v>0</v>
      </c>
      <c r="CX244">
        <f t="shared" si="209"/>
        <v>0</v>
      </c>
      <c r="CY244">
        <f t="shared" ref="CY244:CY249" si="210">((S244*BZ244)/100)</f>
        <v>90.768999999999991</v>
      </c>
      <c r="CZ244">
        <f t="shared" ref="CZ244:CZ249" si="211">((S244*CA244)/100)</f>
        <v>12.966999999999999</v>
      </c>
      <c r="DC244" t="s">
        <v>3</v>
      </c>
      <c r="DD244" t="s">
        <v>3</v>
      </c>
      <c r="DE244" t="s">
        <v>3</v>
      </c>
      <c r="DF244" t="s">
        <v>3</v>
      </c>
      <c r="DG244" t="s">
        <v>3</v>
      </c>
      <c r="DH244" t="s">
        <v>3</v>
      </c>
      <c r="DI244" t="s">
        <v>3</v>
      </c>
      <c r="DJ244" t="s">
        <v>3</v>
      </c>
      <c r="DK244" t="s">
        <v>3</v>
      </c>
      <c r="DL244" t="s">
        <v>3</v>
      </c>
      <c r="DM244" t="s">
        <v>3</v>
      </c>
      <c r="DN244">
        <v>0</v>
      </c>
      <c r="DO244">
        <v>0</v>
      </c>
      <c r="DP244">
        <v>1</v>
      </c>
      <c r="DQ244">
        <v>1</v>
      </c>
      <c r="DU244">
        <v>16987630</v>
      </c>
      <c r="DV244" t="s">
        <v>20</v>
      </c>
      <c r="DW244" t="s">
        <v>20</v>
      </c>
      <c r="DX244">
        <v>1</v>
      </c>
      <c r="DZ244" t="s">
        <v>3</v>
      </c>
      <c r="EA244" t="s">
        <v>3</v>
      </c>
      <c r="EB244" t="s">
        <v>3</v>
      </c>
      <c r="EC244" t="s">
        <v>3</v>
      </c>
      <c r="EE244">
        <v>1441815344</v>
      </c>
      <c r="EF244">
        <v>1</v>
      </c>
      <c r="EG244" t="s">
        <v>22</v>
      </c>
      <c r="EH244">
        <v>0</v>
      </c>
      <c r="EI244" t="s">
        <v>3</v>
      </c>
      <c r="EJ244">
        <v>4</v>
      </c>
      <c r="EK244">
        <v>0</v>
      </c>
      <c r="EL244" t="s">
        <v>23</v>
      </c>
      <c r="EM244" t="s">
        <v>24</v>
      </c>
      <c r="EO244" t="s">
        <v>3</v>
      </c>
      <c r="EQ244">
        <v>0</v>
      </c>
      <c r="ER244">
        <v>129.81</v>
      </c>
      <c r="ES244">
        <v>0.14000000000000001</v>
      </c>
      <c r="ET244">
        <v>0</v>
      </c>
      <c r="EU244">
        <v>0</v>
      </c>
      <c r="EV244">
        <v>129.66999999999999</v>
      </c>
      <c r="EW244">
        <v>0.21</v>
      </c>
      <c r="EX244">
        <v>0</v>
      </c>
      <c r="EY244">
        <v>0</v>
      </c>
      <c r="FQ244">
        <v>0</v>
      </c>
      <c r="FR244">
        <f t="shared" ref="FR244:FR249" si="212">ROUND(IF(BI244=3,GM244,0),2)</f>
        <v>0</v>
      </c>
      <c r="FS244">
        <v>0</v>
      </c>
      <c r="FX244">
        <v>70</v>
      </c>
      <c r="FY244">
        <v>10</v>
      </c>
      <c r="GA244" t="s">
        <v>3</v>
      </c>
      <c r="GD244">
        <v>0</v>
      </c>
      <c r="GF244">
        <v>1700366654</v>
      </c>
      <c r="GG244">
        <v>2</v>
      </c>
      <c r="GH244">
        <v>1</v>
      </c>
      <c r="GI244">
        <v>-2</v>
      </c>
      <c r="GJ244">
        <v>0</v>
      </c>
      <c r="GK244">
        <f>ROUND(R244*(R12)/100,2)</f>
        <v>0</v>
      </c>
      <c r="GL244">
        <f t="shared" ref="GL244:GL249" si="213">ROUND(IF(AND(BH244=3,BI244=3,FS244&lt;&gt;0),P244,0),2)</f>
        <v>0</v>
      </c>
      <c r="GM244">
        <f t="shared" ref="GM244:GM249" si="214">ROUND(O244+X244+Y244+GK244,2)+GX244</f>
        <v>233.55</v>
      </c>
      <c r="GN244">
        <f t="shared" ref="GN244:GN249" si="215">IF(OR(BI244=0,BI244=1),GM244-GX244,0)</f>
        <v>0</v>
      </c>
      <c r="GO244">
        <f t="shared" ref="GO244:GO249" si="216">IF(BI244=2,GM244-GX244,0)</f>
        <v>0</v>
      </c>
      <c r="GP244">
        <f t="shared" ref="GP244:GP249" si="217">IF(BI244=4,GM244-GX244,0)</f>
        <v>233.55</v>
      </c>
      <c r="GR244">
        <v>0</v>
      </c>
      <c r="GS244">
        <v>3</v>
      </c>
      <c r="GT244">
        <v>0</v>
      </c>
      <c r="GU244" t="s">
        <v>3</v>
      </c>
      <c r="GV244">
        <f t="shared" ref="GV244:GV249" si="218">ROUND((GT244),6)</f>
        <v>0</v>
      </c>
      <c r="GW244">
        <v>1</v>
      </c>
      <c r="GX244">
        <f t="shared" ref="GX244:GX249" si="219">ROUND(HC244*I244,2)</f>
        <v>0</v>
      </c>
      <c r="HA244">
        <v>0</v>
      </c>
      <c r="HB244">
        <v>0</v>
      </c>
      <c r="HC244">
        <f t="shared" ref="HC244:HC249" si="220">GV244*GW244</f>
        <v>0</v>
      </c>
      <c r="HE244" t="s">
        <v>3</v>
      </c>
      <c r="HF244" t="s">
        <v>3</v>
      </c>
      <c r="HM244" t="s">
        <v>3</v>
      </c>
      <c r="HN244" t="s">
        <v>3</v>
      </c>
      <c r="HO244" t="s">
        <v>3</v>
      </c>
      <c r="HP244" t="s">
        <v>3</v>
      </c>
      <c r="HQ244" t="s">
        <v>3</v>
      </c>
      <c r="IK244">
        <v>0</v>
      </c>
    </row>
    <row r="245" spans="1:245" x14ac:dyDescent="0.2">
      <c r="A245">
        <v>17</v>
      </c>
      <c r="B245">
        <v>1</v>
      </c>
      <c r="D245">
        <f>ROW(EtalonRes!A67)</f>
        <v>67</v>
      </c>
      <c r="E245" t="s">
        <v>182</v>
      </c>
      <c r="F245" t="s">
        <v>30</v>
      </c>
      <c r="G245" t="s">
        <v>183</v>
      </c>
      <c r="H245" t="s">
        <v>20</v>
      </c>
      <c r="I245">
        <v>1</v>
      </c>
      <c r="J245">
        <v>0</v>
      </c>
      <c r="K245">
        <v>1</v>
      </c>
      <c r="O245">
        <f t="shared" si="190"/>
        <v>572.36</v>
      </c>
      <c r="P245">
        <f t="shared" si="191"/>
        <v>0</v>
      </c>
      <c r="Q245">
        <f t="shared" si="192"/>
        <v>156.36000000000001</v>
      </c>
      <c r="R245">
        <f t="shared" si="193"/>
        <v>99.14</v>
      </c>
      <c r="S245">
        <f t="shared" si="194"/>
        <v>416</v>
      </c>
      <c r="T245">
        <f t="shared" si="195"/>
        <v>0</v>
      </c>
      <c r="U245">
        <f t="shared" si="196"/>
        <v>0.74</v>
      </c>
      <c r="V245">
        <f t="shared" si="197"/>
        <v>0</v>
      </c>
      <c r="W245">
        <f t="shared" si="198"/>
        <v>0</v>
      </c>
      <c r="X245">
        <f t="shared" si="199"/>
        <v>291.2</v>
      </c>
      <c r="Y245">
        <f t="shared" si="199"/>
        <v>41.6</v>
      </c>
      <c r="AA245">
        <v>1472506909</v>
      </c>
      <c r="AB245">
        <f t="shared" si="200"/>
        <v>572.36</v>
      </c>
      <c r="AC245">
        <f>ROUND(((ES245*2)),6)</f>
        <v>0</v>
      </c>
      <c r="AD245">
        <f>ROUND(((((ET245*2))-((EU245*2)))+AE245),6)</f>
        <v>156.36000000000001</v>
      </c>
      <c r="AE245">
        <f>ROUND(((EU245*2)),6)</f>
        <v>99.14</v>
      </c>
      <c r="AF245">
        <f>ROUND(((EV245*2)),6)</f>
        <v>416</v>
      </c>
      <c r="AG245">
        <f t="shared" si="201"/>
        <v>0</v>
      </c>
      <c r="AH245">
        <f>((EW245*2))</f>
        <v>0.74</v>
      </c>
      <c r="AI245">
        <f>((EX245*2))</f>
        <v>0</v>
      </c>
      <c r="AJ245">
        <f t="shared" si="202"/>
        <v>0</v>
      </c>
      <c r="AK245">
        <v>286.18</v>
      </c>
      <c r="AL245">
        <v>0</v>
      </c>
      <c r="AM245">
        <v>78.180000000000007</v>
      </c>
      <c r="AN245">
        <v>49.57</v>
      </c>
      <c r="AO245">
        <v>208</v>
      </c>
      <c r="AP245">
        <v>0</v>
      </c>
      <c r="AQ245">
        <v>0.37</v>
      </c>
      <c r="AR245">
        <v>0</v>
      </c>
      <c r="AS245">
        <v>0</v>
      </c>
      <c r="AT245">
        <v>70</v>
      </c>
      <c r="AU245">
        <v>10</v>
      </c>
      <c r="AV245">
        <v>1</v>
      </c>
      <c r="AW245">
        <v>1</v>
      </c>
      <c r="AZ245">
        <v>1</v>
      </c>
      <c r="BA245">
        <v>1</v>
      </c>
      <c r="BB245">
        <v>1</v>
      </c>
      <c r="BC245">
        <v>1</v>
      </c>
      <c r="BD245" t="s">
        <v>3</v>
      </c>
      <c r="BE245" t="s">
        <v>3</v>
      </c>
      <c r="BF245" t="s">
        <v>3</v>
      </c>
      <c r="BG245" t="s">
        <v>3</v>
      </c>
      <c r="BH245">
        <v>0</v>
      </c>
      <c r="BI245">
        <v>4</v>
      </c>
      <c r="BJ245" t="s">
        <v>32</v>
      </c>
      <c r="BM245">
        <v>0</v>
      </c>
      <c r="BN245">
        <v>0</v>
      </c>
      <c r="BO245" t="s">
        <v>3</v>
      </c>
      <c r="BP245">
        <v>0</v>
      </c>
      <c r="BQ245">
        <v>1</v>
      </c>
      <c r="BR245">
        <v>0</v>
      </c>
      <c r="BS245">
        <v>1</v>
      </c>
      <c r="BT245">
        <v>1</v>
      </c>
      <c r="BU245">
        <v>1</v>
      </c>
      <c r="BV245">
        <v>1</v>
      </c>
      <c r="BW245">
        <v>1</v>
      </c>
      <c r="BX245">
        <v>1</v>
      </c>
      <c r="BY245" t="s">
        <v>3</v>
      </c>
      <c r="BZ245">
        <v>70</v>
      </c>
      <c r="CA245">
        <v>10</v>
      </c>
      <c r="CB245" t="s">
        <v>3</v>
      </c>
      <c r="CE245">
        <v>0</v>
      </c>
      <c r="CF245">
        <v>0</v>
      </c>
      <c r="CG245">
        <v>0</v>
      </c>
      <c r="CM245">
        <v>0</v>
      </c>
      <c r="CN245" t="s">
        <v>3</v>
      </c>
      <c r="CO245">
        <v>0</v>
      </c>
      <c r="CP245">
        <f t="shared" si="203"/>
        <v>572.36</v>
      </c>
      <c r="CQ245">
        <f t="shared" si="204"/>
        <v>0</v>
      </c>
      <c r="CR245">
        <f>(((((ET245*2))*BB245-((EU245*2))*BS245)+AE245*BS245)*AV245)</f>
        <v>156.36000000000001</v>
      </c>
      <c r="CS245">
        <f t="shared" si="205"/>
        <v>99.14</v>
      </c>
      <c r="CT245">
        <f t="shared" si="206"/>
        <v>416</v>
      </c>
      <c r="CU245">
        <f t="shared" si="207"/>
        <v>0</v>
      </c>
      <c r="CV245">
        <f t="shared" si="208"/>
        <v>0.74</v>
      </c>
      <c r="CW245">
        <f t="shared" si="209"/>
        <v>0</v>
      </c>
      <c r="CX245">
        <f t="shared" si="209"/>
        <v>0</v>
      </c>
      <c r="CY245">
        <f t="shared" si="210"/>
        <v>291.2</v>
      </c>
      <c r="CZ245">
        <f t="shared" si="211"/>
        <v>41.6</v>
      </c>
      <c r="DC245" t="s">
        <v>3</v>
      </c>
      <c r="DD245" t="s">
        <v>28</v>
      </c>
      <c r="DE245" t="s">
        <v>28</v>
      </c>
      <c r="DF245" t="s">
        <v>28</v>
      </c>
      <c r="DG245" t="s">
        <v>28</v>
      </c>
      <c r="DH245" t="s">
        <v>3</v>
      </c>
      <c r="DI245" t="s">
        <v>28</v>
      </c>
      <c r="DJ245" t="s">
        <v>28</v>
      </c>
      <c r="DK245" t="s">
        <v>3</v>
      </c>
      <c r="DL245" t="s">
        <v>3</v>
      </c>
      <c r="DM245" t="s">
        <v>3</v>
      </c>
      <c r="DN245">
        <v>0</v>
      </c>
      <c r="DO245">
        <v>0</v>
      </c>
      <c r="DP245">
        <v>1</v>
      </c>
      <c r="DQ245">
        <v>1</v>
      </c>
      <c r="DU245">
        <v>16987630</v>
      </c>
      <c r="DV245" t="s">
        <v>20</v>
      </c>
      <c r="DW245" t="s">
        <v>20</v>
      </c>
      <c r="DX245">
        <v>1</v>
      </c>
      <c r="DZ245" t="s">
        <v>3</v>
      </c>
      <c r="EA245" t="s">
        <v>3</v>
      </c>
      <c r="EB245" t="s">
        <v>3</v>
      </c>
      <c r="EC245" t="s">
        <v>3</v>
      </c>
      <c r="EE245">
        <v>1441815344</v>
      </c>
      <c r="EF245">
        <v>1</v>
      </c>
      <c r="EG245" t="s">
        <v>22</v>
      </c>
      <c r="EH245">
        <v>0</v>
      </c>
      <c r="EI245" t="s">
        <v>3</v>
      </c>
      <c r="EJ245">
        <v>4</v>
      </c>
      <c r="EK245">
        <v>0</v>
      </c>
      <c r="EL245" t="s">
        <v>23</v>
      </c>
      <c r="EM245" t="s">
        <v>24</v>
      </c>
      <c r="EO245" t="s">
        <v>3</v>
      </c>
      <c r="EQ245">
        <v>0</v>
      </c>
      <c r="ER245">
        <v>286.18</v>
      </c>
      <c r="ES245">
        <v>0</v>
      </c>
      <c r="ET245">
        <v>78.180000000000007</v>
      </c>
      <c r="EU245">
        <v>49.57</v>
      </c>
      <c r="EV245">
        <v>208</v>
      </c>
      <c r="EW245">
        <v>0.37</v>
      </c>
      <c r="EX245">
        <v>0</v>
      </c>
      <c r="EY245">
        <v>0</v>
      </c>
      <c r="FQ245">
        <v>0</v>
      </c>
      <c r="FR245">
        <f t="shared" si="212"/>
        <v>0</v>
      </c>
      <c r="FS245">
        <v>0</v>
      </c>
      <c r="FX245">
        <v>70</v>
      </c>
      <c r="FY245">
        <v>10</v>
      </c>
      <c r="GA245" t="s">
        <v>3</v>
      </c>
      <c r="GD245">
        <v>0</v>
      </c>
      <c r="GF245">
        <v>1944342761</v>
      </c>
      <c r="GG245">
        <v>2</v>
      </c>
      <c r="GH245">
        <v>1</v>
      </c>
      <c r="GI245">
        <v>-2</v>
      </c>
      <c r="GJ245">
        <v>0</v>
      </c>
      <c r="GK245">
        <f>ROUND(R245*(R12)/100,2)</f>
        <v>107.07</v>
      </c>
      <c r="GL245">
        <f t="shared" si="213"/>
        <v>0</v>
      </c>
      <c r="GM245">
        <f t="shared" si="214"/>
        <v>1012.23</v>
      </c>
      <c r="GN245">
        <f t="shared" si="215"/>
        <v>0</v>
      </c>
      <c r="GO245">
        <f t="shared" si="216"/>
        <v>0</v>
      </c>
      <c r="GP245">
        <f t="shared" si="217"/>
        <v>1012.23</v>
      </c>
      <c r="GR245">
        <v>0</v>
      </c>
      <c r="GS245">
        <v>3</v>
      </c>
      <c r="GT245">
        <v>0</v>
      </c>
      <c r="GU245" t="s">
        <v>3</v>
      </c>
      <c r="GV245">
        <f t="shared" si="218"/>
        <v>0</v>
      </c>
      <c r="GW245">
        <v>1</v>
      </c>
      <c r="GX245">
        <f t="shared" si="219"/>
        <v>0</v>
      </c>
      <c r="HA245">
        <v>0</v>
      </c>
      <c r="HB245">
        <v>0</v>
      </c>
      <c r="HC245">
        <f t="shared" si="220"/>
        <v>0</v>
      </c>
      <c r="HE245" t="s">
        <v>3</v>
      </c>
      <c r="HF245" t="s">
        <v>3</v>
      </c>
      <c r="HM245" t="s">
        <v>3</v>
      </c>
      <c r="HN245" t="s">
        <v>3</v>
      </c>
      <c r="HO245" t="s">
        <v>3</v>
      </c>
      <c r="HP245" t="s">
        <v>3</v>
      </c>
      <c r="HQ245" t="s">
        <v>3</v>
      </c>
      <c r="IK245">
        <v>0</v>
      </c>
    </row>
    <row r="246" spans="1:245" x14ac:dyDescent="0.2">
      <c r="A246">
        <v>17</v>
      </c>
      <c r="B246">
        <v>1</v>
      </c>
      <c r="D246">
        <f>ROW(EtalonRes!A74)</f>
        <v>74</v>
      </c>
      <c r="E246" t="s">
        <v>3</v>
      </c>
      <c r="F246" t="s">
        <v>184</v>
      </c>
      <c r="G246" t="s">
        <v>185</v>
      </c>
      <c r="H246" t="s">
        <v>20</v>
      </c>
      <c r="I246">
        <v>1</v>
      </c>
      <c r="J246">
        <v>0</v>
      </c>
      <c r="K246">
        <v>1</v>
      </c>
      <c r="O246">
        <f t="shared" si="190"/>
        <v>4089.87</v>
      </c>
      <c r="P246">
        <f t="shared" si="191"/>
        <v>273.57</v>
      </c>
      <c r="Q246">
        <f t="shared" si="192"/>
        <v>2084.8200000000002</v>
      </c>
      <c r="R246">
        <f t="shared" si="193"/>
        <v>1321.92</v>
      </c>
      <c r="S246">
        <f t="shared" si="194"/>
        <v>1731.48</v>
      </c>
      <c r="T246">
        <f t="shared" si="195"/>
        <v>0</v>
      </c>
      <c r="U246">
        <f t="shared" si="196"/>
        <v>3.08</v>
      </c>
      <c r="V246">
        <f t="shared" si="197"/>
        <v>0</v>
      </c>
      <c r="W246">
        <f t="shared" si="198"/>
        <v>0</v>
      </c>
      <c r="X246">
        <f t="shared" si="199"/>
        <v>1212.04</v>
      </c>
      <c r="Y246">
        <f t="shared" si="199"/>
        <v>173.15</v>
      </c>
      <c r="AA246">
        <v>-1</v>
      </c>
      <c r="AB246">
        <f t="shared" si="200"/>
        <v>4089.87</v>
      </c>
      <c r="AC246">
        <f>ROUND((ES246),6)</f>
        <v>273.57</v>
      </c>
      <c r="AD246">
        <f>ROUND((((ET246)-(EU246))+AE246),6)</f>
        <v>2084.8200000000002</v>
      </c>
      <c r="AE246">
        <f t="shared" ref="AE246:AF249" si="221">ROUND((EU246),6)</f>
        <v>1321.92</v>
      </c>
      <c r="AF246">
        <f t="shared" si="221"/>
        <v>1731.48</v>
      </c>
      <c r="AG246">
        <f t="shared" si="201"/>
        <v>0</v>
      </c>
      <c r="AH246">
        <f t="shared" ref="AH246:AI249" si="222">(EW246)</f>
        <v>3.08</v>
      </c>
      <c r="AI246">
        <f t="shared" si="222"/>
        <v>0</v>
      </c>
      <c r="AJ246">
        <f t="shared" si="202"/>
        <v>0</v>
      </c>
      <c r="AK246">
        <v>4089.87</v>
      </c>
      <c r="AL246">
        <v>273.57</v>
      </c>
      <c r="AM246">
        <v>2084.8200000000002</v>
      </c>
      <c r="AN246">
        <v>1321.92</v>
      </c>
      <c r="AO246">
        <v>1731.48</v>
      </c>
      <c r="AP246">
        <v>0</v>
      </c>
      <c r="AQ246">
        <v>3.08</v>
      </c>
      <c r="AR246">
        <v>0</v>
      </c>
      <c r="AS246">
        <v>0</v>
      </c>
      <c r="AT246">
        <v>70</v>
      </c>
      <c r="AU246">
        <v>10</v>
      </c>
      <c r="AV246">
        <v>1</v>
      </c>
      <c r="AW246">
        <v>1</v>
      </c>
      <c r="AZ246">
        <v>1</v>
      </c>
      <c r="BA246">
        <v>1</v>
      </c>
      <c r="BB246">
        <v>1</v>
      </c>
      <c r="BC246">
        <v>1</v>
      </c>
      <c r="BD246" t="s">
        <v>3</v>
      </c>
      <c r="BE246" t="s">
        <v>3</v>
      </c>
      <c r="BF246" t="s">
        <v>3</v>
      </c>
      <c r="BG246" t="s">
        <v>3</v>
      </c>
      <c r="BH246">
        <v>0</v>
      </c>
      <c r="BI246">
        <v>4</v>
      </c>
      <c r="BJ246" t="s">
        <v>186</v>
      </c>
      <c r="BM246">
        <v>0</v>
      </c>
      <c r="BN246">
        <v>0</v>
      </c>
      <c r="BO246" t="s">
        <v>3</v>
      </c>
      <c r="BP246">
        <v>0</v>
      </c>
      <c r="BQ246">
        <v>1</v>
      </c>
      <c r="BR246">
        <v>0</v>
      </c>
      <c r="BS246">
        <v>1</v>
      </c>
      <c r="BT246">
        <v>1</v>
      </c>
      <c r="BU246">
        <v>1</v>
      </c>
      <c r="BV246">
        <v>1</v>
      </c>
      <c r="BW246">
        <v>1</v>
      </c>
      <c r="BX246">
        <v>1</v>
      </c>
      <c r="BY246" t="s">
        <v>3</v>
      </c>
      <c r="BZ246">
        <v>70</v>
      </c>
      <c r="CA246">
        <v>10</v>
      </c>
      <c r="CB246" t="s">
        <v>3</v>
      </c>
      <c r="CE246">
        <v>0</v>
      </c>
      <c r="CF246">
        <v>0</v>
      </c>
      <c r="CG246">
        <v>0</v>
      </c>
      <c r="CM246">
        <v>0</v>
      </c>
      <c r="CN246" t="s">
        <v>3</v>
      </c>
      <c r="CO246">
        <v>0</v>
      </c>
      <c r="CP246">
        <f t="shared" si="203"/>
        <v>4089.8700000000003</v>
      </c>
      <c r="CQ246">
        <f t="shared" si="204"/>
        <v>273.57</v>
      </c>
      <c r="CR246">
        <f>((((ET246)*BB246-(EU246)*BS246)+AE246*BS246)*AV246)</f>
        <v>2084.8200000000002</v>
      </c>
      <c r="CS246">
        <f t="shared" si="205"/>
        <v>1321.92</v>
      </c>
      <c r="CT246">
        <f t="shared" si="206"/>
        <v>1731.48</v>
      </c>
      <c r="CU246">
        <f t="shared" si="207"/>
        <v>0</v>
      </c>
      <c r="CV246">
        <f t="shared" si="208"/>
        <v>3.08</v>
      </c>
      <c r="CW246">
        <f t="shared" si="209"/>
        <v>0</v>
      </c>
      <c r="CX246">
        <f t="shared" si="209"/>
        <v>0</v>
      </c>
      <c r="CY246">
        <f t="shared" si="210"/>
        <v>1212.0360000000001</v>
      </c>
      <c r="CZ246">
        <f t="shared" si="211"/>
        <v>173.148</v>
      </c>
      <c r="DC246" t="s">
        <v>3</v>
      </c>
      <c r="DD246" t="s">
        <v>3</v>
      </c>
      <c r="DE246" t="s">
        <v>3</v>
      </c>
      <c r="DF246" t="s">
        <v>3</v>
      </c>
      <c r="DG246" t="s">
        <v>3</v>
      </c>
      <c r="DH246" t="s">
        <v>3</v>
      </c>
      <c r="DI246" t="s">
        <v>3</v>
      </c>
      <c r="DJ246" t="s">
        <v>3</v>
      </c>
      <c r="DK246" t="s">
        <v>3</v>
      </c>
      <c r="DL246" t="s">
        <v>3</v>
      </c>
      <c r="DM246" t="s">
        <v>3</v>
      </c>
      <c r="DN246">
        <v>0</v>
      </c>
      <c r="DO246">
        <v>0</v>
      </c>
      <c r="DP246">
        <v>1</v>
      </c>
      <c r="DQ246">
        <v>1</v>
      </c>
      <c r="DU246">
        <v>16987630</v>
      </c>
      <c r="DV246" t="s">
        <v>20</v>
      </c>
      <c r="DW246" t="s">
        <v>20</v>
      </c>
      <c r="DX246">
        <v>1</v>
      </c>
      <c r="DZ246" t="s">
        <v>3</v>
      </c>
      <c r="EA246" t="s">
        <v>3</v>
      </c>
      <c r="EB246" t="s">
        <v>3</v>
      </c>
      <c r="EC246" t="s">
        <v>3</v>
      </c>
      <c r="EE246">
        <v>1441815344</v>
      </c>
      <c r="EF246">
        <v>1</v>
      </c>
      <c r="EG246" t="s">
        <v>22</v>
      </c>
      <c r="EH246">
        <v>0</v>
      </c>
      <c r="EI246" t="s">
        <v>3</v>
      </c>
      <c r="EJ246">
        <v>4</v>
      </c>
      <c r="EK246">
        <v>0</v>
      </c>
      <c r="EL246" t="s">
        <v>23</v>
      </c>
      <c r="EM246" t="s">
        <v>24</v>
      </c>
      <c r="EO246" t="s">
        <v>3</v>
      </c>
      <c r="EQ246">
        <v>1311744</v>
      </c>
      <c r="ER246">
        <v>4089.87</v>
      </c>
      <c r="ES246">
        <v>273.57</v>
      </c>
      <c r="ET246">
        <v>2084.8200000000002</v>
      </c>
      <c r="EU246">
        <v>1321.92</v>
      </c>
      <c r="EV246">
        <v>1731.48</v>
      </c>
      <c r="EW246">
        <v>3.08</v>
      </c>
      <c r="EX246">
        <v>0</v>
      </c>
      <c r="EY246">
        <v>0</v>
      </c>
      <c r="FQ246">
        <v>0</v>
      </c>
      <c r="FR246">
        <f t="shared" si="212"/>
        <v>0</v>
      </c>
      <c r="FS246">
        <v>0</v>
      </c>
      <c r="FX246">
        <v>70</v>
      </c>
      <c r="FY246">
        <v>10</v>
      </c>
      <c r="GA246" t="s">
        <v>3</v>
      </c>
      <c r="GD246">
        <v>0</v>
      </c>
      <c r="GF246">
        <v>1194092790</v>
      </c>
      <c r="GG246">
        <v>2</v>
      </c>
      <c r="GH246">
        <v>1</v>
      </c>
      <c r="GI246">
        <v>-2</v>
      </c>
      <c r="GJ246">
        <v>0</v>
      </c>
      <c r="GK246">
        <f>ROUND(R246*(R12)/100,2)</f>
        <v>1427.67</v>
      </c>
      <c r="GL246">
        <f t="shared" si="213"/>
        <v>0</v>
      </c>
      <c r="GM246">
        <f t="shared" si="214"/>
        <v>6902.73</v>
      </c>
      <c r="GN246">
        <f t="shared" si="215"/>
        <v>0</v>
      </c>
      <c r="GO246">
        <f t="shared" si="216"/>
        <v>0</v>
      </c>
      <c r="GP246">
        <f t="shared" si="217"/>
        <v>6902.73</v>
      </c>
      <c r="GR246">
        <v>0</v>
      </c>
      <c r="GS246">
        <v>3</v>
      </c>
      <c r="GT246">
        <v>0</v>
      </c>
      <c r="GU246" t="s">
        <v>3</v>
      </c>
      <c r="GV246">
        <f t="shared" si="218"/>
        <v>0</v>
      </c>
      <c r="GW246">
        <v>1</v>
      </c>
      <c r="GX246">
        <f t="shared" si="219"/>
        <v>0</v>
      </c>
      <c r="HA246">
        <v>0</v>
      </c>
      <c r="HB246">
        <v>0</v>
      </c>
      <c r="HC246">
        <f t="shared" si="220"/>
        <v>0</v>
      </c>
      <c r="HE246" t="s">
        <v>3</v>
      </c>
      <c r="HF246" t="s">
        <v>3</v>
      </c>
      <c r="HM246" t="s">
        <v>3</v>
      </c>
      <c r="HN246" t="s">
        <v>3</v>
      </c>
      <c r="HO246" t="s">
        <v>3</v>
      </c>
      <c r="HP246" t="s">
        <v>3</v>
      </c>
      <c r="HQ246" t="s">
        <v>3</v>
      </c>
      <c r="IK246">
        <v>0</v>
      </c>
    </row>
    <row r="247" spans="1:245" x14ac:dyDescent="0.2">
      <c r="A247">
        <v>18</v>
      </c>
      <c r="B247">
        <v>1</v>
      </c>
      <c r="E247" t="s">
        <v>3</v>
      </c>
      <c r="F247" t="s">
        <v>187</v>
      </c>
      <c r="G247" t="s">
        <v>188</v>
      </c>
      <c r="H247" t="s">
        <v>189</v>
      </c>
      <c r="I247">
        <f>I246*J247</f>
        <v>1</v>
      </c>
      <c r="J247">
        <v>1</v>
      </c>
      <c r="K247">
        <v>1</v>
      </c>
      <c r="O247">
        <f t="shared" si="190"/>
        <v>67574</v>
      </c>
      <c r="P247">
        <f t="shared" si="191"/>
        <v>67574</v>
      </c>
      <c r="Q247">
        <f t="shared" si="192"/>
        <v>0</v>
      </c>
      <c r="R247">
        <f t="shared" si="193"/>
        <v>0</v>
      </c>
      <c r="S247">
        <f t="shared" si="194"/>
        <v>0</v>
      </c>
      <c r="T247">
        <f t="shared" si="195"/>
        <v>0</v>
      </c>
      <c r="U247">
        <f t="shared" si="196"/>
        <v>0</v>
      </c>
      <c r="V247">
        <f t="shared" si="197"/>
        <v>0</v>
      </c>
      <c r="W247">
        <f t="shared" si="198"/>
        <v>0</v>
      </c>
      <c r="X247">
        <f t="shared" si="199"/>
        <v>0</v>
      </c>
      <c r="Y247">
        <f t="shared" si="199"/>
        <v>0</v>
      </c>
      <c r="AA247">
        <v>-1</v>
      </c>
      <c r="AB247">
        <f t="shared" si="200"/>
        <v>67574</v>
      </c>
      <c r="AC247">
        <f>ROUND((ES247),6)</f>
        <v>67574</v>
      </c>
      <c r="AD247">
        <f>ROUND((((ET247)-(EU247))+AE247),6)</f>
        <v>0</v>
      </c>
      <c r="AE247">
        <f t="shared" si="221"/>
        <v>0</v>
      </c>
      <c r="AF247">
        <f t="shared" si="221"/>
        <v>0</v>
      </c>
      <c r="AG247">
        <f t="shared" si="201"/>
        <v>0</v>
      </c>
      <c r="AH247">
        <f t="shared" si="222"/>
        <v>0</v>
      </c>
      <c r="AI247">
        <f t="shared" si="222"/>
        <v>0</v>
      </c>
      <c r="AJ247">
        <f t="shared" si="202"/>
        <v>0</v>
      </c>
      <c r="AK247">
        <v>67574</v>
      </c>
      <c r="AL247">
        <v>67574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70</v>
      </c>
      <c r="AU247">
        <v>10</v>
      </c>
      <c r="AV247">
        <v>1</v>
      </c>
      <c r="AW247">
        <v>1</v>
      </c>
      <c r="AZ247">
        <v>1</v>
      </c>
      <c r="BA247">
        <v>1</v>
      </c>
      <c r="BB247">
        <v>1</v>
      </c>
      <c r="BC247">
        <v>1</v>
      </c>
      <c r="BD247" t="s">
        <v>3</v>
      </c>
      <c r="BE247" t="s">
        <v>3</v>
      </c>
      <c r="BF247" t="s">
        <v>3</v>
      </c>
      <c r="BG247" t="s">
        <v>3</v>
      </c>
      <c r="BH247">
        <v>3</v>
      </c>
      <c r="BI247">
        <v>4</v>
      </c>
      <c r="BJ247" t="s">
        <v>3</v>
      </c>
      <c r="BM247">
        <v>0</v>
      </c>
      <c r="BN247">
        <v>0</v>
      </c>
      <c r="BO247" t="s">
        <v>3</v>
      </c>
      <c r="BP247">
        <v>0</v>
      </c>
      <c r="BQ247">
        <v>1</v>
      </c>
      <c r="BR247">
        <v>0</v>
      </c>
      <c r="BS247">
        <v>1</v>
      </c>
      <c r="BT247">
        <v>1</v>
      </c>
      <c r="BU247">
        <v>1</v>
      </c>
      <c r="BV247">
        <v>1</v>
      </c>
      <c r="BW247">
        <v>1</v>
      </c>
      <c r="BX247">
        <v>1</v>
      </c>
      <c r="BY247" t="s">
        <v>3</v>
      </c>
      <c r="BZ247">
        <v>70</v>
      </c>
      <c r="CA247">
        <v>10</v>
      </c>
      <c r="CB247" t="s">
        <v>3</v>
      </c>
      <c r="CE247">
        <v>0</v>
      </c>
      <c r="CF247">
        <v>0</v>
      </c>
      <c r="CG247">
        <v>0</v>
      </c>
      <c r="CM247">
        <v>0</v>
      </c>
      <c r="CN247" t="s">
        <v>3</v>
      </c>
      <c r="CO247">
        <v>0</v>
      </c>
      <c r="CP247">
        <f t="shared" si="203"/>
        <v>67574</v>
      </c>
      <c r="CQ247">
        <f t="shared" si="204"/>
        <v>67574</v>
      </c>
      <c r="CR247">
        <f>((((ET247)*BB247-(EU247)*BS247)+AE247*BS247)*AV247)</f>
        <v>0</v>
      </c>
      <c r="CS247">
        <f t="shared" si="205"/>
        <v>0</v>
      </c>
      <c r="CT247">
        <f t="shared" si="206"/>
        <v>0</v>
      </c>
      <c r="CU247">
        <f t="shared" si="207"/>
        <v>0</v>
      </c>
      <c r="CV247">
        <f t="shared" si="208"/>
        <v>0</v>
      </c>
      <c r="CW247">
        <f t="shared" si="209"/>
        <v>0</v>
      </c>
      <c r="CX247">
        <f t="shared" si="209"/>
        <v>0</v>
      </c>
      <c r="CY247">
        <f t="shared" si="210"/>
        <v>0</v>
      </c>
      <c r="CZ247">
        <f t="shared" si="211"/>
        <v>0</v>
      </c>
      <c r="DC247" t="s">
        <v>3</v>
      </c>
      <c r="DD247" t="s">
        <v>3</v>
      </c>
      <c r="DE247" t="s">
        <v>3</v>
      </c>
      <c r="DF247" t="s">
        <v>3</v>
      </c>
      <c r="DG247" t="s">
        <v>3</v>
      </c>
      <c r="DH247" t="s">
        <v>3</v>
      </c>
      <c r="DI247" t="s">
        <v>3</v>
      </c>
      <c r="DJ247" t="s">
        <v>3</v>
      </c>
      <c r="DK247" t="s">
        <v>3</v>
      </c>
      <c r="DL247" t="s">
        <v>3</v>
      </c>
      <c r="DM247" t="s">
        <v>3</v>
      </c>
      <c r="DN247">
        <v>0</v>
      </c>
      <c r="DO247">
        <v>0</v>
      </c>
      <c r="DP247">
        <v>1</v>
      </c>
      <c r="DQ247">
        <v>1</v>
      </c>
      <c r="DU247">
        <v>1013</v>
      </c>
      <c r="DV247" t="s">
        <v>189</v>
      </c>
      <c r="DW247" t="s">
        <v>189</v>
      </c>
      <c r="DX247">
        <v>7.0999999999999994E-2</v>
      </c>
      <c r="DZ247" t="s">
        <v>3</v>
      </c>
      <c r="EA247" t="s">
        <v>3</v>
      </c>
      <c r="EB247" t="s">
        <v>3</v>
      </c>
      <c r="EC247" t="s">
        <v>3</v>
      </c>
      <c r="EE247">
        <v>1441815344</v>
      </c>
      <c r="EF247">
        <v>1</v>
      </c>
      <c r="EG247" t="s">
        <v>22</v>
      </c>
      <c r="EH247">
        <v>0</v>
      </c>
      <c r="EI247" t="s">
        <v>3</v>
      </c>
      <c r="EJ247">
        <v>4</v>
      </c>
      <c r="EK247">
        <v>0</v>
      </c>
      <c r="EL247" t="s">
        <v>23</v>
      </c>
      <c r="EM247" t="s">
        <v>24</v>
      </c>
      <c r="EO247" t="s">
        <v>3</v>
      </c>
      <c r="EQ247">
        <v>1311744</v>
      </c>
      <c r="ER247">
        <v>67574</v>
      </c>
      <c r="ES247">
        <v>67574</v>
      </c>
      <c r="ET247">
        <v>0</v>
      </c>
      <c r="EU247">
        <v>0</v>
      </c>
      <c r="EV247">
        <v>0</v>
      </c>
      <c r="EW247">
        <v>0</v>
      </c>
      <c r="EX247">
        <v>0</v>
      </c>
      <c r="FQ247">
        <v>67574</v>
      </c>
      <c r="FR247">
        <f t="shared" si="212"/>
        <v>0</v>
      </c>
      <c r="FS247">
        <v>1</v>
      </c>
      <c r="FX247">
        <v>70</v>
      </c>
      <c r="FY247">
        <v>10</v>
      </c>
      <c r="GA247" t="s">
        <v>3</v>
      </c>
      <c r="GD247">
        <v>0</v>
      </c>
      <c r="GF247">
        <v>718216295</v>
      </c>
      <c r="GG247">
        <v>2</v>
      </c>
      <c r="GH247">
        <v>0</v>
      </c>
      <c r="GI247">
        <v>-2</v>
      </c>
      <c r="GJ247">
        <v>0</v>
      </c>
      <c r="GK247">
        <f>ROUND(R247*(R12)/100,2)</f>
        <v>0</v>
      </c>
      <c r="GL247">
        <f t="shared" si="213"/>
        <v>0</v>
      </c>
      <c r="GM247">
        <f t="shared" si="214"/>
        <v>67574</v>
      </c>
      <c r="GN247">
        <f t="shared" si="215"/>
        <v>0</v>
      </c>
      <c r="GO247">
        <f t="shared" si="216"/>
        <v>0</v>
      </c>
      <c r="GP247">
        <f t="shared" si="217"/>
        <v>67574</v>
      </c>
      <c r="GR247">
        <v>0</v>
      </c>
      <c r="GS247">
        <v>0</v>
      </c>
      <c r="GT247">
        <v>0</v>
      </c>
      <c r="GU247" t="s">
        <v>3</v>
      </c>
      <c r="GV247">
        <f t="shared" si="218"/>
        <v>0</v>
      </c>
      <c r="GW247">
        <v>1</v>
      </c>
      <c r="GX247">
        <f t="shared" si="219"/>
        <v>0</v>
      </c>
      <c r="HA247">
        <v>0</v>
      </c>
      <c r="HB247">
        <v>0</v>
      </c>
      <c r="HC247">
        <f t="shared" si="220"/>
        <v>0</v>
      </c>
      <c r="HE247" t="s">
        <v>3</v>
      </c>
      <c r="HF247" t="s">
        <v>3</v>
      </c>
      <c r="HM247" t="s">
        <v>3</v>
      </c>
      <c r="HN247" t="s">
        <v>3</v>
      </c>
      <c r="HO247" t="s">
        <v>3</v>
      </c>
      <c r="HP247" t="s">
        <v>3</v>
      </c>
      <c r="HQ247" t="s">
        <v>3</v>
      </c>
      <c r="IK247">
        <v>0</v>
      </c>
    </row>
    <row r="248" spans="1:245" x14ac:dyDescent="0.2">
      <c r="A248">
        <v>17</v>
      </c>
      <c r="B248">
        <v>1</v>
      </c>
      <c r="D248">
        <f>ROW(EtalonRes!A79)</f>
        <v>79</v>
      </c>
      <c r="E248" t="s">
        <v>3</v>
      </c>
      <c r="F248" t="s">
        <v>190</v>
      </c>
      <c r="G248" t="s">
        <v>191</v>
      </c>
      <c r="H248" t="s">
        <v>20</v>
      </c>
      <c r="I248">
        <v>1</v>
      </c>
      <c r="J248">
        <v>0</v>
      </c>
      <c r="K248">
        <v>1</v>
      </c>
      <c r="O248">
        <f t="shared" si="190"/>
        <v>841.65</v>
      </c>
      <c r="P248">
        <f t="shared" si="191"/>
        <v>257</v>
      </c>
      <c r="Q248">
        <f t="shared" si="192"/>
        <v>0</v>
      </c>
      <c r="R248">
        <f t="shared" si="193"/>
        <v>0</v>
      </c>
      <c r="S248">
        <f t="shared" si="194"/>
        <v>584.65</v>
      </c>
      <c r="T248">
        <f t="shared" si="195"/>
        <v>0</v>
      </c>
      <c r="U248">
        <f t="shared" si="196"/>
        <v>1.04</v>
      </c>
      <c r="V248">
        <f t="shared" si="197"/>
        <v>0</v>
      </c>
      <c r="W248">
        <f t="shared" si="198"/>
        <v>0</v>
      </c>
      <c r="X248">
        <f t="shared" si="199"/>
        <v>409.26</v>
      </c>
      <c r="Y248">
        <f t="shared" si="199"/>
        <v>58.47</v>
      </c>
      <c r="AA248">
        <v>-1</v>
      </c>
      <c r="AB248">
        <f t="shared" si="200"/>
        <v>841.65</v>
      </c>
      <c r="AC248">
        <f>ROUND((ES248),6)</f>
        <v>257</v>
      </c>
      <c r="AD248">
        <f>ROUND((((ET248)-(EU248))+AE248),6)</f>
        <v>0</v>
      </c>
      <c r="AE248">
        <f t="shared" si="221"/>
        <v>0</v>
      </c>
      <c r="AF248">
        <f t="shared" si="221"/>
        <v>584.65</v>
      </c>
      <c r="AG248">
        <f t="shared" si="201"/>
        <v>0</v>
      </c>
      <c r="AH248">
        <f t="shared" si="222"/>
        <v>1.04</v>
      </c>
      <c r="AI248">
        <f t="shared" si="222"/>
        <v>0</v>
      </c>
      <c r="AJ248">
        <f t="shared" si="202"/>
        <v>0</v>
      </c>
      <c r="AK248">
        <v>841.65</v>
      </c>
      <c r="AL248">
        <v>257</v>
      </c>
      <c r="AM248">
        <v>0</v>
      </c>
      <c r="AN248">
        <v>0</v>
      </c>
      <c r="AO248">
        <v>584.65</v>
      </c>
      <c r="AP248">
        <v>0</v>
      </c>
      <c r="AQ248">
        <v>1.04</v>
      </c>
      <c r="AR248">
        <v>0</v>
      </c>
      <c r="AS248">
        <v>0</v>
      </c>
      <c r="AT248">
        <v>70</v>
      </c>
      <c r="AU248">
        <v>10</v>
      </c>
      <c r="AV248">
        <v>1</v>
      </c>
      <c r="AW248">
        <v>1</v>
      </c>
      <c r="AZ248">
        <v>1</v>
      </c>
      <c r="BA248">
        <v>1</v>
      </c>
      <c r="BB248">
        <v>1</v>
      </c>
      <c r="BC248">
        <v>1</v>
      </c>
      <c r="BD248" t="s">
        <v>3</v>
      </c>
      <c r="BE248" t="s">
        <v>3</v>
      </c>
      <c r="BF248" t="s">
        <v>3</v>
      </c>
      <c r="BG248" t="s">
        <v>3</v>
      </c>
      <c r="BH248">
        <v>0</v>
      </c>
      <c r="BI248">
        <v>4</v>
      </c>
      <c r="BJ248" t="s">
        <v>192</v>
      </c>
      <c r="BM248">
        <v>0</v>
      </c>
      <c r="BN248">
        <v>0</v>
      </c>
      <c r="BO248" t="s">
        <v>3</v>
      </c>
      <c r="BP248">
        <v>0</v>
      </c>
      <c r="BQ248">
        <v>1</v>
      </c>
      <c r="BR248">
        <v>0</v>
      </c>
      <c r="BS248">
        <v>1</v>
      </c>
      <c r="BT248">
        <v>1</v>
      </c>
      <c r="BU248">
        <v>1</v>
      </c>
      <c r="BV248">
        <v>1</v>
      </c>
      <c r="BW248">
        <v>1</v>
      </c>
      <c r="BX248">
        <v>1</v>
      </c>
      <c r="BY248" t="s">
        <v>3</v>
      </c>
      <c r="BZ248">
        <v>70</v>
      </c>
      <c r="CA248">
        <v>10</v>
      </c>
      <c r="CB248" t="s">
        <v>3</v>
      </c>
      <c r="CE248">
        <v>0</v>
      </c>
      <c r="CF248">
        <v>0</v>
      </c>
      <c r="CG248">
        <v>0</v>
      </c>
      <c r="CM248">
        <v>0</v>
      </c>
      <c r="CN248" t="s">
        <v>3</v>
      </c>
      <c r="CO248">
        <v>0</v>
      </c>
      <c r="CP248">
        <f t="shared" si="203"/>
        <v>841.65</v>
      </c>
      <c r="CQ248">
        <f t="shared" si="204"/>
        <v>257</v>
      </c>
      <c r="CR248">
        <f>((((ET248)*BB248-(EU248)*BS248)+AE248*BS248)*AV248)</f>
        <v>0</v>
      </c>
      <c r="CS248">
        <f t="shared" si="205"/>
        <v>0</v>
      </c>
      <c r="CT248">
        <f t="shared" si="206"/>
        <v>584.65</v>
      </c>
      <c r="CU248">
        <f t="shared" si="207"/>
        <v>0</v>
      </c>
      <c r="CV248">
        <f t="shared" si="208"/>
        <v>1.04</v>
      </c>
      <c r="CW248">
        <f t="shared" si="209"/>
        <v>0</v>
      </c>
      <c r="CX248">
        <f t="shared" si="209"/>
        <v>0</v>
      </c>
      <c r="CY248">
        <f t="shared" si="210"/>
        <v>409.255</v>
      </c>
      <c r="CZ248">
        <f t="shared" si="211"/>
        <v>58.465000000000003</v>
      </c>
      <c r="DC248" t="s">
        <v>3</v>
      </c>
      <c r="DD248" t="s">
        <v>3</v>
      </c>
      <c r="DE248" t="s">
        <v>3</v>
      </c>
      <c r="DF248" t="s">
        <v>3</v>
      </c>
      <c r="DG248" t="s">
        <v>3</v>
      </c>
      <c r="DH248" t="s">
        <v>3</v>
      </c>
      <c r="DI248" t="s">
        <v>3</v>
      </c>
      <c r="DJ248" t="s">
        <v>3</v>
      </c>
      <c r="DK248" t="s">
        <v>3</v>
      </c>
      <c r="DL248" t="s">
        <v>3</v>
      </c>
      <c r="DM248" t="s">
        <v>3</v>
      </c>
      <c r="DN248">
        <v>0</v>
      </c>
      <c r="DO248">
        <v>0</v>
      </c>
      <c r="DP248">
        <v>1</v>
      </c>
      <c r="DQ248">
        <v>1</v>
      </c>
      <c r="DU248">
        <v>16987630</v>
      </c>
      <c r="DV248" t="s">
        <v>20</v>
      </c>
      <c r="DW248" t="s">
        <v>20</v>
      </c>
      <c r="DX248">
        <v>1</v>
      </c>
      <c r="DZ248" t="s">
        <v>3</v>
      </c>
      <c r="EA248" t="s">
        <v>3</v>
      </c>
      <c r="EB248" t="s">
        <v>3</v>
      </c>
      <c r="EC248" t="s">
        <v>3</v>
      </c>
      <c r="EE248">
        <v>1441815344</v>
      </c>
      <c r="EF248">
        <v>1</v>
      </c>
      <c r="EG248" t="s">
        <v>22</v>
      </c>
      <c r="EH248">
        <v>0</v>
      </c>
      <c r="EI248" t="s">
        <v>3</v>
      </c>
      <c r="EJ248">
        <v>4</v>
      </c>
      <c r="EK248">
        <v>0</v>
      </c>
      <c r="EL248" t="s">
        <v>23</v>
      </c>
      <c r="EM248" t="s">
        <v>24</v>
      </c>
      <c r="EO248" t="s">
        <v>3</v>
      </c>
      <c r="EQ248">
        <v>1311744</v>
      </c>
      <c r="ER248">
        <v>841.65</v>
      </c>
      <c r="ES248">
        <v>257</v>
      </c>
      <c r="ET248">
        <v>0</v>
      </c>
      <c r="EU248">
        <v>0</v>
      </c>
      <c r="EV248">
        <v>584.65</v>
      </c>
      <c r="EW248">
        <v>1.04</v>
      </c>
      <c r="EX248">
        <v>0</v>
      </c>
      <c r="EY248">
        <v>0</v>
      </c>
      <c r="FQ248">
        <v>0</v>
      </c>
      <c r="FR248">
        <f t="shared" si="212"/>
        <v>0</v>
      </c>
      <c r="FS248">
        <v>0</v>
      </c>
      <c r="FX248">
        <v>70</v>
      </c>
      <c r="FY248">
        <v>10</v>
      </c>
      <c r="GA248" t="s">
        <v>3</v>
      </c>
      <c r="GD248">
        <v>0</v>
      </c>
      <c r="GF248">
        <v>-1839227710</v>
      </c>
      <c r="GG248">
        <v>2</v>
      </c>
      <c r="GH248">
        <v>1</v>
      </c>
      <c r="GI248">
        <v>-2</v>
      </c>
      <c r="GJ248">
        <v>0</v>
      </c>
      <c r="GK248">
        <f>ROUND(R248*(R12)/100,2)</f>
        <v>0</v>
      </c>
      <c r="GL248">
        <f t="shared" si="213"/>
        <v>0</v>
      </c>
      <c r="GM248">
        <f t="shared" si="214"/>
        <v>1309.3800000000001</v>
      </c>
      <c r="GN248">
        <f t="shared" si="215"/>
        <v>0</v>
      </c>
      <c r="GO248">
        <f t="shared" si="216"/>
        <v>0</v>
      </c>
      <c r="GP248">
        <f t="shared" si="217"/>
        <v>1309.3800000000001</v>
      </c>
      <c r="GR248">
        <v>0</v>
      </c>
      <c r="GS248">
        <v>3</v>
      </c>
      <c r="GT248">
        <v>0</v>
      </c>
      <c r="GU248" t="s">
        <v>3</v>
      </c>
      <c r="GV248">
        <f t="shared" si="218"/>
        <v>0</v>
      </c>
      <c r="GW248">
        <v>1</v>
      </c>
      <c r="GX248">
        <f t="shared" si="219"/>
        <v>0</v>
      </c>
      <c r="HA248">
        <v>0</v>
      </c>
      <c r="HB248">
        <v>0</v>
      </c>
      <c r="HC248">
        <f t="shared" si="220"/>
        <v>0</v>
      </c>
      <c r="HE248" t="s">
        <v>3</v>
      </c>
      <c r="HF248" t="s">
        <v>3</v>
      </c>
      <c r="HM248" t="s">
        <v>3</v>
      </c>
      <c r="HN248" t="s">
        <v>3</v>
      </c>
      <c r="HO248" t="s">
        <v>3</v>
      </c>
      <c r="HP248" t="s">
        <v>3</v>
      </c>
      <c r="HQ248" t="s">
        <v>3</v>
      </c>
      <c r="IK248">
        <v>0</v>
      </c>
    </row>
    <row r="249" spans="1:245" x14ac:dyDescent="0.2">
      <c r="A249">
        <v>18</v>
      </c>
      <c r="B249">
        <v>1</v>
      </c>
      <c r="E249" t="s">
        <v>3</v>
      </c>
      <c r="F249" t="s">
        <v>187</v>
      </c>
      <c r="G249" t="s">
        <v>188</v>
      </c>
      <c r="H249" t="s">
        <v>189</v>
      </c>
      <c r="I249">
        <f>I248*J249</f>
        <v>1</v>
      </c>
      <c r="J249">
        <v>1</v>
      </c>
      <c r="K249">
        <v>1</v>
      </c>
      <c r="O249">
        <f t="shared" si="190"/>
        <v>67574</v>
      </c>
      <c r="P249">
        <f t="shared" si="191"/>
        <v>67574</v>
      </c>
      <c r="Q249">
        <f t="shared" si="192"/>
        <v>0</v>
      </c>
      <c r="R249">
        <f t="shared" si="193"/>
        <v>0</v>
      </c>
      <c r="S249">
        <f t="shared" si="194"/>
        <v>0</v>
      </c>
      <c r="T249">
        <f t="shared" si="195"/>
        <v>0</v>
      </c>
      <c r="U249">
        <f t="shared" si="196"/>
        <v>0</v>
      </c>
      <c r="V249">
        <f t="shared" si="197"/>
        <v>0</v>
      </c>
      <c r="W249">
        <f t="shared" si="198"/>
        <v>0</v>
      </c>
      <c r="X249">
        <f t="shared" si="199"/>
        <v>0</v>
      </c>
      <c r="Y249">
        <f t="shared" si="199"/>
        <v>0</v>
      </c>
      <c r="AA249">
        <v>-1</v>
      </c>
      <c r="AB249">
        <f t="shared" si="200"/>
        <v>67574</v>
      </c>
      <c r="AC249">
        <f>ROUND((ES249),6)</f>
        <v>67574</v>
      </c>
      <c r="AD249">
        <f>ROUND((((ET249)-(EU249))+AE249),6)</f>
        <v>0</v>
      </c>
      <c r="AE249">
        <f t="shared" si="221"/>
        <v>0</v>
      </c>
      <c r="AF249">
        <f t="shared" si="221"/>
        <v>0</v>
      </c>
      <c r="AG249">
        <f t="shared" si="201"/>
        <v>0</v>
      </c>
      <c r="AH249">
        <f t="shared" si="222"/>
        <v>0</v>
      </c>
      <c r="AI249">
        <f t="shared" si="222"/>
        <v>0</v>
      </c>
      <c r="AJ249">
        <f t="shared" si="202"/>
        <v>0</v>
      </c>
      <c r="AK249">
        <v>67574</v>
      </c>
      <c r="AL249">
        <v>67574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70</v>
      </c>
      <c r="AU249">
        <v>10</v>
      </c>
      <c r="AV249">
        <v>1</v>
      </c>
      <c r="AW249">
        <v>1</v>
      </c>
      <c r="AZ249">
        <v>1</v>
      </c>
      <c r="BA249">
        <v>1</v>
      </c>
      <c r="BB249">
        <v>1</v>
      </c>
      <c r="BC249">
        <v>1</v>
      </c>
      <c r="BD249" t="s">
        <v>3</v>
      </c>
      <c r="BE249" t="s">
        <v>3</v>
      </c>
      <c r="BF249" t="s">
        <v>3</v>
      </c>
      <c r="BG249" t="s">
        <v>3</v>
      </c>
      <c r="BH249">
        <v>3</v>
      </c>
      <c r="BI249">
        <v>4</v>
      </c>
      <c r="BJ249" t="s">
        <v>3</v>
      </c>
      <c r="BM249">
        <v>0</v>
      </c>
      <c r="BN249">
        <v>0</v>
      </c>
      <c r="BO249" t="s">
        <v>3</v>
      </c>
      <c r="BP249">
        <v>0</v>
      </c>
      <c r="BQ249">
        <v>1</v>
      </c>
      <c r="BR249">
        <v>0</v>
      </c>
      <c r="BS249">
        <v>1</v>
      </c>
      <c r="BT249">
        <v>1</v>
      </c>
      <c r="BU249">
        <v>1</v>
      </c>
      <c r="BV249">
        <v>1</v>
      </c>
      <c r="BW249">
        <v>1</v>
      </c>
      <c r="BX249">
        <v>1</v>
      </c>
      <c r="BY249" t="s">
        <v>3</v>
      </c>
      <c r="BZ249">
        <v>70</v>
      </c>
      <c r="CA249">
        <v>10</v>
      </c>
      <c r="CB249" t="s">
        <v>3</v>
      </c>
      <c r="CE249">
        <v>0</v>
      </c>
      <c r="CF249">
        <v>0</v>
      </c>
      <c r="CG249">
        <v>0</v>
      </c>
      <c r="CM249">
        <v>0</v>
      </c>
      <c r="CN249" t="s">
        <v>3</v>
      </c>
      <c r="CO249">
        <v>0</v>
      </c>
      <c r="CP249">
        <f t="shared" si="203"/>
        <v>67574</v>
      </c>
      <c r="CQ249">
        <f t="shared" si="204"/>
        <v>67574</v>
      </c>
      <c r="CR249">
        <f>((((ET249)*BB249-(EU249)*BS249)+AE249*BS249)*AV249)</f>
        <v>0</v>
      </c>
      <c r="CS249">
        <f t="shared" si="205"/>
        <v>0</v>
      </c>
      <c r="CT249">
        <f t="shared" si="206"/>
        <v>0</v>
      </c>
      <c r="CU249">
        <f t="shared" si="207"/>
        <v>0</v>
      </c>
      <c r="CV249">
        <f t="shared" si="208"/>
        <v>0</v>
      </c>
      <c r="CW249">
        <f t="shared" si="209"/>
        <v>0</v>
      </c>
      <c r="CX249">
        <f t="shared" si="209"/>
        <v>0</v>
      </c>
      <c r="CY249">
        <f t="shared" si="210"/>
        <v>0</v>
      </c>
      <c r="CZ249">
        <f t="shared" si="211"/>
        <v>0</v>
      </c>
      <c r="DC249" t="s">
        <v>3</v>
      </c>
      <c r="DD249" t="s">
        <v>3</v>
      </c>
      <c r="DE249" t="s">
        <v>3</v>
      </c>
      <c r="DF249" t="s">
        <v>3</v>
      </c>
      <c r="DG249" t="s">
        <v>3</v>
      </c>
      <c r="DH249" t="s">
        <v>3</v>
      </c>
      <c r="DI249" t="s">
        <v>3</v>
      </c>
      <c r="DJ249" t="s">
        <v>3</v>
      </c>
      <c r="DK249" t="s">
        <v>3</v>
      </c>
      <c r="DL249" t="s">
        <v>3</v>
      </c>
      <c r="DM249" t="s">
        <v>3</v>
      </c>
      <c r="DN249">
        <v>0</v>
      </c>
      <c r="DO249">
        <v>0</v>
      </c>
      <c r="DP249">
        <v>1</v>
      </c>
      <c r="DQ249">
        <v>1</v>
      </c>
      <c r="DU249">
        <v>1013</v>
      </c>
      <c r="DV249" t="s">
        <v>189</v>
      </c>
      <c r="DW249" t="s">
        <v>189</v>
      </c>
      <c r="DX249">
        <v>7.0999999999999994E-2</v>
      </c>
      <c r="DZ249" t="s">
        <v>3</v>
      </c>
      <c r="EA249" t="s">
        <v>3</v>
      </c>
      <c r="EB249" t="s">
        <v>3</v>
      </c>
      <c r="EC249" t="s">
        <v>3</v>
      </c>
      <c r="EE249">
        <v>1441815344</v>
      </c>
      <c r="EF249">
        <v>1</v>
      </c>
      <c r="EG249" t="s">
        <v>22</v>
      </c>
      <c r="EH249">
        <v>0</v>
      </c>
      <c r="EI249" t="s">
        <v>3</v>
      </c>
      <c r="EJ249">
        <v>4</v>
      </c>
      <c r="EK249">
        <v>0</v>
      </c>
      <c r="EL249" t="s">
        <v>23</v>
      </c>
      <c r="EM249" t="s">
        <v>24</v>
      </c>
      <c r="EO249" t="s">
        <v>3</v>
      </c>
      <c r="EQ249">
        <v>1311744</v>
      </c>
      <c r="ER249">
        <v>67574</v>
      </c>
      <c r="ES249">
        <v>67574</v>
      </c>
      <c r="ET249">
        <v>0</v>
      </c>
      <c r="EU249">
        <v>0</v>
      </c>
      <c r="EV249">
        <v>0</v>
      </c>
      <c r="EW249">
        <v>0</v>
      </c>
      <c r="EX249">
        <v>0</v>
      </c>
      <c r="FQ249">
        <v>67574</v>
      </c>
      <c r="FR249">
        <f t="shared" si="212"/>
        <v>0</v>
      </c>
      <c r="FS249">
        <v>1</v>
      </c>
      <c r="FX249">
        <v>70</v>
      </c>
      <c r="FY249">
        <v>10</v>
      </c>
      <c r="GA249" t="s">
        <v>3</v>
      </c>
      <c r="GD249">
        <v>0</v>
      </c>
      <c r="GF249">
        <v>718216295</v>
      </c>
      <c r="GG249">
        <v>2</v>
      </c>
      <c r="GH249">
        <v>0</v>
      </c>
      <c r="GI249">
        <v>-2</v>
      </c>
      <c r="GJ249">
        <v>0</v>
      </c>
      <c r="GK249">
        <f>ROUND(R249*(R12)/100,2)</f>
        <v>0</v>
      </c>
      <c r="GL249">
        <f t="shared" si="213"/>
        <v>0</v>
      </c>
      <c r="GM249">
        <f t="shared" si="214"/>
        <v>67574</v>
      </c>
      <c r="GN249">
        <f t="shared" si="215"/>
        <v>0</v>
      </c>
      <c r="GO249">
        <f t="shared" si="216"/>
        <v>0</v>
      </c>
      <c r="GP249">
        <f t="shared" si="217"/>
        <v>67574</v>
      </c>
      <c r="GR249">
        <v>0</v>
      </c>
      <c r="GS249">
        <v>0</v>
      </c>
      <c r="GT249">
        <v>0</v>
      </c>
      <c r="GU249" t="s">
        <v>3</v>
      </c>
      <c r="GV249">
        <f t="shared" si="218"/>
        <v>0</v>
      </c>
      <c r="GW249">
        <v>1</v>
      </c>
      <c r="GX249">
        <f t="shared" si="219"/>
        <v>0</v>
      </c>
      <c r="HA249">
        <v>0</v>
      </c>
      <c r="HB249">
        <v>0</v>
      </c>
      <c r="HC249">
        <f t="shared" si="220"/>
        <v>0</v>
      </c>
      <c r="HE249" t="s">
        <v>3</v>
      </c>
      <c r="HF249" t="s">
        <v>3</v>
      </c>
      <c r="HM249" t="s">
        <v>3</v>
      </c>
      <c r="HN249" t="s">
        <v>3</v>
      </c>
      <c r="HO249" t="s">
        <v>3</v>
      </c>
      <c r="HP249" t="s">
        <v>3</v>
      </c>
      <c r="HQ249" t="s">
        <v>3</v>
      </c>
      <c r="IK249">
        <v>0</v>
      </c>
    </row>
    <row r="251" spans="1:245" x14ac:dyDescent="0.2">
      <c r="A251" s="2">
        <v>51</v>
      </c>
      <c r="B251" s="2">
        <f>B230</f>
        <v>1</v>
      </c>
      <c r="C251" s="2">
        <f>A230</f>
        <v>5</v>
      </c>
      <c r="D251" s="2">
        <f>ROW(A230)</f>
        <v>230</v>
      </c>
      <c r="E251" s="2"/>
      <c r="F251" s="2" t="str">
        <f>IF(F230&lt;&gt;"",F230,"")</f>
        <v>Новый подраздел</v>
      </c>
      <c r="G251" s="2" t="str">
        <f>IF(G230&lt;&gt;"",G230,"")</f>
        <v>Сантехприборы и оборудование</v>
      </c>
      <c r="H251" s="2">
        <v>0</v>
      </c>
      <c r="I251" s="2"/>
      <c r="J251" s="2"/>
      <c r="K251" s="2"/>
      <c r="L251" s="2"/>
      <c r="M251" s="2"/>
      <c r="N251" s="2"/>
      <c r="O251" s="2">
        <f t="shared" ref="O251:T251" si="223">ROUND(AB251,2)</f>
        <v>46904.85</v>
      </c>
      <c r="P251" s="2">
        <f t="shared" si="223"/>
        <v>321.07</v>
      </c>
      <c r="Q251" s="2">
        <f t="shared" si="223"/>
        <v>9112.7999999999993</v>
      </c>
      <c r="R251" s="2">
        <f t="shared" si="223"/>
        <v>5765.42</v>
      </c>
      <c r="S251" s="2">
        <f t="shared" si="223"/>
        <v>37470.980000000003</v>
      </c>
      <c r="T251" s="2">
        <f t="shared" si="223"/>
        <v>0</v>
      </c>
      <c r="U251" s="2">
        <f>AH251</f>
        <v>68.494399999999985</v>
      </c>
      <c r="V251" s="2">
        <f>AI251</f>
        <v>0</v>
      </c>
      <c r="W251" s="2">
        <f>ROUND(AJ251,2)</f>
        <v>0</v>
      </c>
      <c r="X251" s="2">
        <f>ROUND(AK251,2)</f>
        <v>26229.69</v>
      </c>
      <c r="Y251" s="2">
        <f>ROUND(AL251,2)</f>
        <v>3747.1</v>
      </c>
      <c r="Z251" s="2"/>
      <c r="AA251" s="2"/>
      <c r="AB251" s="2">
        <f>ROUND(SUMIF(AA234:AA249,"=1472506909",O234:O249),2)</f>
        <v>46904.85</v>
      </c>
      <c r="AC251" s="2">
        <f>ROUND(SUMIF(AA234:AA249,"=1472506909",P234:P249),2)</f>
        <v>321.07</v>
      </c>
      <c r="AD251" s="2">
        <f>ROUND(SUMIF(AA234:AA249,"=1472506909",Q234:Q249),2)</f>
        <v>9112.7999999999993</v>
      </c>
      <c r="AE251" s="2">
        <f>ROUND(SUMIF(AA234:AA249,"=1472506909",R234:R249),2)</f>
        <v>5765.42</v>
      </c>
      <c r="AF251" s="2">
        <f>ROUND(SUMIF(AA234:AA249,"=1472506909",S234:S249),2)</f>
        <v>37470.980000000003</v>
      </c>
      <c r="AG251" s="2">
        <f>ROUND(SUMIF(AA234:AA249,"=1472506909",T234:T249),2)</f>
        <v>0</v>
      </c>
      <c r="AH251" s="2">
        <f>SUMIF(AA234:AA249,"=1472506909",U234:U249)</f>
        <v>68.494399999999985</v>
      </c>
      <c r="AI251" s="2">
        <f>SUMIF(AA234:AA249,"=1472506909",V234:V249)</f>
        <v>0</v>
      </c>
      <c r="AJ251" s="2">
        <f>ROUND(SUMIF(AA234:AA249,"=1472506909",W234:W249),2)</f>
        <v>0</v>
      </c>
      <c r="AK251" s="2">
        <f>ROUND(SUMIF(AA234:AA249,"=1472506909",X234:X249),2)</f>
        <v>26229.69</v>
      </c>
      <c r="AL251" s="2">
        <f>ROUND(SUMIF(AA234:AA249,"=1472506909",Y234:Y249),2)</f>
        <v>3747.1</v>
      </c>
      <c r="AM251" s="2"/>
      <c r="AN251" s="2"/>
      <c r="AO251" s="2">
        <f t="shared" ref="AO251:BD251" si="224">ROUND(BX251,2)</f>
        <v>0</v>
      </c>
      <c r="AP251" s="2">
        <f t="shared" si="224"/>
        <v>0</v>
      </c>
      <c r="AQ251" s="2">
        <f t="shared" si="224"/>
        <v>0</v>
      </c>
      <c r="AR251" s="2">
        <f t="shared" si="224"/>
        <v>83108.289999999994</v>
      </c>
      <c r="AS251" s="2">
        <f t="shared" si="224"/>
        <v>0</v>
      </c>
      <c r="AT251" s="2">
        <f t="shared" si="224"/>
        <v>0</v>
      </c>
      <c r="AU251" s="2">
        <f t="shared" si="224"/>
        <v>83108.289999999994</v>
      </c>
      <c r="AV251" s="2">
        <f t="shared" si="224"/>
        <v>321.07</v>
      </c>
      <c r="AW251" s="2">
        <f t="shared" si="224"/>
        <v>321.07</v>
      </c>
      <c r="AX251" s="2">
        <f t="shared" si="224"/>
        <v>0</v>
      </c>
      <c r="AY251" s="2">
        <f t="shared" si="224"/>
        <v>321.07</v>
      </c>
      <c r="AZ251" s="2">
        <f t="shared" si="224"/>
        <v>0</v>
      </c>
      <c r="BA251" s="2">
        <f t="shared" si="224"/>
        <v>0</v>
      </c>
      <c r="BB251" s="2">
        <f t="shared" si="224"/>
        <v>0</v>
      </c>
      <c r="BC251" s="2">
        <f t="shared" si="224"/>
        <v>0</v>
      </c>
      <c r="BD251" s="2">
        <f t="shared" si="224"/>
        <v>0</v>
      </c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>
        <f>ROUND(SUMIF(AA234:AA249,"=1472506909",FQ234:FQ249),2)</f>
        <v>0</v>
      </c>
      <c r="BY251" s="2">
        <f>ROUND(SUMIF(AA234:AA249,"=1472506909",FR234:FR249),2)</f>
        <v>0</v>
      </c>
      <c r="BZ251" s="2">
        <f>ROUND(SUMIF(AA234:AA249,"=1472506909",GL234:GL249),2)</f>
        <v>0</v>
      </c>
      <c r="CA251" s="2">
        <f>ROUND(SUMIF(AA234:AA249,"=1472506909",GM234:GM249),2)</f>
        <v>83108.289999999994</v>
      </c>
      <c r="CB251" s="2">
        <f>ROUND(SUMIF(AA234:AA249,"=1472506909",GN234:GN249),2)</f>
        <v>0</v>
      </c>
      <c r="CC251" s="2">
        <f>ROUND(SUMIF(AA234:AA249,"=1472506909",GO234:GO249),2)</f>
        <v>0</v>
      </c>
      <c r="CD251" s="2">
        <f>ROUND(SUMIF(AA234:AA249,"=1472506909",GP234:GP249),2)</f>
        <v>83108.289999999994</v>
      </c>
      <c r="CE251" s="2">
        <f>AC251-BX251</f>
        <v>321.07</v>
      </c>
      <c r="CF251" s="2">
        <f>AC251-BY251</f>
        <v>321.07</v>
      </c>
      <c r="CG251" s="2">
        <f>BX251-BZ251</f>
        <v>0</v>
      </c>
      <c r="CH251" s="2">
        <f>AC251-BX251-BY251+BZ251</f>
        <v>321.07</v>
      </c>
      <c r="CI251" s="2">
        <f>BY251-BZ251</f>
        <v>0</v>
      </c>
      <c r="CJ251" s="2">
        <f>ROUND(SUMIF(AA234:AA249,"=1472506909",GX234:GX249),2)</f>
        <v>0</v>
      </c>
      <c r="CK251" s="2">
        <f>ROUND(SUMIF(AA234:AA249,"=1472506909",GY234:GY249),2)</f>
        <v>0</v>
      </c>
      <c r="CL251" s="2">
        <f>ROUND(SUMIF(AA234:AA249,"=1472506909",GZ234:GZ249),2)</f>
        <v>0</v>
      </c>
      <c r="CM251" s="2">
        <f>ROUND(SUMIF(AA234:AA249,"=1472506909",HD234:HD249),2)</f>
        <v>0</v>
      </c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3"/>
      <c r="DH251" s="3"/>
      <c r="DI251" s="3"/>
      <c r="DJ251" s="3"/>
      <c r="DK251" s="3"/>
      <c r="DL251" s="3"/>
      <c r="DM251" s="3"/>
      <c r="DN251" s="3"/>
      <c r="DO251" s="3"/>
      <c r="DP251" s="3"/>
      <c r="DQ251" s="3"/>
      <c r="DR251" s="3"/>
      <c r="DS251" s="3"/>
      <c r="DT251" s="3"/>
      <c r="DU251" s="3"/>
      <c r="DV251" s="3"/>
      <c r="DW251" s="3"/>
      <c r="DX251" s="3"/>
      <c r="DY251" s="3"/>
      <c r="DZ251" s="3"/>
      <c r="EA251" s="3"/>
      <c r="EB251" s="3"/>
      <c r="EC251" s="3"/>
      <c r="ED251" s="3"/>
      <c r="EE251" s="3"/>
      <c r="EF251" s="3"/>
      <c r="EG251" s="3"/>
      <c r="EH251" s="3"/>
      <c r="EI251" s="3"/>
      <c r="EJ251" s="3"/>
      <c r="EK251" s="3"/>
      <c r="EL251" s="3"/>
      <c r="EM251" s="3"/>
      <c r="EN251" s="3"/>
      <c r="EO251" s="3"/>
      <c r="EP251" s="3"/>
      <c r="EQ251" s="3"/>
      <c r="ER251" s="3"/>
      <c r="ES251" s="3"/>
      <c r="ET251" s="3"/>
      <c r="EU251" s="3"/>
      <c r="EV251" s="3"/>
      <c r="EW251" s="3"/>
      <c r="EX251" s="3"/>
      <c r="EY251" s="3"/>
      <c r="EZ251" s="3"/>
      <c r="FA251" s="3"/>
      <c r="FB251" s="3"/>
      <c r="FC251" s="3"/>
      <c r="FD251" s="3"/>
      <c r="FE251" s="3"/>
      <c r="FF251" s="3"/>
      <c r="FG251" s="3"/>
      <c r="FH251" s="3"/>
      <c r="FI251" s="3"/>
      <c r="FJ251" s="3"/>
      <c r="FK251" s="3"/>
      <c r="FL251" s="3"/>
      <c r="FM251" s="3"/>
      <c r="FN251" s="3"/>
      <c r="FO251" s="3"/>
      <c r="FP251" s="3"/>
      <c r="FQ251" s="3"/>
      <c r="FR251" s="3"/>
      <c r="FS251" s="3"/>
      <c r="FT251" s="3"/>
      <c r="FU251" s="3"/>
      <c r="FV251" s="3"/>
      <c r="FW251" s="3"/>
      <c r="FX251" s="3"/>
      <c r="FY251" s="3"/>
      <c r="FZ251" s="3"/>
      <c r="GA251" s="3"/>
      <c r="GB251" s="3"/>
      <c r="GC251" s="3"/>
      <c r="GD251" s="3"/>
      <c r="GE251" s="3"/>
      <c r="GF251" s="3"/>
      <c r="GG251" s="3"/>
      <c r="GH251" s="3"/>
      <c r="GI251" s="3"/>
      <c r="GJ251" s="3"/>
      <c r="GK251" s="3"/>
      <c r="GL251" s="3"/>
      <c r="GM251" s="3"/>
      <c r="GN251" s="3"/>
      <c r="GO251" s="3"/>
      <c r="GP251" s="3"/>
      <c r="GQ251" s="3"/>
      <c r="GR251" s="3"/>
      <c r="GS251" s="3"/>
      <c r="GT251" s="3"/>
      <c r="GU251" s="3"/>
      <c r="GV251" s="3"/>
      <c r="GW251" s="3"/>
      <c r="GX251" s="3">
        <v>0</v>
      </c>
    </row>
    <row r="253" spans="1:245" x14ac:dyDescent="0.2">
      <c r="A253" s="4">
        <v>50</v>
      </c>
      <c r="B253" s="4">
        <v>0</v>
      </c>
      <c r="C253" s="4">
        <v>0</v>
      </c>
      <c r="D253" s="4">
        <v>1</v>
      </c>
      <c r="E253" s="4">
        <v>201</v>
      </c>
      <c r="F253" s="4">
        <f>ROUND(Source!O251,O253)</f>
        <v>46904.85</v>
      </c>
      <c r="G253" s="4" t="s">
        <v>36</v>
      </c>
      <c r="H253" s="4" t="s">
        <v>37</v>
      </c>
      <c r="I253" s="4"/>
      <c r="J253" s="4"/>
      <c r="K253" s="4">
        <v>201</v>
      </c>
      <c r="L253" s="4">
        <v>1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46904.85</v>
      </c>
      <c r="X253" s="4">
        <v>1</v>
      </c>
      <c r="Y253" s="4">
        <v>46904.85</v>
      </c>
      <c r="Z253" s="4"/>
      <c r="AA253" s="4"/>
      <c r="AB253" s="4"/>
    </row>
    <row r="254" spans="1:245" x14ac:dyDescent="0.2">
      <c r="A254" s="4">
        <v>50</v>
      </c>
      <c r="B254" s="4">
        <v>0</v>
      </c>
      <c r="C254" s="4">
        <v>0</v>
      </c>
      <c r="D254" s="4">
        <v>1</v>
      </c>
      <c r="E254" s="4">
        <v>202</v>
      </c>
      <c r="F254" s="4">
        <f>ROUND(Source!P251,O254)</f>
        <v>321.07</v>
      </c>
      <c r="G254" s="4" t="s">
        <v>38</v>
      </c>
      <c r="H254" s="4" t="s">
        <v>39</v>
      </c>
      <c r="I254" s="4"/>
      <c r="J254" s="4"/>
      <c r="K254" s="4">
        <v>202</v>
      </c>
      <c r="L254" s="4">
        <v>2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321.07</v>
      </c>
      <c r="X254" s="4">
        <v>1</v>
      </c>
      <c r="Y254" s="4">
        <v>321.07</v>
      </c>
      <c r="Z254" s="4"/>
      <c r="AA254" s="4"/>
      <c r="AB254" s="4"/>
    </row>
    <row r="255" spans="1:245" x14ac:dyDescent="0.2">
      <c r="A255" s="4">
        <v>50</v>
      </c>
      <c r="B255" s="4">
        <v>0</v>
      </c>
      <c r="C255" s="4">
        <v>0</v>
      </c>
      <c r="D255" s="4">
        <v>1</v>
      </c>
      <c r="E255" s="4">
        <v>222</v>
      </c>
      <c r="F255" s="4">
        <f>ROUND(Source!AO251,O255)</f>
        <v>0</v>
      </c>
      <c r="G255" s="4" t="s">
        <v>40</v>
      </c>
      <c r="H255" s="4" t="s">
        <v>41</v>
      </c>
      <c r="I255" s="4"/>
      <c r="J255" s="4"/>
      <c r="K255" s="4">
        <v>222</v>
      </c>
      <c r="L255" s="4">
        <v>3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45" x14ac:dyDescent="0.2">
      <c r="A256" s="4">
        <v>50</v>
      </c>
      <c r="B256" s="4">
        <v>0</v>
      </c>
      <c r="C256" s="4">
        <v>0</v>
      </c>
      <c r="D256" s="4">
        <v>1</v>
      </c>
      <c r="E256" s="4">
        <v>225</v>
      </c>
      <c r="F256" s="4">
        <f>ROUND(Source!AV251,O256)</f>
        <v>321.07</v>
      </c>
      <c r="G256" s="4" t="s">
        <v>42</v>
      </c>
      <c r="H256" s="4" t="s">
        <v>43</v>
      </c>
      <c r="I256" s="4"/>
      <c r="J256" s="4"/>
      <c r="K256" s="4">
        <v>225</v>
      </c>
      <c r="L256" s="4">
        <v>4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321.07</v>
      </c>
      <c r="X256" s="4">
        <v>1</v>
      </c>
      <c r="Y256" s="4">
        <v>321.07</v>
      </c>
      <c r="Z256" s="4"/>
      <c r="AA256" s="4"/>
      <c r="AB256" s="4"/>
    </row>
    <row r="257" spans="1:28" x14ac:dyDescent="0.2">
      <c r="A257" s="4">
        <v>50</v>
      </c>
      <c r="B257" s="4">
        <v>0</v>
      </c>
      <c r="C257" s="4">
        <v>0</v>
      </c>
      <c r="D257" s="4">
        <v>1</v>
      </c>
      <c r="E257" s="4">
        <v>226</v>
      </c>
      <c r="F257" s="4">
        <f>ROUND(Source!AW251,O257)</f>
        <v>321.07</v>
      </c>
      <c r="G257" s="4" t="s">
        <v>44</v>
      </c>
      <c r="H257" s="4" t="s">
        <v>45</v>
      </c>
      <c r="I257" s="4"/>
      <c r="J257" s="4"/>
      <c r="K257" s="4">
        <v>226</v>
      </c>
      <c r="L257" s="4">
        <v>5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321.07</v>
      </c>
      <c r="X257" s="4">
        <v>1</v>
      </c>
      <c r="Y257" s="4">
        <v>321.07</v>
      </c>
      <c r="Z257" s="4"/>
      <c r="AA257" s="4"/>
      <c r="AB257" s="4"/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227</v>
      </c>
      <c r="F258" s="4">
        <f>ROUND(Source!AX251,O258)</f>
        <v>0</v>
      </c>
      <c r="G258" s="4" t="s">
        <v>46</v>
      </c>
      <c r="H258" s="4" t="s">
        <v>47</v>
      </c>
      <c r="I258" s="4"/>
      <c r="J258" s="4"/>
      <c r="K258" s="4">
        <v>227</v>
      </c>
      <c r="L258" s="4">
        <v>6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228</v>
      </c>
      <c r="F259" s="4">
        <f>ROUND(Source!AY251,O259)</f>
        <v>321.07</v>
      </c>
      <c r="G259" s="4" t="s">
        <v>48</v>
      </c>
      <c r="H259" s="4" t="s">
        <v>49</v>
      </c>
      <c r="I259" s="4"/>
      <c r="J259" s="4"/>
      <c r="K259" s="4">
        <v>228</v>
      </c>
      <c r="L259" s="4">
        <v>7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321.07</v>
      </c>
      <c r="X259" s="4">
        <v>1</v>
      </c>
      <c r="Y259" s="4">
        <v>321.07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216</v>
      </c>
      <c r="F260" s="4">
        <f>ROUND(Source!AP251,O260)</f>
        <v>0</v>
      </c>
      <c r="G260" s="4" t="s">
        <v>50</v>
      </c>
      <c r="H260" s="4" t="s">
        <v>51</v>
      </c>
      <c r="I260" s="4"/>
      <c r="J260" s="4"/>
      <c r="K260" s="4">
        <v>216</v>
      </c>
      <c r="L260" s="4">
        <v>8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223</v>
      </c>
      <c r="F261" s="4">
        <f>ROUND(Source!AQ251,O261)</f>
        <v>0</v>
      </c>
      <c r="G261" s="4" t="s">
        <v>52</v>
      </c>
      <c r="H261" s="4" t="s">
        <v>53</v>
      </c>
      <c r="I261" s="4"/>
      <c r="J261" s="4"/>
      <c r="K261" s="4">
        <v>223</v>
      </c>
      <c r="L261" s="4">
        <v>9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229</v>
      </c>
      <c r="F262" s="4">
        <f>ROUND(Source!AZ251,O262)</f>
        <v>0</v>
      </c>
      <c r="G262" s="4" t="s">
        <v>54</v>
      </c>
      <c r="H262" s="4" t="s">
        <v>55</v>
      </c>
      <c r="I262" s="4"/>
      <c r="J262" s="4"/>
      <c r="K262" s="4">
        <v>229</v>
      </c>
      <c r="L262" s="4">
        <v>10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203</v>
      </c>
      <c r="F263" s="4">
        <f>ROUND(Source!Q251,O263)</f>
        <v>9112.7999999999993</v>
      </c>
      <c r="G263" s="4" t="s">
        <v>56</v>
      </c>
      <c r="H263" s="4" t="s">
        <v>57</v>
      </c>
      <c r="I263" s="4"/>
      <c r="J263" s="4"/>
      <c r="K263" s="4">
        <v>203</v>
      </c>
      <c r="L263" s="4">
        <v>11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9112.7999999999993</v>
      </c>
      <c r="X263" s="4">
        <v>1</v>
      </c>
      <c r="Y263" s="4">
        <v>9112.7999999999993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231</v>
      </c>
      <c r="F264" s="4">
        <f>ROUND(Source!BB251,O264)</f>
        <v>0</v>
      </c>
      <c r="G264" s="4" t="s">
        <v>58</v>
      </c>
      <c r="H264" s="4" t="s">
        <v>59</v>
      </c>
      <c r="I264" s="4"/>
      <c r="J264" s="4"/>
      <c r="K264" s="4">
        <v>231</v>
      </c>
      <c r="L264" s="4">
        <v>12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204</v>
      </c>
      <c r="F265" s="4">
        <f>ROUND(Source!R251,O265)</f>
        <v>5765.42</v>
      </c>
      <c r="G265" s="4" t="s">
        <v>60</v>
      </c>
      <c r="H265" s="4" t="s">
        <v>61</v>
      </c>
      <c r="I265" s="4"/>
      <c r="J265" s="4"/>
      <c r="K265" s="4">
        <v>204</v>
      </c>
      <c r="L265" s="4">
        <v>13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5765.42</v>
      </c>
      <c r="X265" s="4">
        <v>1</v>
      </c>
      <c r="Y265" s="4">
        <v>5765.42</v>
      </c>
      <c r="Z265" s="4"/>
      <c r="AA265" s="4"/>
      <c r="AB265" s="4"/>
    </row>
    <row r="266" spans="1:28" x14ac:dyDescent="0.2">
      <c r="A266" s="4">
        <v>50</v>
      </c>
      <c r="B266" s="4">
        <v>0</v>
      </c>
      <c r="C266" s="4">
        <v>0</v>
      </c>
      <c r="D266" s="4">
        <v>1</v>
      </c>
      <c r="E266" s="4">
        <v>205</v>
      </c>
      <c r="F266" s="4">
        <f>ROUND(Source!S251,O266)</f>
        <v>37470.980000000003</v>
      </c>
      <c r="G266" s="4" t="s">
        <v>62</v>
      </c>
      <c r="H266" s="4" t="s">
        <v>63</v>
      </c>
      <c r="I266" s="4"/>
      <c r="J266" s="4"/>
      <c r="K266" s="4">
        <v>205</v>
      </c>
      <c r="L266" s="4">
        <v>14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37470.980000000003</v>
      </c>
      <c r="X266" s="4">
        <v>1</v>
      </c>
      <c r="Y266" s="4">
        <v>37470.980000000003</v>
      </c>
      <c r="Z266" s="4"/>
      <c r="AA266" s="4"/>
      <c r="AB266" s="4"/>
    </row>
    <row r="267" spans="1:28" x14ac:dyDescent="0.2">
      <c r="A267" s="4">
        <v>50</v>
      </c>
      <c r="B267" s="4">
        <v>0</v>
      </c>
      <c r="C267" s="4">
        <v>0</v>
      </c>
      <c r="D267" s="4">
        <v>1</v>
      </c>
      <c r="E267" s="4">
        <v>232</v>
      </c>
      <c r="F267" s="4">
        <f>ROUND(Source!BC251,O267)</f>
        <v>0</v>
      </c>
      <c r="G267" s="4" t="s">
        <v>64</v>
      </c>
      <c r="H267" s="4" t="s">
        <v>65</v>
      </c>
      <c r="I267" s="4"/>
      <c r="J267" s="4"/>
      <c r="K267" s="4">
        <v>232</v>
      </c>
      <c r="L267" s="4">
        <v>15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 x14ac:dyDescent="0.2">
      <c r="A268" s="4">
        <v>50</v>
      </c>
      <c r="B268" s="4">
        <v>0</v>
      </c>
      <c r="C268" s="4">
        <v>0</v>
      </c>
      <c r="D268" s="4">
        <v>1</v>
      </c>
      <c r="E268" s="4">
        <v>214</v>
      </c>
      <c r="F268" s="4">
        <f>ROUND(Source!AS251,O268)</f>
        <v>0</v>
      </c>
      <c r="G268" s="4" t="s">
        <v>66</v>
      </c>
      <c r="H268" s="4" t="s">
        <v>67</v>
      </c>
      <c r="I268" s="4"/>
      <c r="J268" s="4"/>
      <c r="K268" s="4">
        <v>214</v>
      </c>
      <c r="L268" s="4">
        <v>16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</v>
      </c>
      <c r="X268" s="4">
        <v>1</v>
      </c>
      <c r="Y268" s="4">
        <v>0</v>
      </c>
      <c r="Z268" s="4"/>
      <c r="AA268" s="4"/>
      <c r="AB268" s="4"/>
    </row>
    <row r="269" spans="1:28" x14ac:dyDescent="0.2">
      <c r="A269" s="4">
        <v>50</v>
      </c>
      <c r="B269" s="4">
        <v>0</v>
      </c>
      <c r="C269" s="4">
        <v>0</v>
      </c>
      <c r="D269" s="4">
        <v>1</v>
      </c>
      <c r="E269" s="4">
        <v>215</v>
      </c>
      <c r="F269" s="4">
        <f>ROUND(Source!AT251,O269)</f>
        <v>0</v>
      </c>
      <c r="G269" s="4" t="s">
        <v>68</v>
      </c>
      <c r="H269" s="4" t="s">
        <v>69</v>
      </c>
      <c r="I269" s="4"/>
      <c r="J269" s="4"/>
      <c r="K269" s="4">
        <v>215</v>
      </c>
      <c r="L269" s="4">
        <v>17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 x14ac:dyDescent="0.2">
      <c r="A270" s="4">
        <v>50</v>
      </c>
      <c r="B270" s="4">
        <v>0</v>
      </c>
      <c r="C270" s="4">
        <v>0</v>
      </c>
      <c r="D270" s="4">
        <v>1</v>
      </c>
      <c r="E270" s="4">
        <v>217</v>
      </c>
      <c r="F270" s="4">
        <f>ROUND(Source!AU251,O270)</f>
        <v>83108.289999999994</v>
      </c>
      <c r="G270" s="4" t="s">
        <v>70</v>
      </c>
      <c r="H270" s="4" t="s">
        <v>71</v>
      </c>
      <c r="I270" s="4"/>
      <c r="J270" s="4"/>
      <c r="K270" s="4">
        <v>217</v>
      </c>
      <c r="L270" s="4">
        <v>18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83108.289999999994</v>
      </c>
      <c r="X270" s="4">
        <v>1</v>
      </c>
      <c r="Y270" s="4">
        <v>83108.289999999994</v>
      </c>
      <c r="Z270" s="4"/>
      <c r="AA270" s="4"/>
      <c r="AB270" s="4"/>
    </row>
    <row r="271" spans="1:28" x14ac:dyDescent="0.2">
      <c r="A271" s="4">
        <v>50</v>
      </c>
      <c r="B271" s="4">
        <v>0</v>
      </c>
      <c r="C271" s="4">
        <v>0</v>
      </c>
      <c r="D271" s="4">
        <v>1</v>
      </c>
      <c r="E271" s="4">
        <v>230</v>
      </c>
      <c r="F271" s="4">
        <f>ROUND(Source!BA251,O271)</f>
        <v>0</v>
      </c>
      <c r="G271" s="4" t="s">
        <v>72</v>
      </c>
      <c r="H271" s="4" t="s">
        <v>73</v>
      </c>
      <c r="I271" s="4"/>
      <c r="J271" s="4"/>
      <c r="K271" s="4">
        <v>230</v>
      </c>
      <c r="L271" s="4">
        <v>19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0</v>
      </c>
      <c r="X271" s="4">
        <v>1</v>
      </c>
      <c r="Y271" s="4">
        <v>0</v>
      </c>
      <c r="Z271" s="4"/>
      <c r="AA271" s="4"/>
      <c r="AB271" s="4"/>
    </row>
    <row r="272" spans="1:28" x14ac:dyDescent="0.2">
      <c r="A272" s="4">
        <v>50</v>
      </c>
      <c r="B272" s="4">
        <v>0</v>
      </c>
      <c r="C272" s="4">
        <v>0</v>
      </c>
      <c r="D272" s="4">
        <v>1</v>
      </c>
      <c r="E272" s="4">
        <v>206</v>
      </c>
      <c r="F272" s="4">
        <f>ROUND(Source!T251,O272)</f>
        <v>0</v>
      </c>
      <c r="G272" s="4" t="s">
        <v>74</v>
      </c>
      <c r="H272" s="4" t="s">
        <v>75</v>
      </c>
      <c r="I272" s="4"/>
      <c r="J272" s="4"/>
      <c r="K272" s="4">
        <v>206</v>
      </c>
      <c r="L272" s="4">
        <v>20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06" x14ac:dyDescent="0.2">
      <c r="A273" s="4">
        <v>50</v>
      </c>
      <c r="B273" s="4">
        <v>0</v>
      </c>
      <c r="C273" s="4">
        <v>0</v>
      </c>
      <c r="D273" s="4">
        <v>1</v>
      </c>
      <c r="E273" s="4">
        <v>207</v>
      </c>
      <c r="F273" s="4">
        <f>Source!U251</f>
        <v>68.494399999999985</v>
      </c>
      <c r="G273" s="4" t="s">
        <v>76</v>
      </c>
      <c r="H273" s="4" t="s">
        <v>77</v>
      </c>
      <c r="I273" s="4"/>
      <c r="J273" s="4"/>
      <c r="K273" s="4">
        <v>207</v>
      </c>
      <c r="L273" s="4">
        <v>21</v>
      </c>
      <c r="M273" s="4">
        <v>3</v>
      </c>
      <c r="N273" s="4" t="s">
        <v>3</v>
      </c>
      <c r="O273" s="4">
        <v>-1</v>
      </c>
      <c r="P273" s="4"/>
      <c r="Q273" s="4"/>
      <c r="R273" s="4"/>
      <c r="S273" s="4"/>
      <c r="T273" s="4"/>
      <c r="U273" s="4"/>
      <c r="V273" s="4"/>
      <c r="W273" s="4">
        <v>68.494399999999985</v>
      </c>
      <c r="X273" s="4">
        <v>1</v>
      </c>
      <c r="Y273" s="4">
        <v>68.494399999999985</v>
      </c>
      <c r="Z273" s="4"/>
      <c r="AA273" s="4"/>
      <c r="AB273" s="4"/>
    </row>
    <row r="274" spans="1:206" x14ac:dyDescent="0.2">
      <c r="A274" s="4">
        <v>50</v>
      </c>
      <c r="B274" s="4">
        <v>0</v>
      </c>
      <c r="C274" s="4">
        <v>0</v>
      </c>
      <c r="D274" s="4">
        <v>1</v>
      </c>
      <c r="E274" s="4">
        <v>208</v>
      </c>
      <c r="F274" s="4">
        <f>Source!V251</f>
        <v>0</v>
      </c>
      <c r="G274" s="4" t="s">
        <v>78</v>
      </c>
      <c r="H274" s="4" t="s">
        <v>79</v>
      </c>
      <c r="I274" s="4"/>
      <c r="J274" s="4"/>
      <c r="K274" s="4">
        <v>208</v>
      </c>
      <c r="L274" s="4">
        <v>22</v>
      </c>
      <c r="M274" s="4">
        <v>3</v>
      </c>
      <c r="N274" s="4" t="s">
        <v>3</v>
      </c>
      <c r="O274" s="4">
        <v>-1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06" x14ac:dyDescent="0.2">
      <c r="A275" s="4">
        <v>50</v>
      </c>
      <c r="B275" s="4">
        <v>0</v>
      </c>
      <c r="C275" s="4">
        <v>0</v>
      </c>
      <c r="D275" s="4">
        <v>1</v>
      </c>
      <c r="E275" s="4">
        <v>209</v>
      </c>
      <c r="F275" s="4">
        <f>ROUND(Source!W251,O275)</f>
        <v>0</v>
      </c>
      <c r="G275" s="4" t="s">
        <v>80</v>
      </c>
      <c r="H275" s="4" t="s">
        <v>81</v>
      </c>
      <c r="I275" s="4"/>
      <c r="J275" s="4"/>
      <c r="K275" s="4">
        <v>209</v>
      </c>
      <c r="L275" s="4">
        <v>23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06" x14ac:dyDescent="0.2">
      <c r="A276" s="4">
        <v>50</v>
      </c>
      <c r="B276" s="4">
        <v>0</v>
      </c>
      <c r="C276" s="4">
        <v>0</v>
      </c>
      <c r="D276" s="4">
        <v>1</v>
      </c>
      <c r="E276" s="4">
        <v>233</v>
      </c>
      <c r="F276" s="4">
        <f>ROUND(Source!BD251,O276)</f>
        <v>0</v>
      </c>
      <c r="G276" s="4" t="s">
        <v>82</v>
      </c>
      <c r="H276" s="4" t="s">
        <v>83</v>
      </c>
      <c r="I276" s="4"/>
      <c r="J276" s="4"/>
      <c r="K276" s="4">
        <v>233</v>
      </c>
      <c r="L276" s="4">
        <v>24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06" x14ac:dyDescent="0.2">
      <c r="A277" s="4">
        <v>50</v>
      </c>
      <c r="B277" s="4">
        <v>0</v>
      </c>
      <c r="C277" s="4">
        <v>0</v>
      </c>
      <c r="D277" s="4">
        <v>1</v>
      </c>
      <c r="E277" s="4">
        <v>210</v>
      </c>
      <c r="F277" s="4">
        <f>ROUND(Source!X251,O277)</f>
        <v>26229.69</v>
      </c>
      <c r="G277" s="4" t="s">
        <v>84</v>
      </c>
      <c r="H277" s="4" t="s">
        <v>85</v>
      </c>
      <c r="I277" s="4"/>
      <c r="J277" s="4"/>
      <c r="K277" s="4">
        <v>210</v>
      </c>
      <c r="L277" s="4">
        <v>25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26229.69</v>
      </c>
      <c r="X277" s="4">
        <v>1</v>
      </c>
      <c r="Y277" s="4">
        <v>26229.69</v>
      </c>
      <c r="Z277" s="4"/>
      <c r="AA277" s="4"/>
      <c r="AB277" s="4"/>
    </row>
    <row r="278" spans="1:206" x14ac:dyDescent="0.2">
      <c r="A278" s="4">
        <v>50</v>
      </c>
      <c r="B278" s="4">
        <v>0</v>
      </c>
      <c r="C278" s="4">
        <v>0</v>
      </c>
      <c r="D278" s="4">
        <v>1</v>
      </c>
      <c r="E278" s="4">
        <v>211</v>
      </c>
      <c r="F278" s="4">
        <f>ROUND(Source!Y251,O278)</f>
        <v>3747.1</v>
      </c>
      <c r="G278" s="4" t="s">
        <v>86</v>
      </c>
      <c r="H278" s="4" t="s">
        <v>87</v>
      </c>
      <c r="I278" s="4"/>
      <c r="J278" s="4"/>
      <c r="K278" s="4">
        <v>211</v>
      </c>
      <c r="L278" s="4">
        <v>26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3747.1</v>
      </c>
      <c r="X278" s="4">
        <v>1</v>
      </c>
      <c r="Y278" s="4">
        <v>3747.1</v>
      </c>
      <c r="Z278" s="4"/>
      <c r="AA278" s="4"/>
      <c r="AB278" s="4"/>
    </row>
    <row r="279" spans="1:206" x14ac:dyDescent="0.2">
      <c r="A279" s="4">
        <v>50</v>
      </c>
      <c r="B279" s="4">
        <v>0</v>
      </c>
      <c r="C279" s="4">
        <v>0</v>
      </c>
      <c r="D279" s="4">
        <v>1</v>
      </c>
      <c r="E279" s="4">
        <v>224</v>
      </c>
      <c r="F279" s="4">
        <f>ROUND(Source!AR251,O279)</f>
        <v>83108.289999999994</v>
      </c>
      <c r="G279" s="4" t="s">
        <v>88</v>
      </c>
      <c r="H279" s="4" t="s">
        <v>89</v>
      </c>
      <c r="I279" s="4"/>
      <c r="J279" s="4"/>
      <c r="K279" s="4">
        <v>224</v>
      </c>
      <c r="L279" s="4">
        <v>27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83108.289999999994</v>
      </c>
      <c r="X279" s="4">
        <v>1</v>
      </c>
      <c r="Y279" s="4">
        <v>83108.289999999994</v>
      </c>
      <c r="Z279" s="4"/>
      <c r="AA279" s="4"/>
      <c r="AB279" s="4"/>
    </row>
    <row r="281" spans="1:206" x14ac:dyDescent="0.2">
      <c r="A281" s="2">
        <v>51</v>
      </c>
      <c r="B281" s="2">
        <f>B24</f>
        <v>1</v>
      </c>
      <c r="C281" s="2">
        <f>A24</f>
        <v>4</v>
      </c>
      <c r="D281" s="2">
        <f>ROW(A24)</f>
        <v>24</v>
      </c>
      <c r="E281" s="2"/>
      <c r="F281" s="2" t="str">
        <f>IF(F24&lt;&gt;"",F24,"")</f>
        <v>Новый раздел</v>
      </c>
      <c r="G281" s="2" t="str">
        <f>IF(G24&lt;&gt;"",G24,"")</f>
        <v>1. Система водоснабжение и водоотведение.</v>
      </c>
      <c r="H281" s="2">
        <v>0</v>
      </c>
      <c r="I281" s="2"/>
      <c r="J281" s="2"/>
      <c r="K281" s="2"/>
      <c r="L281" s="2"/>
      <c r="M281" s="2"/>
      <c r="N281" s="2"/>
      <c r="O281" s="2">
        <f t="shared" ref="O281:T281" si="225">ROUND(O37+O77+O115+O157+O200+O251+AB281,2)</f>
        <v>77309.740000000005</v>
      </c>
      <c r="P281" s="2">
        <f t="shared" si="225"/>
        <v>817.1</v>
      </c>
      <c r="Q281" s="2">
        <f t="shared" si="225"/>
        <v>11145.48</v>
      </c>
      <c r="R281" s="2">
        <f t="shared" si="225"/>
        <v>7054.24</v>
      </c>
      <c r="S281" s="2">
        <f t="shared" si="225"/>
        <v>65347.16</v>
      </c>
      <c r="T281" s="2">
        <f t="shared" si="225"/>
        <v>0</v>
      </c>
      <c r="U281" s="2">
        <f>U37+U77+U115+U157+U200+U251+AH281</f>
        <v>110.85979999999998</v>
      </c>
      <c r="V281" s="2">
        <f>V37+V77+V115+V157+V200+V251+AI281</f>
        <v>0</v>
      </c>
      <c r="W281" s="2">
        <f>ROUND(W37+W77+W115+W157+W200+W251+AJ281,2)</f>
        <v>0</v>
      </c>
      <c r="X281" s="2">
        <f>ROUND(X37+X77+X115+X157+X200+X251+AK281,2)</f>
        <v>45743.02</v>
      </c>
      <c r="Y281" s="2">
        <f>ROUND(Y37+Y77+Y115+Y157+Y200+Y251+AL281,2)</f>
        <v>6534.72</v>
      </c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>
        <f t="shared" ref="AO281:BD281" si="226">ROUND(AO37+AO77+AO115+AO157+AO200+AO251+BX281,2)</f>
        <v>0</v>
      </c>
      <c r="AP281" s="2">
        <f t="shared" si="226"/>
        <v>0</v>
      </c>
      <c r="AQ281" s="2">
        <f t="shared" si="226"/>
        <v>0</v>
      </c>
      <c r="AR281" s="2">
        <f t="shared" si="226"/>
        <v>137206.04999999999</v>
      </c>
      <c r="AS281" s="2">
        <f t="shared" si="226"/>
        <v>0</v>
      </c>
      <c r="AT281" s="2">
        <f t="shared" si="226"/>
        <v>0</v>
      </c>
      <c r="AU281" s="2">
        <f t="shared" si="226"/>
        <v>137206.04999999999</v>
      </c>
      <c r="AV281" s="2">
        <f t="shared" si="226"/>
        <v>817.1</v>
      </c>
      <c r="AW281" s="2">
        <f t="shared" si="226"/>
        <v>817.1</v>
      </c>
      <c r="AX281" s="2">
        <f t="shared" si="226"/>
        <v>0</v>
      </c>
      <c r="AY281" s="2">
        <f t="shared" si="226"/>
        <v>817.1</v>
      </c>
      <c r="AZ281" s="2">
        <f t="shared" si="226"/>
        <v>0</v>
      </c>
      <c r="BA281" s="2">
        <f t="shared" si="226"/>
        <v>0</v>
      </c>
      <c r="BB281" s="2">
        <f t="shared" si="226"/>
        <v>0</v>
      </c>
      <c r="BC281" s="2">
        <f t="shared" si="226"/>
        <v>0</v>
      </c>
      <c r="BD281" s="2">
        <f t="shared" si="226"/>
        <v>0</v>
      </c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3"/>
      <c r="DH281" s="3"/>
      <c r="DI281" s="3"/>
      <c r="DJ281" s="3"/>
      <c r="DK281" s="3"/>
      <c r="DL281" s="3"/>
      <c r="DM281" s="3"/>
      <c r="DN281" s="3"/>
      <c r="DO281" s="3"/>
      <c r="DP281" s="3"/>
      <c r="DQ281" s="3"/>
      <c r="DR281" s="3"/>
      <c r="DS281" s="3"/>
      <c r="DT281" s="3"/>
      <c r="DU281" s="3"/>
      <c r="DV281" s="3"/>
      <c r="DW281" s="3"/>
      <c r="DX281" s="3"/>
      <c r="DY281" s="3"/>
      <c r="DZ281" s="3"/>
      <c r="EA281" s="3"/>
      <c r="EB281" s="3"/>
      <c r="EC281" s="3"/>
      <c r="ED281" s="3"/>
      <c r="EE281" s="3"/>
      <c r="EF281" s="3"/>
      <c r="EG281" s="3"/>
      <c r="EH281" s="3"/>
      <c r="EI281" s="3"/>
      <c r="EJ281" s="3"/>
      <c r="EK281" s="3"/>
      <c r="EL281" s="3"/>
      <c r="EM281" s="3"/>
      <c r="EN281" s="3"/>
      <c r="EO281" s="3"/>
      <c r="EP281" s="3"/>
      <c r="EQ281" s="3"/>
      <c r="ER281" s="3"/>
      <c r="ES281" s="3"/>
      <c r="ET281" s="3"/>
      <c r="EU281" s="3"/>
      <c r="EV281" s="3"/>
      <c r="EW281" s="3"/>
      <c r="EX281" s="3"/>
      <c r="EY281" s="3"/>
      <c r="EZ281" s="3"/>
      <c r="FA281" s="3"/>
      <c r="FB281" s="3"/>
      <c r="FC281" s="3"/>
      <c r="FD281" s="3"/>
      <c r="FE281" s="3"/>
      <c r="FF281" s="3"/>
      <c r="FG281" s="3"/>
      <c r="FH281" s="3"/>
      <c r="FI281" s="3"/>
      <c r="FJ281" s="3"/>
      <c r="FK281" s="3"/>
      <c r="FL281" s="3"/>
      <c r="FM281" s="3"/>
      <c r="FN281" s="3"/>
      <c r="FO281" s="3"/>
      <c r="FP281" s="3"/>
      <c r="FQ281" s="3"/>
      <c r="FR281" s="3"/>
      <c r="FS281" s="3"/>
      <c r="FT281" s="3"/>
      <c r="FU281" s="3"/>
      <c r="FV281" s="3"/>
      <c r="FW281" s="3"/>
      <c r="FX281" s="3"/>
      <c r="FY281" s="3"/>
      <c r="FZ281" s="3"/>
      <c r="GA281" s="3"/>
      <c r="GB281" s="3"/>
      <c r="GC281" s="3"/>
      <c r="GD281" s="3"/>
      <c r="GE281" s="3"/>
      <c r="GF281" s="3"/>
      <c r="GG281" s="3"/>
      <c r="GH281" s="3"/>
      <c r="GI281" s="3"/>
      <c r="GJ281" s="3"/>
      <c r="GK281" s="3"/>
      <c r="GL281" s="3"/>
      <c r="GM281" s="3"/>
      <c r="GN281" s="3"/>
      <c r="GO281" s="3"/>
      <c r="GP281" s="3"/>
      <c r="GQ281" s="3"/>
      <c r="GR281" s="3"/>
      <c r="GS281" s="3"/>
      <c r="GT281" s="3"/>
      <c r="GU281" s="3"/>
      <c r="GV281" s="3"/>
      <c r="GW281" s="3"/>
      <c r="GX281" s="3">
        <v>0</v>
      </c>
    </row>
    <row r="283" spans="1:206" x14ac:dyDescent="0.2">
      <c r="A283" s="4">
        <v>50</v>
      </c>
      <c r="B283" s="4">
        <v>0</v>
      </c>
      <c r="C283" s="4">
        <v>0</v>
      </c>
      <c r="D283" s="4">
        <v>1</v>
      </c>
      <c r="E283" s="4">
        <v>201</v>
      </c>
      <c r="F283" s="4">
        <f>ROUND(Source!O281,O283)</f>
        <v>77309.740000000005</v>
      </c>
      <c r="G283" s="4" t="s">
        <v>36</v>
      </c>
      <c r="H283" s="4" t="s">
        <v>37</v>
      </c>
      <c r="I283" s="4"/>
      <c r="J283" s="4"/>
      <c r="K283" s="4">
        <v>201</v>
      </c>
      <c r="L283" s="4">
        <v>1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77309.740000000005</v>
      </c>
      <c r="X283" s="4">
        <v>1</v>
      </c>
      <c r="Y283" s="4">
        <v>77309.740000000005</v>
      </c>
      <c r="Z283" s="4"/>
      <c r="AA283" s="4"/>
      <c r="AB283" s="4"/>
    </row>
    <row r="284" spans="1:206" x14ac:dyDescent="0.2">
      <c r="A284" s="4">
        <v>50</v>
      </c>
      <c r="B284" s="4">
        <v>0</v>
      </c>
      <c r="C284" s="4">
        <v>0</v>
      </c>
      <c r="D284" s="4">
        <v>1</v>
      </c>
      <c r="E284" s="4">
        <v>202</v>
      </c>
      <c r="F284" s="4">
        <f>ROUND(Source!P281,O284)</f>
        <v>817.1</v>
      </c>
      <c r="G284" s="4" t="s">
        <v>38</v>
      </c>
      <c r="H284" s="4" t="s">
        <v>39</v>
      </c>
      <c r="I284" s="4"/>
      <c r="J284" s="4"/>
      <c r="K284" s="4">
        <v>202</v>
      </c>
      <c r="L284" s="4">
        <v>2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817.1</v>
      </c>
      <c r="X284" s="4">
        <v>1</v>
      </c>
      <c r="Y284" s="4">
        <v>817.1</v>
      </c>
      <c r="Z284" s="4"/>
      <c r="AA284" s="4"/>
      <c r="AB284" s="4"/>
    </row>
    <row r="285" spans="1:206" x14ac:dyDescent="0.2">
      <c r="A285" s="4">
        <v>50</v>
      </c>
      <c r="B285" s="4">
        <v>0</v>
      </c>
      <c r="C285" s="4">
        <v>0</v>
      </c>
      <c r="D285" s="4">
        <v>1</v>
      </c>
      <c r="E285" s="4">
        <v>222</v>
      </c>
      <c r="F285" s="4">
        <f>ROUND(Source!AO281,O285)</f>
        <v>0</v>
      </c>
      <c r="G285" s="4" t="s">
        <v>40</v>
      </c>
      <c r="H285" s="4" t="s">
        <v>41</v>
      </c>
      <c r="I285" s="4"/>
      <c r="J285" s="4"/>
      <c r="K285" s="4">
        <v>222</v>
      </c>
      <c r="L285" s="4">
        <v>3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06" x14ac:dyDescent="0.2">
      <c r="A286" s="4">
        <v>50</v>
      </c>
      <c r="B286" s="4">
        <v>0</v>
      </c>
      <c r="C286" s="4">
        <v>0</v>
      </c>
      <c r="D286" s="4">
        <v>1</v>
      </c>
      <c r="E286" s="4">
        <v>225</v>
      </c>
      <c r="F286" s="4">
        <f>ROUND(Source!AV281,O286)</f>
        <v>817.1</v>
      </c>
      <c r="G286" s="4" t="s">
        <v>42</v>
      </c>
      <c r="H286" s="4" t="s">
        <v>43</v>
      </c>
      <c r="I286" s="4"/>
      <c r="J286" s="4"/>
      <c r="K286" s="4">
        <v>225</v>
      </c>
      <c r="L286" s="4">
        <v>4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817.1</v>
      </c>
      <c r="X286" s="4">
        <v>1</v>
      </c>
      <c r="Y286" s="4">
        <v>817.1</v>
      </c>
      <c r="Z286" s="4"/>
      <c r="AA286" s="4"/>
      <c r="AB286" s="4"/>
    </row>
    <row r="287" spans="1:206" x14ac:dyDescent="0.2">
      <c r="A287" s="4">
        <v>50</v>
      </c>
      <c r="B287" s="4">
        <v>0</v>
      </c>
      <c r="C287" s="4">
        <v>0</v>
      </c>
      <c r="D287" s="4">
        <v>1</v>
      </c>
      <c r="E287" s="4">
        <v>226</v>
      </c>
      <c r="F287" s="4">
        <f>ROUND(Source!AW281,O287)</f>
        <v>817.1</v>
      </c>
      <c r="G287" s="4" t="s">
        <v>44</v>
      </c>
      <c r="H287" s="4" t="s">
        <v>45</v>
      </c>
      <c r="I287" s="4"/>
      <c r="J287" s="4"/>
      <c r="K287" s="4">
        <v>226</v>
      </c>
      <c r="L287" s="4">
        <v>5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817.1</v>
      </c>
      <c r="X287" s="4">
        <v>1</v>
      </c>
      <c r="Y287" s="4">
        <v>817.1</v>
      </c>
      <c r="Z287" s="4"/>
      <c r="AA287" s="4"/>
      <c r="AB287" s="4"/>
    </row>
    <row r="288" spans="1:206" x14ac:dyDescent="0.2">
      <c r="A288" s="4">
        <v>50</v>
      </c>
      <c r="B288" s="4">
        <v>0</v>
      </c>
      <c r="C288" s="4">
        <v>0</v>
      </c>
      <c r="D288" s="4">
        <v>1</v>
      </c>
      <c r="E288" s="4">
        <v>227</v>
      </c>
      <c r="F288" s="4">
        <f>ROUND(Source!AX281,O288)</f>
        <v>0</v>
      </c>
      <c r="G288" s="4" t="s">
        <v>46</v>
      </c>
      <c r="H288" s="4" t="s">
        <v>47</v>
      </c>
      <c r="I288" s="4"/>
      <c r="J288" s="4"/>
      <c r="K288" s="4">
        <v>227</v>
      </c>
      <c r="L288" s="4">
        <v>6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228</v>
      </c>
      <c r="F289" s="4">
        <f>ROUND(Source!AY281,O289)</f>
        <v>817.1</v>
      </c>
      <c r="G289" s="4" t="s">
        <v>48</v>
      </c>
      <c r="H289" s="4" t="s">
        <v>49</v>
      </c>
      <c r="I289" s="4"/>
      <c r="J289" s="4"/>
      <c r="K289" s="4">
        <v>228</v>
      </c>
      <c r="L289" s="4">
        <v>7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817.1</v>
      </c>
      <c r="X289" s="4">
        <v>1</v>
      </c>
      <c r="Y289" s="4">
        <v>817.1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216</v>
      </c>
      <c r="F290" s="4">
        <f>ROUND(Source!AP281,O290)</f>
        <v>0</v>
      </c>
      <c r="G290" s="4" t="s">
        <v>50</v>
      </c>
      <c r="H290" s="4" t="s">
        <v>51</v>
      </c>
      <c r="I290" s="4"/>
      <c r="J290" s="4"/>
      <c r="K290" s="4">
        <v>216</v>
      </c>
      <c r="L290" s="4">
        <v>8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223</v>
      </c>
      <c r="F291" s="4">
        <f>ROUND(Source!AQ281,O291)</f>
        <v>0</v>
      </c>
      <c r="G291" s="4" t="s">
        <v>52</v>
      </c>
      <c r="H291" s="4" t="s">
        <v>53</v>
      </c>
      <c r="I291" s="4"/>
      <c r="J291" s="4"/>
      <c r="K291" s="4">
        <v>223</v>
      </c>
      <c r="L291" s="4">
        <v>9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229</v>
      </c>
      <c r="F292" s="4">
        <f>ROUND(Source!AZ281,O292)</f>
        <v>0</v>
      </c>
      <c r="G292" s="4" t="s">
        <v>54</v>
      </c>
      <c r="H292" s="4" t="s">
        <v>55</v>
      </c>
      <c r="I292" s="4"/>
      <c r="J292" s="4"/>
      <c r="K292" s="4">
        <v>229</v>
      </c>
      <c r="L292" s="4">
        <v>10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203</v>
      </c>
      <c r="F293" s="4">
        <f>ROUND(Source!Q281,O293)</f>
        <v>11145.48</v>
      </c>
      <c r="G293" s="4" t="s">
        <v>56</v>
      </c>
      <c r="H293" s="4" t="s">
        <v>57</v>
      </c>
      <c r="I293" s="4"/>
      <c r="J293" s="4"/>
      <c r="K293" s="4">
        <v>203</v>
      </c>
      <c r="L293" s="4">
        <v>11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11145.48</v>
      </c>
      <c r="X293" s="4">
        <v>1</v>
      </c>
      <c r="Y293" s="4">
        <v>11145.48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231</v>
      </c>
      <c r="F294" s="4">
        <f>ROUND(Source!BB281,O294)</f>
        <v>0</v>
      </c>
      <c r="G294" s="4" t="s">
        <v>58</v>
      </c>
      <c r="H294" s="4" t="s">
        <v>59</v>
      </c>
      <c r="I294" s="4"/>
      <c r="J294" s="4"/>
      <c r="K294" s="4">
        <v>231</v>
      </c>
      <c r="L294" s="4">
        <v>12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204</v>
      </c>
      <c r="F295" s="4">
        <f>ROUND(Source!R281,O295)</f>
        <v>7054.24</v>
      </c>
      <c r="G295" s="4" t="s">
        <v>60</v>
      </c>
      <c r="H295" s="4" t="s">
        <v>61</v>
      </c>
      <c r="I295" s="4"/>
      <c r="J295" s="4"/>
      <c r="K295" s="4">
        <v>204</v>
      </c>
      <c r="L295" s="4">
        <v>13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7054.24</v>
      </c>
      <c r="X295" s="4">
        <v>1</v>
      </c>
      <c r="Y295" s="4">
        <v>7054.24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205</v>
      </c>
      <c r="F296" s="4">
        <f>ROUND(Source!S281,O296)</f>
        <v>65347.16</v>
      </c>
      <c r="G296" s="4" t="s">
        <v>62</v>
      </c>
      <c r="H296" s="4" t="s">
        <v>63</v>
      </c>
      <c r="I296" s="4"/>
      <c r="J296" s="4"/>
      <c r="K296" s="4">
        <v>205</v>
      </c>
      <c r="L296" s="4">
        <v>14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65347.16</v>
      </c>
      <c r="X296" s="4">
        <v>1</v>
      </c>
      <c r="Y296" s="4">
        <v>65347.16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232</v>
      </c>
      <c r="F297" s="4">
        <f>ROUND(Source!BC281,O297)</f>
        <v>0</v>
      </c>
      <c r="G297" s="4" t="s">
        <v>64</v>
      </c>
      <c r="H297" s="4" t="s">
        <v>65</v>
      </c>
      <c r="I297" s="4"/>
      <c r="J297" s="4"/>
      <c r="K297" s="4">
        <v>232</v>
      </c>
      <c r="L297" s="4">
        <v>15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214</v>
      </c>
      <c r="F298" s="4">
        <f>ROUND(Source!AS281,O298)</f>
        <v>0</v>
      </c>
      <c r="G298" s="4" t="s">
        <v>66</v>
      </c>
      <c r="H298" s="4" t="s">
        <v>67</v>
      </c>
      <c r="I298" s="4"/>
      <c r="J298" s="4"/>
      <c r="K298" s="4">
        <v>214</v>
      </c>
      <c r="L298" s="4">
        <v>16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215</v>
      </c>
      <c r="F299" s="4">
        <f>ROUND(Source!AT281,O299)</f>
        <v>0</v>
      </c>
      <c r="G299" s="4" t="s">
        <v>68</v>
      </c>
      <c r="H299" s="4" t="s">
        <v>69</v>
      </c>
      <c r="I299" s="4"/>
      <c r="J299" s="4"/>
      <c r="K299" s="4">
        <v>215</v>
      </c>
      <c r="L299" s="4">
        <v>17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217</v>
      </c>
      <c r="F300" s="4">
        <f>ROUND(Source!AU281,O300)</f>
        <v>137206.04999999999</v>
      </c>
      <c r="G300" s="4" t="s">
        <v>70</v>
      </c>
      <c r="H300" s="4" t="s">
        <v>71</v>
      </c>
      <c r="I300" s="4"/>
      <c r="J300" s="4"/>
      <c r="K300" s="4">
        <v>217</v>
      </c>
      <c r="L300" s="4">
        <v>18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137206.04999999999</v>
      </c>
      <c r="X300" s="4">
        <v>1</v>
      </c>
      <c r="Y300" s="4">
        <v>137206.04999999999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230</v>
      </c>
      <c r="F301" s="4">
        <f>ROUND(Source!BA281,O301)</f>
        <v>0</v>
      </c>
      <c r="G301" s="4" t="s">
        <v>72</v>
      </c>
      <c r="H301" s="4" t="s">
        <v>73</v>
      </c>
      <c r="I301" s="4"/>
      <c r="J301" s="4"/>
      <c r="K301" s="4">
        <v>230</v>
      </c>
      <c r="L301" s="4">
        <v>19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206</v>
      </c>
      <c r="F302" s="4">
        <f>ROUND(Source!T281,O302)</f>
        <v>0</v>
      </c>
      <c r="G302" s="4" t="s">
        <v>74</v>
      </c>
      <c r="H302" s="4" t="s">
        <v>75</v>
      </c>
      <c r="I302" s="4"/>
      <c r="J302" s="4"/>
      <c r="K302" s="4">
        <v>206</v>
      </c>
      <c r="L302" s="4">
        <v>20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207</v>
      </c>
      <c r="F303" s="4">
        <f>Source!U281</f>
        <v>110.85979999999998</v>
      </c>
      <c r="G303" s="4" t="s">
        <v>76</v>
      </c>
      <c r="H303" s="4" t="s">
        <v>77</v>
      </c>
      <c r="I303" s="4"/>
      <c r="J303" s="4"/>
      <c r="K303" s="4">
        <v>207</v>
      </c>
      <c r="L303" s="4">
        <v>21</v>
      </c>
      <c r="M303" s="4">
        <v>3</v>
      </c>
      <c r="N303" s="4" t="s">
        <v>3</v>
      </c>
      <c r="O303" s="4">
        <v>-1</v>
      </c>
      <c r="P303" s="4"/>
      <c r="Q303" s="4"/>
      <c r="R303" s="4"/>
      <c r="S303" s="4"/>
      <c r="T303" s="4"/>
      <c r="U303" s="4"/>
      <c r="V303" s="4"/>
      <c r="W303" s="4">
        <v>110.85979999999996</v>
      </c>
      <c r="X303" s="4">
        <v>1</v>
      </c>
      <c r="Y303" s="4">
        <v>110.85979999999996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208</v>
      </c>
      <c r="F304" s="4">
        <f>Source!V281</f>
        <v>0</v>
      </c>
      <c r="G304" s="4" t="s">
        <v>78</v>
      </c>
      <c r="H304" s="4" t="s">
        <v>79</v>
      </c>
      <c r="I304" s="4"/>
      <c r="J304" s="4"/>
      <c r="K304" s="4">
        <v>208</v>
      </c>
      <c r="L304" s="4">
        <v>22</v>
      </c>
      <c r="M304" s="4">
        <v>3</v>
      </c>
      <c r="N304" s="4" t="s">
        <v>3</v>
      </c>
      <c r="O304" s="4">
        <v>-1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45" x14ac:dyDescent="0.2">
      <c r="A305" s="4">
        <v>50</v>
      </c>
      <c r="B305" s="4">
        <v>0</v>
      </c>
      <c r="C305" s="4">
        <v>0</v>
      </c>
      <c r="D305" s="4">
        <v>1</v>
      </c>
      <c r="E305" s="4">
        <v>209</v>
      </c>
      <c r="F305" s="4">
        <f>ROUND(Source!W281,O305)</f>
        <v>0</v>
      </c>
      <c r="G305" s="4" t="s">
        <v>80</v>
      </c>
      <c r="H305" s="4" t="s">
        <v>81</v>
      </c>
      <c r="I305" s="4"/>
      <c r="J305" s="4"/>
      <c r="K305" s="4">
        <v>209</v>
      </c>
      <c r="L305" s="4">
        <v>23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45" x14ac:dyDescent="0.2">
      <c r="A306" s="4">
        <v>50</v>
      </c>
      <c r="B306" s="4">
        <v>0</v>
      </c>
      <c r="C306" s="4">
        <v>0</v>
      </c>
      <c r="D306" s="4">
        <v>1</v>
      </c>
      <c r="E306" s="4">
        <v>233</v>
      </c>
      <c r="F306" s="4">
        <f>ROUND(Source!BD281,O306)</f>
        <v>0</v>
      </c>
      <c r="G306" s="4" t="s">
        <v>82</v>
      </c>
      <c r="H306" s="4" t="s">
        <v>83</v>
      </c>
      <c r="I306" s="4"/>
      <c r="J306" s="4"/>
      <c r="K306" s="4">
        <v>233</v>
      </c>
      <c r="L306" s="4">
        <v>24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0</v>
      </c>
      <c r="X306" s="4">
        <v>1</v>
      </c>
      <c r="Y306" s="4">
        <v>0</v>
      </c>
      <c r="Z306" s="4"/>
      <c r="AA306" s="4"/>
      <c r="AB306" s="4"/>
    </row>
    <row r="307" spans="1:245" x14ac:dyDescent="0.2">
      <c r="A307" s="4">
        <v>50</v>
      </c>
      <c r="B307" s="4">
        <v>0</v>
      </c>
      <c r="C307" s="4">
        <v>0</v>
      </c>
      <c r="D307" s="4">
        <v>1</v>
      </c>
      <c r="E307" s="4">
        <v>210</v>
      </c>
      <c r="F307" s="4">
        <f>ROUND(Source!X281,O307)</f>
        <v>45743.02</v>
      </c>
      <c r="G307" s="4" t="s">
        <v>84</v>
      </c>
      <c r="H307" s="4" t="s">
        <v>85</v>
      </c>
      <c r="I307" s="4"/>
      <c r="J307" s="4"/>
      <c r="K307" s="4">
        <v>210</v>
      </c>
      <c r="L307" s="4">
        <v>25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45743.02</v>
      </c>
      <c r="X307" s="4">
        <v>1</v>
      </c>
      <c r="Y307" s="4">
        <v>45743.02</v>
      </c>
      <c r="Z307" s="4"/>
      <c r="AA307" s="4"/>
      <c r="AB307" s="4"/>
    </row>
    <row r="308" spans="1:245" x14ac:dyDescent="0.2">
      <c r="A308" s="4">
        <v>50</v>
      </c>
      <c r="B308" s="4">
        <v>0</v>
      </c>
      <c r="C308" s="4">
        <v>0</v>
      </c>
      <c r="D308" s="4">
        <v>1</v>
      </c>
      <c r="E308" s="4">
        <v>211</v>
      </c>
      <c r="F308" s="4">
        <f>ROUND(Source!Y281,O308)</f>
        <v>6534.72</v>
      </c>
      <c r="G308" s="4" t="s">
        <v>86</v>
      </c>
      <c r="H308" s="4" t="s">
        <v>87</v>
      </c>
      <c r="I308" s="4"/>
      <c r="J308" s="4"/>
      <c r="K308" s="4">
        <v>211</v>
      </c>
      <c r="L308" s="4">
        <v>26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6534.72</v>
      </c>
      <c r="X308" s="4">
        <v>1</v>
      </c>
      <c r="Y308" s="4">
        <v>6534.72</v>
      </c>
      <c r="Z308" s="4"/>
      <c r="AA308" s="4"/>
      <c r="AB308" s="4"/>
    </row>
    <row r="309" spans="1:245" x14ac:dyDescent="0.2">
      <c r="A309" s="4">
        <v>50</v>
      </c>
      <c r="B309" s="4">
        <v>0</v>
      </c>
      <c r="C309" s="4">
        <v>0</v>
      </c>
      <c r="D309" s="4">
        <v>1</v>
      </c>
      <c r="E309" s="4">
        <v>224</v>
      </c>
      <c r="F309" s="4">
        <f>ROUND(Source!AR281,O309)</f>
        <v>137206.04999999999</v>
      </c>
      <c r="G309" s="4" t="s">
        <v>88</v>
      </c>
      <c r="H309" s="4" t="s">
        <v>89</v>
      </c>
      <c r="I309" s="4"/>
      <c r="J309" s="4"/>
      <c r="K309" s="4">
        <v>224</v>
      </c>
      <c r="L309" s="4">
        <v>27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137206.04999999999</v>
      </c>
      <c r="X309" s="4">
        <v>1</v>
      </c>
      <c r="Y309" s="4">
        <v>137206.04999999999</v>
      </c>
      <c r="Z309" s="4"/>
      <c r="AA309" s="4"/>
      <c r="AB309" s="4"/>
    </row>
    <row r="311" spans="1:245" x14ac:dyDescent="0.2">
      <c r="A311" s="1">
        <v>4</v>
      </c>
      <c r="B311" s="1">
        <v>1</v>
      </c>
      <c r="C311" s="1"/>
      <c r="D311" s="1">
        <f>ROW(A475)</f>
        <v>475</v>
      </c>
      <c r="E311" s="1"/>
      <c r="F311" s="1" t="s">
        <v>13</v>
      </c>
      <c r="G311" s="1" t="s">
        <v>193</v>
      </c>
      <c r="H311" s="1" t="s">
        <v>3</v>
      </c>
      <c r="I311" s="1">
        <v>0</v>
      </c>
      <c r="J311" s="1"/>
      <c r="K311" s="1">
        <v>-1</v>
      </c>
      <c r="L311" s="1"/>
      <c r="M311" s="1" t="s">
        <v>3</v>
      </c>
      <c r="N311" s="1"/>
      <c r="O311" s="1"/>
      <c r="P311" s="1"/>
      <c r="Q311" s="1"/>
      <c r="R311" s="1"/>
      <c r="S311" s="1">
        <v>0</v>
      </c>
      <c r="T311" s="1"/>
      <c r="U311" s="1" t="s">
        <v>3</v>
      </c>
      <c r="V311" s="1">
        <v>0</v>
      </c>
      <c r="W311" s="1"/>
      <c r="X311" s="1"/>
      <c r="Y311" s="1"/>
      <c r="Z311" s="1"/>
      <c r="AA311" s="1"/>
      <c r="AB311" s="1" t="s">
        <v>3</v>
      </c>
      <c r="AC311" s="1" t="s">
        <v>3</v>
      </c>
      <c r="AD311" s="1" t="s">
        <v>3</v>
      </c>
      <c r="AE311" s="1" t="s">
        <v>3</v>
      </c>
      <c r="AF311" s="1" t="s">
        <v>3</v>
      </c>
      <c r="AG311" s="1" t="s">
        <v>3</v>
      </c>
      <c r="AH311" s="1"/>
      <c r="AI311" s="1"/>
      <c r="AJ311" s="1"/>
      <c r="AK311" s="1"/>
      <c r="AL311" s="1"/>
      <c r="AM311" s="1"/>
      <c r="AN311" s="1"/>
      <c r="AO311" s="1"/>
      <c r="AP311" s="1" t="s">
        <v>3</v>
      </c>
      <c r="AQ311" s="1" t="s">
        <v>3</v>
      </c>
      <c r="AR311" s="1" t="s">
        <v>3</v>
      </c>
      <c r="AS311" s="1"/>
      <c r="AT311" s="1"/>
      <c r="AU311" s="1"/>
      <c r="AV311" s="1"/>
      <c r="AW311" s="1"/>
      <c r="AX311" s="1"/>
      <c r="AY311" s="1"/>
      <c r="AZ311" s="1" t="s">
        <v>3</v>
      </c>
      <c r="BA311" s="1"/>
      <c r="BB311" s="1" t="s">
        <v>3</v>
      </c>
      <c r="BC311" s="1" t="s">
        <v>3</v>
      </c>
      <c r="BD311" s="1" t="s">
        <v>3</v>
      </c>
      <c r="BE311" s="1" t="s">
        <v>3</v>
      </c>
      <c r="BF311" s="1" t="s">
        <v>3</v>
      </c>
      <c r="BG311" s="1" t="s">
        <v>3</v>
      </c>
      <c r="BH311" s="1" t="s">
        <v>3</v>
      </c>
      <c r="BI311" s="1" t="s">
        <v>3</v>
      </c>
      <c r="BJ311" s="1" t="s">
        <v>3</v>
      </c>
      <c r="BK311" s="1" t="s">
        <v>3</v>
      </c>
      <c r="BL311" s="1" t="s">
        <v>3</v>
      </c>
      <c r="BM311" s="1" t="s">
        <v>3</v>
      </c>
      <c r="BN311" s="1" t="s">
        <v>3</v>
      </c>
      <c r="BO311" s="1" t="s">
        <v>3</v>
      </c>
      <c r="BP311" s="1" t="s">
        <v>3</v>
      </c>
      <c r="BQ311" s="1"/>
      <c r="BR311" s="1"/>
      <c r="BS311" s="1"/>
      <c r="BT311" s="1"/>
      <c r="BU311" s="1"/>
      <c r="BV311" s="1"/>
      <c r="BW311" s="1"/>
      <c r="BX311" s="1">
        <v>0</v>
      </c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>
        <v>0</v>
      </c>
    </row>
    <row r="313" spans="1:245" x14ac:dyDescent="0.2">
      <c r="A313" s="2">
        <v>52</v>
      </c>
      <c r="B313" s="2">
        <f t="shared" ref="B313:G313" si="227">B475</f>
        <v>1</v>
      </c>
      <c r="C313" s="2">
        <f t="shared" si="227"/>
        <v>4</v>
      </c>
      <c r="D313" s="2">
        <f t="shared" si="227"/>
        <v>311</v>
      </c>
      <c r="E313" s="2">
        <f t="shared" si="227"/>
        <v>0</v>
      </c>
      <c r="F313" s="2" t="str">
        <f t="shared" si="227"/>
        <v>Новый раздел</v>
      </c>
      <c r="G313" s="2" t="str">
        <f t="shared" si="227"/>
        <v>2. Внутренние сети отопления</v>
      </c>
      <c r="H313" s="2"/>
      <c r="I313" s="2"/>
      <c r="J313" s="2"/>
      <c r="K313" s="2"/>
      <c r="L313" s="2"/>
      <c r="M313" s="2"/>
      <c r="N313" s="2"/>
      <c r="O313" s="2">
        <f t="shared" ref="O313:AT313" si="228">O475</f>
        <v>210206.83</v>
      </c>
      <c r="P313" s="2">
        <f t="shared" si="228"/>
        <v>3703.6</v>
      </c>
      <c r="Q313" s="2">
        <f t="shared" si="228"/>
        <v>15848.26</v>
      </c>
      <c r="R313" s="2">
        <f t="shared" si="228"/>
        <v>10027.77</v>
      </c>
      <c r="S313" s="2">
        <f t="shared" si="228"/>
        <v>190654.97</v>
      </c>
      <c r="T313" s="2">
        <f t="shared" si="228"/>
        <v>0</v>
      </c>
      <c r="U313" s="2">
        <f t="shared" si="228"/>
        <v>302.91843999999998</v>
      </c>
      <c r="V313" s="2">
        <f t="shared" si="228"/>
        <v>0</v>
      </c>
      <c r="W313" s="2">
        <f t="shared" si="228"/>
        <v>0</v>
      </c>
      <c r="X313" s="2">
        <f t="shared" si="228"/>
        <v>133458.53</v>
      </c>
      <c r="Y313" s="2">
        <f t="shared" si="228"/>
        <v>19065.52</v>
      </c>
      <c r="Z313" s="2">
        <f t="shared" si="228"/>
        <v>0</v>
      </c>
      <c r="AA313" s="2">
        <f t="shared" si="228"/>
        <v>0</v>
      </c>
      <c r="AB313" s="2">
        <f t="shared" si="228"/>
        <v>0</v>
      </c>
      <c r="AC313" s="2">
        <f t="shared" si="228"/>
        <v>0</v>
      </c>
      <c r="AD313" s="2">
        <f t="shared" si="228"/>
        <v>0</v>
      </c>
      <c r="AE313" s="2">
        <f t="shared" si="228"/>
        <v>0</v>
      </c>
      <c r="AF313" s="2">
        <f t="shared" si="228"/>
        <v>0</v>
      </c>
      <c r="AG313" s="2">
        <f t="shared" si="228"/>
        <v>0</v>
      </c>
      <c r="AH313" s="2">
        <f t="shared" si="228"/>
        <v>0</v>
      </c>
      <c r="AI313" s="2">
        <f t="shared" si="228"/>
        <v>0</v>
      </c>
      <c r="AJ313" s="2">
        <f t="shared" si="228"/>
        <v>0</v>
      </c>
      <c r="AK313" s="2">
        <f t="shared" si="228"/>
        <v>0</v>
      </c>
      <c r="AL313" s="2">
        <f t="shared" si="228"/>
        <v>0</v>
      </c>
      <c r="AM313" s="2">
        <f t="shared" si="228"/>
        <v>0</v>
      </c>
      <c r="AN313" s="2">
        <f t="shared" si="228"/>
        <v>0</v>
      </c>
      <c r="AO313" s="2">
        <f t="shared" si="228"/>
        <v>0</v>
      </c>
      <c r="AP313" s="2">
        <f t="shared" si="228"/>
        <v>0</v>
      </c>
      <c r="AQ313" s="2">
        <f t="shared" si="228"/>
        <v>0</v>
      </c>
      <c r="AR313" s="2">
        <f t="shared" si="228"/>
        <v>373560.86</v>
      </c>
      <c r="AS313" s="2">
        <f t="shared" si="228"/>
        <v>0</v>
      </c>
      <c r="AT313" s="2">
        <f t="shared" si="228"/>
        <v>0</v>
      </c>
      <c r="AU313" s="2">
        <f t="shared" ref="AU313:BZ313" si="229">AU475</f>
        <v>373560.86</v>
      </c>
      <c r="AV313" s="2">
        <f t="shared" si="229"/>
        <v>3703.6</v>
      </c>
      <c r="AW313" s="2">
        <f t="shared" si="229"/>
        <v>3703.6</v>
      </c>
      <c r="AX313" s="2">
        <f t="shared" si="229"/>
        <v>0</v>
      </c>
      <c r="AY313" s="2">
        <f t="shared" si="229"/>
        <v>3703.6</v>
      </c>
      <c r="AZ313" s="2">
        <f t="shared" si="229"/>
        <v>0</v>
      </c>
      <c r="BA313" s="2">
        <f t="shared" si="229"/>
        <v>0</v>
      </c>
      <c r="BB313" s="2">
        <f t="shared" si="229"/>
        <v>0</v>
      </c>
      <c r="BC313" s="2">
        <f t="shared" si="229"/>
        <v>0</v>
      </c>
      <c r="BD313" s="2">
        <f t="shared" si="229"/>
        <v>0</v>
      </c>
      <c r="BE313" s="2">
        <f t="shared" si="229"/>
        <v>0</v>
      </c>
      <c r="BF313" s="2">
        <f t="shared" si="229"/>
        <v>0</v>
      </c>
      <c r="BG313" s="2">
        <f t="shared" si="229"/>
        <v>0</v>
      </c>
      <c r="BH313" s="2">
        <f t="shared" si="229"/>
        <v>0</v>
      </c>
      <c r="BI313" s="2">
        <f t="shared" si="229"/>
        <v>0</v>
      </c>
      <c r="BJ313" s="2">
        <f t="shared" si="229"/>
        <v>0</v>
      </c>
      <c r="BK313" s="2">
        <f t="shared" si="229"/>
        <v>0</v>
      </c>
      <c r="BL313" s="2">
        <f t="shared" si="229"/>
        <v>0</v>
      </c>
      <c r="BM313" s="2">
        <f t="shared" si="229"/>
        <v>0</v>
      </c>
      <c r="BN313" s="2">
        <f t="shared" si="229"/>
        <v>0</v>
      </c>
      <c r="BO313" s="2">
        <f t="shared" si="229"/>
        <v>0</v>
      </c>
      <c r="BP313" s="2">
        <f t="shared" si="229"/>
        <v>0</v>
      </c>
      <c r="BQ313" s="2">
        <f t="shared" si="229"/>
        <v>0</v>
      </c>
      <c r="BR313" s="2">
        <f t="shared" si="229"/>
        <v>0</v>
      </c>
      <c r="BS313" s="2">
        <f t="shared" si="229"/>
        <v>0</v>
      </c>
      <c r="BT313" s="2">
        <f t="shared" si="229"/>
        <v>0</v>
      </c>
      <c r="BU313" s="2">
        <f t="shared" si="229"/>
        <v>0</v>
      </c>
      <c r="BV313" s="2">
        <f t="shared" si="229"/>
        <v>0</v>
      </c>
      <c r="BW313" s="2">
        <f t="shared" si="229"/>
        <v>0</v>
      </c>
      <c r="BX313" s="2">
        <f t="shared" si="229"/>
        <v>0</v>
      </c>
      <c r="BY313" s="2">
        <f t="shared" si="229"/>
        <v>0</v>
      </c>
      <c r="BZ313" s="2">
        <f t="shared" si="229"/>
        <v>0</v>
      </c>
      <c r="CA313" s="2">
        <f t="shared" ref="CA313:DF313" si="230">CA475</f>
        <v>0</v>
      </c>
      <c r="CB313" s="2">
        <f t="shared" si="230"/>
        <v>0</v>
      </c>
      <c r="CC313" s="2">
        <f t="shared" si="230"/>
        <v>0</v>
      </c>
      <c r="CD313" s="2">
        <f t="shared" si="230"/>
        <v>0</v>
      </c>
      <c r="CE313" s="2">
        <f t="shared" si="230"/>
        <v>0</v>
      </c>
      <c r="CF313" s="2">
        <f t="shared" si="230"/>
        <v>0</v>
      </c>
      <c r="CG313" s="2">
        <f t="shared" si="230"/>
        <v>0</v>
      </c>
      <c r="CH313" s="2">
        <f t="shared" si="230"/>
        <v>0</v>
      </c>
      <c r="CI313" s="2">
        <f t="shared" si="230"/>
        <v>0</v>
      </c>
      <c r="CJ313" s="2">
        <f t="shared" si="230"/>
        <v>0</v>
      </c>
      <c r="CK313" s="2">
        <f t="shared" si="230"/>
        <v>0</v>
      </c>
      <c r="CL313" s="2">
        <f t="shared" si="230"/>
        <v>0</v>
      </c>
      <c r="CM313" s="2">
        <f t="shared" si="230"/>
        <v>0</v>
      </c>
      <c r="CN313" s="2">
        <f t="shared" si="230"/>
        <v>0</v>
      </c>
      <c r="CO313" s="2">
        <f t="shared" si="230"/>
        <v>0</v>
      </c>
      <c r="CP313" s="2">
        <f t="shared" si="230"/>
        <v>0</v>
      </c>
      <c r="CQ313" s="2">
        <f t="shared" si="230"/>
        <v>0</v>
      </c>
      <c r="CR313" s="2">
        <f t="shared" si="230"/>
        <v>0</v>
      </c>
      <c r="CS313" s="2">
        <f t="shared" si="230"/>
        <v>0</v>
      </c>
      <c r="CT313" s="2">
        <f t="shared" si="230"/>
        <v>0</v>
      </c>
      <c r="CU313" s="2">
        <f t="shared" si="230"/>
        <v>0</v>
      </c>
      <c r="CV313" s="2">
        <f t="shared" si="230"/>
        <v>0</v>
      </c>
      <c r="CW313" s="2">
        <f t="shared" si="230"/>
        <v>0</v>
      </c>
      <c r="CX313" s="2">
        <f t="shared" si="230"/>
        <v>0</v>
      </c>
      <c r="CY313" s="2">
        <f t="shared" si="230"/>
        <v>0</v>
      </c>
      <c r="CZ313" s="2">
        <f t="shared" si="230"/>
        <v>0</v>
      </c>
      <c r="DA313" s="2">
        <f t="shared" si="230"/>
        <v>0</v>
      </c>
      <c r="DB313" s="2">
        <f t="shared" si="230"/>
        <v>0</v>
      </c>
      <c r="DC313" s="2">
        <f t="shared" si="230"/>
        <v>0</v>
      </c>
      <c r="DD313" s="2">
        <f t="shared" si="230"/>
        <v>0</v>
      </c>
      <c r="DE313" s="2">
        <f t="shared" si="230"/>
        <v>0</v>
      </c>
      <c r="DF313" s="2">
        <f t="shared" si="230"/>
        <v>0</v>
      </c>
      <c r="DG313" s="3">
        <f t="shared" ref="DG313:EL313" si="231">DG475</f>
        <v>0</v>
      </c>
      <c r="DH313" s="3">
        <f t="shared" si="231"/>
        <v>0</v>
      </c>
      <c r="DI313" s="3">
        <f t="shared" si="231"/>
        <v>0</v>
      </c>
      <c r="DJ313" s="3">
        <f t="shared" si="231"/>
        <v>0</v>
      </c>
      <c r="DK313" s="3">
        <f t="shared" si="231"/>
        <v>0</v>
      </c>
      <c r="DL313" s="3">
        <f t="shared" si="231"/>
        <v>0</v>
      </c>
      <c r="DM313" s="3">
        <f t="shared" si="231"/>
        <v>0</v>
      </c>
      <c r="DN313" s="3">
        <f t="shared" si="231"/>
        <v>0</v>
      </c>
      <c r="DO313" s="3">
        <f t="shared" si="231"/>
        <v>0</v>
      </c>
      <c r="DP313" s="3">
        <f t="shared" si="231"/>
        <v>0</v>
      </c>
      <c r="DQ313" s="3">
        <f t="shared" si="231"/>
        <v>0</v>
      </c>
      <c r="DR313" s="3">
        <f t="shared" si="231"/>
        <v>0</v>
      </c>
      <c r="DS313" s="3">
        <f t="shared" si="231"/>
        <v>0</v>
      </c>
      <c r="DT313" s="3">
        <f t="shared" si="231"/>
        <v>0</v>
      </c>
      <c r="DU313" s="3">
        <f t="shared" si="231"/>
        <v>0</v>
      </c>
      <c r="DV313" s="3">
        <f t="shared" si="231"/>
        <v>0</v>
      </c>
      <c r="DW313" s="3">
        <f t="shared" si="231"/>
        <v>0</v>
      </c>
      <c r="DX313" s="3">
        <f t="shared" si="231"/>
        <v>0</v>
      </c>
      <c r="DY313" s="3">
        <f t="shared" si="231"/>
        <v>0</v>
      </c>
      <c r="DZ313" s="3">
        <f t="shared" si="231"/>
        <v>0</v>
      </c>
      <c r="EA313" s="3">
        <f t="shared" si="231"/>
        <v>0</v>
      </c>
      <c r="EB313" s="3">
        <f t="shared" si="231"/>
        <v>0</v>
      </c>
      <c r="EC313" s="3">
        <f t="shared" si="231"/>
        <v>0</v>
      </c>
      <c r="ED313" s="3">
        <f t="shared" si="231"/>
        <v>0</v>
      </c>
      <c r="EE313" s="3">
        <f t="shared" si="231"/>
        <v>0</v>
      </c>
      <c r="EF313" s="3">
        <f t="shared" si="231"/>
        <v>0</v>
      </c>
      <c r="EG313" s="3">
        <f t="shared" si="231"/>
        <v>0</v>
      </c>
      <c r="EH313" s="3">
        <f t="shared" si="231"/>
        <v>0</v>
      </c>
      <c r="EI313" s="3">
        <f t="shared" si="231"/>
        <v>0</v>
      </c>
      <c r="EJ313" s="3">
        <f t="shared" si="231"/>
        <v>0</v>
      </c>
      <c r="EK313" s="3">
        <f t="shared" si="231"/>
        <v>0</v>
      </c>
      <c r="EL313" s="3">
        <f t="shared" si="231"/>
        <v>0</v>
      </c>
      <c r="EM313" s="3">
        <f t="shared" ref="EM313:FR313" si="232">EM475</f>
        <v>0</v>
      </c>
      <c r="EN313" s="3">
        <f t="shared" si="232"/>
        <v>0</v>
      </c>
      <c r="EO313" s="3">
        <f t="shared" si="232"/>
        <v>0</v>
      </c>
      <c r="EP313" s="3">
        <f t="shared" si="232"/>
        <v>0</v>
      </c>
      <c r="EQ313" s="3">
        <f t="shared" si="232"/>
        <v>0</v>
      </c>
      <c r="ER313" s="3">
        <f t="shared" si="232"/>
        <v>0</v>
      </c>
      <c r="ES313" s="3">
        <f t="shared" si="232"/>
        <v>0</v>
      </c>
      <c r="ET313" s="3">
        <f t="shared" si="232"/>
        <v>0</v>
      </c>
      <c r="EU313" s="3">
        <f t="shared" si="232"/>
        <v>0</v>
      </c>
      <c r="EV313" s="3">
        <f t="shared" si="232"/>
        <v>0</v>
      </c>
      <c r="EW313" s="3">
        <f t="shared" si="232"/>
        <v>0</v>
      </c>
      <c r="EX313" s="3">
        <f t="shared" si="232"/>
        <v>0</v>
      </c>
      <c r="EY313" s="3">
        <f t="shared" si="232"/>
        <v>0</v>
      </c>
      <c r="EZ313" s="3">
        <f t="shared" si="232"/>
        <v>0</v>
      </c>
      <c r="FA313" s="3">
        <f t="shared" si="232"/>
        <v>0</v>
      </c>
      <c r="FB313" s="3">
        <f t="shared" si="232"/>
        <v>0</v>
      </c>
      <c r="FC313" s="3">
        <f t="shared" si="232"/>
        <v>0</v>
      </c>
      <c r="FD313" s="3">
        <f t="shared" si="232"/>
        <v>0</v>
      </c>
      <c r="FE313" s="3">
        <f t="shared" si="232"/>
        <v>0</v>
      </c>
      <c r="FF313" s="3">
        <f t="shared" si="232"/>
        <v>0</v>
      </c>
      <c r="FG313" s="3">
        <f t="shared" si="232"/>
        <v>0</v>
      </c>
      <c r="FH313" s="3">
        <f t="shared" si="232"/>
        <v>0</v>
      </c>
      <c r="FI313" s="3">
        <f t="shared" si="232"/>
        <v>0</v>
      </c>
      <c r="FJ313" s="3">
        <f t="shared" si="232"/>
        <v>0</v>
      </c>
      <c r="FK313" s="3">
        <f t="shared" si="232"/>
        <v>0</v>
      </c>
      <c r="FL313" s="3">
        <f t="shared" si="232"/>
        <v>0</v>
      </c>
      <c r="FM313" s="3">
        <f t="shared" si="232"/>
        <v>0</v>
      </c>
      <c r="FN313" s="3">
        <f t="shared" si="232"/>
        <v>0</v>
      </c>
      <c r="FO313" s="3">
        <f t="shared" si="232"/>
        <v>0</v>
      </c>
      <c r="FP313" s="3">
        <f t="shared" si="232"/>
        <v>0</v>
      </c>
      <c r="FQ313" s="3">
        <f t="shared" si="232"/>
        <v>0</v>
      </c>
      <c r="FR313" s="3">
        <f t="shared" si="232"/>
        <v>0</v>
      </c>
      <c r="FS313" s="3">
        <f t="shared" ref="FS313:GX313" si="233">FS475</f>
        <v>0</v>
      </c>
      <c r="FT313" s="3">
        <f t="shared" si="233"/>
        <v>0</v>
      </c>
      <c r="FU313" s="3">
        <f t="shared" si="233"/>
        <v>0</v>
      </c>
      <c r="FV313" s="3">
        <f t="shared" si="233"/>
        <v>0</v>
      </c>
      <c r="FW313" s="3">
        <f t="shared" si="233"/>
        <v>0</v>
      </c>
      <c r="FX313" s="3">
        <f t="shared" si="233"/>
        <v>0</v>
      </c>
      <c r="FY313" s="3">
        <f t="shared" si="233"/>
        <v>0</v>
      </c>
      <c r="FZ313" s="3">
        <f t="shared" si="233"/>
        <v>0</v>
      </c>
      <c r="GA313" s="3">
        <f t="shared" si="233"/>
        <v>0</v>
      </c>
      <c r="GB313" s="3">
        <f t="shared" si="233"/>
        <v>0</v>
      </c>
      <c r="GC313" s="3">
        <f t="shared" si="233"/>
        <v>0</v>
      </c>
      <c r="GD313" s="3">
        <f t="shared" si="233"/>
        <v>0</v>
      </c>
      <c r="GE313" s="3">
        <f t="shared" si="233"/>
        <v>0</v>
      </c>
      <c r="GF313" s="3">
        <f t="shared" si="233"/>
        <v>0</v>
      </c>
      <c r="GG313" s="3">
        <f t="shared" si="233"/>
        <v>0</v>
      </c>
      <c r="GH313" s="3">
        <f t="shared" si="233"/>
        <v>0</v>
      </c>
      <c r="GI313" s="3">
        <f t="shared" si="233"/>
        <v>0</v>
      </c>
      <c r="GJ313" s="3">
        <f t="shared" si="233"/>
        <v>0</v>
      </c>
      <c r="GK313" s="3">
        <f t="shared" si="233"/>
        <v>0</v>
      </c>
      <c r="GL313" s="3">
        <f t="shared" si="233"/>
        <v>0</v>
      </c>
      <c r="GM313" s="3">
        <f t="shared" si="233"/>
        <v>0</v>
      </c>
      <c r="GN313" s="3">
        <f t="shared" si="233"/>
        <v>0</v>
      </c>
      <c r="GO313" s="3">
        <f t="shared" si="233"/>
        <v>0</v>
      </c>
      <c r="GP313" s="3">
        <f t="shared" si="233"/>
        <v>0</v>
      </c>
      <c r="GQ313" s="3">
        <f t="shared" si="233"/>
        <v>0</v>
      </c>
      <c r="GR313" s="3">
        <f t="shared" si="233"/>
        <v>0</v>
      </c>
      <c r="GS313" s="3">
        <f t="shared" si="233"/>
        <v>0</v>
      </c>
      <c r="GT313" s="3">
        <f t="shared" si="233"/>
        <v>0</v>
      </c>
      <c r="GU313" s="3">
        <f t="shared" si="233"/>
        <v>0</v>
      </c>
      <c r="GV313" s="3">
        <f t="shared" si="233"/>
        <v>0</v>
      </c>
      <c r="GW313" s="3">
        <f t="shared" si="233"/>
        <v>0</v>
      </c>
      <c r="GX313" s="3">
        <f t="shared" si="233"/>
        <v>0</v>
      </c>
    </row>
    <row r="315" spans="1:245" x14ac:dyDescent="0.2">
      <c r="A315" s="1">
        <v>5</v>
      </c>
      <c r="B315" s="1">
        <v>1</v>
      </c>
      <c r="C315" s="1"/>
      <c r="D315" s="1">
        <f>ROW(A349)</f>
        <v>349</v>
      </c>
      <c r="E315" s="1"/>
      <c r="F315" s="1" t="s">
        <v>15</v>
      </c>
      <c r="G315" s="1" t="s">
        <v>194</v>
      </c>
      <c r="H315" s="1" t="s">
        <v>3</v>
      </c>
      <c r="I315" s="1">
        <v>0</v>
      </c>
      <c r="J315" s="1"/>
      <c r="K315" s="1">
        <v>-1</v>
      </c>
      <c r="L315" s="1"/>
      <c r="M315" s="1" t="s">
        <v>3</v>
      </c>
      <c r="N315" s="1"/>
      <c r="O315" s="1"/>
      <c r="P315" s="1"/>
      <c r="Q315" s="1"/>
      <c r="R315" s="1"/>
      <c r="S315" s="1">
        <v>0</v>
      </c>
      <c r="T315" s="1"/>
      <c r="U315" s="1" t="s">
        <v>3</v>
      </c>
      <c r="V315" s="1">
        <v>0</v>
      </c>
      <c r="W315" s="1"/>
      <c r="X315" s="1"/>
      <c r="Y315" s="1"/>
      <c r="Z315" s="1"/>
      <c r="AA315" s="1"/>
      <c r="AB315" s="1" t="s">
        <v>3</v>
      </c>
      <c r="AC315" s="1" t="s">
        <v>3</v>
      </c>
      <c r="AD315" s="1" t="s">
        <v>3</v>
      </c>
      <c r="AE315" s="1" t="s">
        <v>3</v>
      </c>
      <c r="AF315" s="1" t="s">
        <v>3</v>
      </c>
      <c r="AG315" s="1" t="s">
        <v>3</v>
      </c>
      <c r="AH315" s="1"/>
      <c r="AI315" s="1"/>
      <c r="AJ315" s="1"/>
      <c r="AK315" s="1"/>
      <c r="AL315" s="1"/>
      <c r="AM315" s="1"/>
      <c r="AN315" s="1"/>
      <c r="AO315" s="1"/>
      <c r="AP315" s="1" t="s">
        <v>3</v>
      </c>
      <c r="AQ315" s="1" t="s">
        <v>3</v>
      </c>
      <c r="AR315" s="1" t="s">
        <v>3</v>
      </c>
      <c r="AS315" s="1"/>
      <c r="AT315" s="1"/>
      <c r="AU315" s="1"/>
      <c r="AV315" s="1"/>
      <c r="AW315" s="1"/>
      <c r="AX315" s="1"/>
      <c r="AY315" s="1"/>
      <c r="AZ315" s="1" t="s">
        <v>3</v>
      </c>
      <c r="BA315" s="1"/>
      <c r="BB315" s="1" t="s">
        <v>3</v>
      </c>
      <c r="BC315" s="1" t="s">
        <v>3</v>
      </c>
      <c r="BD315" s="1" t="s">
        <v>3</v>
      </c>
      <c r="BE315" s="1" t="s">
        <v>3</v>
      </c>
      <c r="BF315" s="1" t="s">
        <v>3</v>
      </c>
      <c r="BG315" s="1" t="s">
        <v>3</v>
      </c>
      <c r="BH315" s="1" t="s">
        <v>3</v>
      </c>
      <c r="BI315" s="1" t="s">
        <v>3</v>
      </c>
      <c r="BJ315" s="1" t="s">
        <v>3</v>
      </c>
      <c r="BK315" s="1" t="s">
        <v>3</v>
      </c>
      <c r="BL315" s="1" t="s">
        <v>3</v>
      </c>
      <c r="BM315" s="1" t="s">
        <v>3</v>
      </c>
      <c r="BN315" s="1" t="s">
        <v>3</v>
      </c>
      <c r="BO315" s="1" t="s">
        <v>3</v>
      </c>
      <c r="BP315" s="1" t="s">
        <v>3</v>
      </c>
      <c r="BQ315" s="1"/>
      <c r="BR315" s="1"/>
      <c r="BS315" s="1"/>
      <c r="BT315" s="1"/>
      <c r="BU315" s="1"/>
      <c r="BV315" s="1"/>
      <c r="BW315" s="1"/>
      <c r="BX315" s="1">
        <v>0</v>
      </c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>
        <v>0</v>
      </c>
    </row>
    <row r="317" spans="1:245" x14ac:dyDescent="0.2">
      <c r="A317" s="2">
        <v>52</v>
      </c>
      <c r="B317" s="2">
        <f t="shared" ref="B317:G317" si="234">B349</f>
        <v>1</v>
      </c>
      <c r="C317" s="2">
        <f t="shared" si="234"/>
        <v>5</v>
      </c>
      <c r="D317" s="2">
        <f t="shared" si="234"/>
        <v>315</v>
      </c>
      <c r="E317" s="2">
        <f t="shared" si="234"/>
        <v>0</v>
      </c>
      <c r="F317" s="2" t="str">
        <f t="shared" si="234"/>
        <v>Новый подраздел</v>
      </c>
      <c r="G317" s="2" t="str">
        <f t="shared" si="234"/>
        <v>2.1 Отопление</v>
      </c>
      <c r="H317" s="2"/>
      <c r="I317" s="2"/>
      <c r="J317" s="2"/>
      <c r="K317" s="2"/>
      <c r="L317" s="2"/>
      <c r="M317" s="2"/>
      <c r="N317" s="2"/>
      <c r="O317" s="2">
        <f t="shared" ref="O317:AT317" si="235">O349</f>
        <v>165733.34</v>
      </c>
      <c r="P317" s="2">
        <f t="shared" si="235"/>
        <v>824.55</v>
      </c>
      <c r="Q317" s="2">
        <f t="shared" si="235"/>
        <v>14441.02</v>
      </c>
      <c r="R317" s="2">
        <f t="shared" si="235"/>
        <v>9135.49</v>
      </c>
      <c r="S317" s="2">
        <f t="shared" si="235"/>
        <v>150467.76999999999</v>
      </c>
      <c r="T317" s="2">
        <f t="shared" si="235"/>
        <v>0</v>
      </c>
      <c r="U317" s="2">
        <f t="shared" si="235"/>
        <v>244.28044</v>
      </c>
      <c r="V317" s="2">
        <f t="shared" si="235"/>
        <v>0</v>
      </c>
      <c r="W317" s="2">
        <f t="shared" si="235"/>
        <v>0</v>
      </c>
      <c r="X317" s="2">
        <f t="shared" si="235"/>
        <v>105327.47</v>
      </c>
      <c r="Y317" s="2">
        <f t="shared" si="235"/>
        <v>15046.8</v>
      </c>
      <c r="Z317" s="2">
        <f t="shared" si="235"/>
        <v>0</v>
      </c>
      <c r="AA317" s="2">
        <f t="shared" si="235"/>
        <v>0</v>
      </c>
      <c r="AB317" s="2">
        <f t="shared" si="235"/>
        <v>165733.34</v>
      </c>
      <c r="AC317" s="2">
        <f t="shared" si="235"/>
        <v>824.55</v>
      </c>
      <c r="AD317" s="2">
        <f t="shared" si="235"/>
        <v>14441.02</v>
      </c>
      <c r="AE317" s="2">
        <f t="shared" si="235"/>
        <v>9135.49</v>
      </c>
      <c r="AF317" s="2">
        <f t="shared" si="235"/>
        <v>150467.76999999999</v>
      </c>
      <c r="AG317" s="2">
        <f t="shared" si="235"/>
        <v>0</v>
      </c>
      <c r="AH317" s="2">
        <f t="shared" si="235"/>
        <v>244.28044</v>
      </c>
      <c r="AI317" s="2">
        <f t="shared" si="235"/>
        <v>0</v>
      </c>
      <c r="AJ317" s="2">
        <f t="shared" si="235"/>
        <v>0</v>
      </c>
      <c r="AK317" s="2">
        <f t="shared" si="235"/>
        <v>105327.47</v>
      </c>
      <c r="AL317" s="2">
        <f t="shared" si="235"/>
        <v>15046.8</v>
      </c>
      <c r="AM317" s="2">
        <f t="shared" si="235"/>
        <v>0</v>
      </c>
      <c r="AN317" s="2">
        <f t="shared" si="235"/>
        <v>0</v>
      </c>
      <c r="AO317" s="2">
        <f t="shared" si="235"/>
        <v>0</v>
      </c>
      <c r="AP317" s="2">
        <f t="shared" si="235"/>
        <v>0</v>
      </c>
      <c r="AQ317" s="2">
        <f t="shared" si="235"/>
        <v>0</v>
      </c>
      <c r="AR317" s="2">
        <f t="shared" si="235"/>
        <v>295973.93</v>
      </c>
      <c r="AS317" s="2">
        <f t="shared" si="235"/>
        <v>0</v>
      </c>
      <c r="AT317" s="2">
        <f t="shared" si="235"/>
        <v>0</v>
      </c>
      <c r="AU317" s="2">
        <f t="shared" ref="AU317:BZ317" si="236">AU349</f>
        <v>295973.93</v>
      </c>
      <c r="AV317" s="2">
        <f t="shared" si="236"/>
        <v>824.55</v>
      </c>
      <c r="AW317" s="2">
        <f t="shared" si="236"/>
        <v>824.55</v>
      </c>
      <c r="AX317" s="2">
        <f t="shared" si="236"/>
        <v>0</v>
      </c>
      <c r="AY317" s="2">
        <f t="shared" si="236"/>
        <v>824.55</v>
      </c>
      <c r="AZ317" s="2">
        <f t="shared" si="236"/>
        <v>0</v>
      </c>
      <c r="BA317" s="2">
        <f t="shared" si="236"/>
        <v>0</v>
      </c>
      <c r="BB317" s="2">
        <f t="shared" si="236"/>
        <v>0</v>
      </c>
      <c r="BC317" s="2">
        <f t="shared" si="236"/>
        <v>0</v>
      </c>
      <c r="BD317" s="2">
        <f t="shared" si="236"/>
        <v>0</v>
      </c>
      <c r="BE317" s="2">
        <f t="shared" si="236"/>
        <v>0</v>
      </c>
      <c r="BF317" s="2">
        <f t="shared" si="236"/>
        <v>0</v>
      </c>
      <c r="BG317" s="2">
        <f t="shared" si="236"/>
        <v>0</v>
      </c>
      <c r="BH317" s="2">
        <f t="shared" si="236"/>
        <v>0</v>
      </c>
      <c r="BI317" s="2">
        <f t="shared" si="236"/>
        <v>0</v>
      </c>
      <c r="BJ317" s="2">
        <f t="shared" si="236"/>
        <v>0</v>
      </c>
      <c r="BK317" s="2">
        <f t="shared" si="236"/>
        <v>0</v>
      </c>
      <c r="BL317" s="2">
        <f t="shared" si="236"/>
        <v>0</v>
      </c>
      <c r="BM317" s="2">
        <f t="shared" si="236"/>
        <v>0</v>
      </c>
      <c r="BN317" s="2">
        <f t="shared" si="236"/>
        <v>0</v>
      </c>
      <c r="BO317" s="2">
        <f t="shared" si="236"/>
        <v>0</v>
      </c>
      <c r="BP317" s="2">
        <f t="shared" si="236"/>
        <v>0</v>
      </c>
      <c r="BQ317" s="2">
        <f t="shared" si="236"/>
        <v>0</v>
      </c>
      <c r="BR317" s="2">
        <f t="shared" si="236"/>
        <v>0</v>
      </c>
      <c r="BS317" s="2">
        <f t="shared" si="236"/>
        <v>0</v>
      </c>
      <c r="BT317" s="2">
        <f t="shared" si="236"/>
        <v>0</v>
      </c>
      <c r="BU317" s="2">
        <f t="shared" si="236"/>
        <v>0</v>
      </c>
      <c r="BV317" s="2">
        <f t="shared" si="236"/>
        <v>0</v>
      </c>
      <c r="BW317" s="2">
        <f t="shared" si="236"/>
        <v>0</v>
      </c>
      <c r="BX317" s="2">
        <f t="shared" si="236"/>
        <v>0</v>
      </c>
      <c r="BY317" s="2">
        <f t="shared" si="236"/>
        <v>0</v>
      </c>
      <c r="BZ317" s="2">
        <f t="shared" si="236"/>
        <v>0</v>
      </c>
      <c r="CA317" s="2">
        <f t="shared" ref="CA317:DF317" si="237">CA349</f>
        <v>295973.93</v>
      </c>
      <c r="CB317" s="2">
        <f t="shared" si="237"/>
        <v>0</v>
      </c>
      <c r="CC317" s="2">
        <f t="shared" si="237"/>
        <v>0</v>
      </c>
      <c r="CD317" s="2">
        <f t="shared" si="237"/>
        <v>295973.93</v>
      </c>
      <c r="CE317" s="2">
        <f t="shared" si="237"/>
        <v>824.55</v>
      </c>
      <c r="CF317" s="2">
        <f t="shared" si="237"/>
        <v>824.55</v>
      </c>
      <c r="CG317" s="2">
        <f t="shared" si="237"/>
        <v>0</v>
      </c>
      <c r="CH317" s="2">
        <f t="shared" si="237"/>
        <v>824.55</v>
      </c>
      <c r="CI317" s="2">
        <f t="shared" si="237"/>
        <v>0</v>
      </c>
      <c r="CJ317" s="2">
        <f t="shared" si="237"/>
        <v>0</v>
      </c>
      <c r="CK317" s="2">
        <f t="shared" si="237"/>
        <v>0</v>
      </c>
      <c r="CL317" s="2">
        <f t="shared" si="237"/>
        <v>0</v>
      </c>
      <c r="CM317" s="2">
        <f t="shared" si="237"/>
        <v>0</v>
      </c>
      <c r="CN317" s="2">
        <f t="shared" si="237"/>
        <v>0</v>
      </c>
      <c r="CO317" s="2">
        <f t="shared" si="237"/>
        <v>0</v>
      </c>
      <c r="CP317" s="2">
        <f t="shared" si="237"/>
        <v>0</v>
      </c>
      <c r="CQ317" s="2">
        <f t="shared" si="237"/>
        <v>0</v>
      </c>
      <c r="CR317" s="2">
        <f t="shared" si="237"/>
        <v>0</v>
      </c>
      <c r="CS317" s="2">
        <f t="shared" si="237"/>
        <v>0</v>
      </c>
      <c r="CT317" s="2">
        <f t="shared" si="237"/>
        <v>0</v>
      </c>
      <c r="CU317" s="2">
        <f t="shared" si="237"/>
        <v>0</v>
      </c>
      <c r="CV317" s="2">
        <f t="shared" si="237"/>
        <v>0</v>
      </c>
      <c r="CW317" s="2">
        <f t="shared" si="237"/>
        <v>0</v>
      </c>
      <c r="CX317" s="2">
        <f t="shared" si="237"/>
        <v>0</v>
      </c>
      <c r="CY317" s="2">
        <f t="shared" si="237"/>
        <v>0</v>
      </c>
      <c r="CZ317" s="2">
        <f t="shared" si="237"/>
        <v>0</v>
      </c>
      <c r="DA317" s="2">
        <f t="shared" si="237"/>
        <v>0</v>
      </c>
      <c r="DB317" s="2">
        <f t="shared" si="237"/>
        <v>0</v>
      </c>
      <c r="DC317" s="2">
        <f t="shared" si="237"/>
        <v>0</v>
      </c>
      <c r="DD317" s="2">
        <f t="shared" si="237"/>
        <v>0</v>
      </c>
      <c r="DE317" s="2">
        <f t="shared" si="237"/>
        <v>0</v>
      </c>
      <c r="DF317" s="2">
        <f t="shared" si="237"/>
        <v>0</v>
      </c>
      <c r="DG317" s="3">
        <f t="shared" ref="DG317:EL317" si="238">DG349</f>
        <v>0</v>
      </c>
      <c r="DH317" s="3">
        <f t="shared" si="238"/>
        <v>0</v>
      </c>
      <c r="DI317" s="3">
        <f t="shared" si="238"/>
        <v>0</v>
      </c>
      <c r="DJ317" s="3">
        <f t="shared" si="238"/>
        <v>0</v>
      </c>
      <c r="DK317" s="3">
        <f t="shared" si="238"/>
        <v>0</v>
      </c>
      <c r="DL317" s="3">
        <f t="shared" si="238"/>
        <v>0</v>
      </c>
      <c r="DM317" s="3">
        <f t="shared" si="238"/>
        <v>0</v>
      </c>
      <c r="DN317" s="3">
        <f t="shared" si="238"/>
        <v>0</v>
      </c>
      <c r="DO317" s="3">
        <f t="shared" si="238"/>
        <v>0</v>
      </c>
      <c r="DP317" s="3">
        <f t="shared" si="238"/>
        <v>0</v>
      </c>
      <c r="DQ317" s="3">
        <f t="shared" si="238"/>
        <v>0</v>
      </c>
      <c r="DR317" s="3">
        <f t="shared" si="238"/>
        <v>0</v>
      </c>
      <c r="DS317" s="3">
        <f t="shared" si="238"/>
        <v>0</v>
      </c>
      <c r="DT317" s="3">
        <f t="shared" si="238"/>
        <v>0</v>
      </c>
      <c r="DU317" s="3">
        <f t="shared" si="238"/>
        <v>0</v>
      </c>
      <c r="DV317" s="3">
        <f t="shared" si="238"/>
        <v>0</v>
      </c>
      <c r="DW317" s="3">
        <f t="shared" si="238"/>
        <v>0</v>
      </c>
      <c r="DX317" s="3">
        <f t="shared" si="238"/>
        <v>0</v>
      </c>
      <c r="DY317" s="3">
        <f t="shared" si="238"/>
        <v>0</v>
      </c>
      <c r="DZ317" s="3">
        <f t="shared" si="238"/>
        <v>0</v>
      </c>
      <c r="EA317" s="3">
        <f t="shared" si="238"/>
        <v>0</v>
      </c>
      <c r="EB317" s="3">
        <f t="shared" si="238"/>
        <v>0</v>
      </c>
      <c r="EC317" s="3">
        <f t="shared" si="238"/>
        <v>0</v>
      </c>
      <c r="ED317" s="3">
        <f t="shared" si="238"/>
        <v>0</v>
      </c>
      <c r="EE317" s="3">
        <f t="shared" si="238"/>
        <v>0</v>
      </c>
      <c r="EF317" s="3">
        <f t="shared" si="238"/>
        <v>0</v>
      </c>
      <c r="EG317" s="3">
        <f t="shared" si="238"/>
        <v>0</v>
      </c>
      <c r="EH317" s="3">
        <f t="shared" si="238"/>
        <v>0</v>
      </c>
      <c r="EI317" s="3">
        <f t="shared" si="238"/>
        <v>0</v>
      </c>
      <c r="EJ317" s="3">
        <f t="shared" si="238"/>
        <v>0</v>
      </c>
      <c r="EK317" s="3">
        <f t="shared" si="238"/>
        <v>0</v>
      </c>
      <c r="EL317" s="3">
        <f t="shared" si="238"/>
        <v>0</v>
      </c>
      <c r="EM317" s="3">
        <f t="shared" ref="EM317:FR317" si="239">EM349</f>
        <v>0</v>
      </c>
      <c r="EN317" s="3">
        <f t="shared" si="239"/>
        <v>0</v>
      </c>
      <c r="EO317" s="3">
        <f t="shared" si="239"/>
        <v>0</v>
      </c>
      <c r="EP317" s="3">
        <f t="shared" si="239"/>
        <v>0</v>
      </c>
      <c r="EQ317" s="3">
        <f t="shared" si="239"/>
        <v>0</v>
      </c>
      <c r="ER317" s="3">
        <f t="shared" si="239"/>
        <v>0</v>
      </c>
      <c r="ES317" s="3">
        <f t="shared" si="239"/>
        <v>0</v>
      </c>
      <c r="ET317" s="3">
        <f t="shared" si="239"/>
        <v>0</v>
      </c>
      <c r="EU317" s="3">
        <f t="shared" si="239"/>
        <v>0</v>
      </c>
      <c r="EV317" s="3">
        <f t="shared" si="239"/>
        <v>0</v>
      </c>
      <c r="EW317" s="3">
        <f t="shared" si="239"/>
        <v>0</v>
      </c>
      <c r="EX317" s="3">
        <f t="shared" si="239"/>
        <v>0</v>
      </c>
      <c r="EY317" s="3">
        <f t="shared" si="239"/>
        <v>0</v>
      </c>
      <c r="EZ317" s="3">
        <f t="shared" si="239"/>
        <v>0</v>
      </c>
      <c r="FA317" s="3">
        <f t="shared" si="239"/>
        <v>0</v>
      </c>
      <c r="FB317" s="3">
        <f t="shared" si="239"/>
        <v>0</v>
      </c>
      <c r="FC317" s="3">
        <f t="shared" si="239"/>
        <v>0</v>
      </c>
      <c r="FD317" s="3">
        <f t="shared" si="239"/>
        <v>0</v>
      </c>
      <c r="FE317" s="3">
        <f t="shared" si="239"/>
        <v>0</v>
      </c>
      <c r="FF317" s="3">
        <f t="shared" si="239"/>
        <v>0</v>
      </c>
      <c r="FG317" s="3">
        <f t="shared" si="239"/>
        <v>0</v>
      </c>
      <c r="FH317" s="3">
        <f t="shared" si="239"/>
        <v>0</v>
      </c>
      <c r="FI317" s="3">
        <f t="shared" si="239"/>
        <v>0</v>
      </c>
      <c r="FJ317" s="3">
        <f t="shared" si="239"/>
        <v>0</v>
      </c>
      <c r="FK317" s="3">
        <f t="shared" si="239"/>
        <v>0</v>
      </c>
      <c r="FL317" s="3">
        <f t="shared" si="239"/>
        <v>0</v>
      </c>
      <c r="FM317" s="3">
        <f t="shared" si="239"/>
        <v>0</v>
      </c>
      <c r="FN317" s="3">
        <f t="shared" si="239"/>
        <v>0</v>
      </c>
      <c r="FO317" s="3">
        <f t="shared" si="239"/>
        <v>0</v>
      </c>
      <c r="FP317" s="3">
        <f t="shared" si="239"/>
        <v>0</v>
      </c>
      <c r="FQ317" s="3">
        <f t="shared" si="239"/>
        <v>0</v>
      </c>
      <c r="FR317" s="3">
        <f t="shared" si="239"/>
        <v>0</v>
      </c>
      <c r="FS317" s="3">
        <f t="shared" ref="FS317:GX317" si="240">FS349</f>
        <v>0</v>
      </c>
      <c r="FT317" s="3">
        <f t="shared" si="240"/>
        <v>0</v>
      </c>
      <c r="FU317" s="3">
        <f t="shared" si="240"/>
        <v>0</v>
      </c>
      <c r="FV317" s="3">
        <f t="shared" si="240"/>
        <v>0</v>
      </c>
      <c r="FW317" s="3">
        <f t="shared" si="240"/>
        <v>0</v>
      </c>
      <c r="FX317" s="3">
        <f t="shared" si="240"/>
        <v>0</v>
      </c>
      <c r="FY317" s="3">
        <f t="shared" si="240"/>
        <v>0</v>
      </c>
      <c r="FZ317" s="3">
        <f t="shared" si="240"/>
        <v>0</v>
      </c>
      <c r="GA317" s="3">
        <f t="shared" si="240"/>
        <v>0</v>
      </c>
      <c r="GB317" s="3">
        <f t="shared" si="240"/>
        <v>0</v>
      </c>
      <c r="GC317" s="3">
        <f t="shared" si="240"/>
        <v>0</v>
      </c>
      <c r="GD317" s="3">
        <f t="shared" si="240"/>
        <v>0</v>
      </c>
      <c r="GE317" s="3">
        <f t="shared" si="240"/>
        <v>0</v>
      </c>
      <c r="GF317" s="3">
        <f t="shared" si="240"/>
        <v>0</v>
      </c>
      <c r="GG317" s="3">
        <f t="shared" si="240"/>
        <v>0</v>
      </c>
      <c r="GH317" s="3">
        <f t="shared" si="240"/>
        <v>0</v>
      </c>
      <c r="GI317" s="3">
        <f t="shared" si="240"/>
        <v>0</v>
      </c>
      <c r="GJ317" s="3">
        <f t="shared" si="240"/>
        <v>0</v>
      </c>
      <c r="GK317" s="3">
        <f t="shared" si="240"/>
        <v>0</v>
      </c>
      <c r="GL317" s="3">
        <f t="shared" si="240"/>
        <v>0</v>
      </c>
      <c r="GM317" s="3">
        <f t="shared" si="240"/>
        <v>0</v>
      </c>
      <c r="GN317" s="3">
        <f t="shared" si="240"/>
        <v>0</v>
      </c>
      <c r="GO317" s="3">
        <f t="shared" si="240"/>
        <v>0</v>
      </c>
      <c r="GP317" s="3">
        <f t="shared" si="240"/>
        <v>0</v>
      </c>
      <c r="GQ317" s="3">
        <f t="shared" si="240"/>
        <v>0</v>
      </c>
      <c r="GR317" s="3">
        <f t="shared" si="240"/>
        <v>0</v>
      </c>
      <c r="GS317" s="3">
        <f t="shared" si="240"/>
        <v>0</v>
      </c>
      <c r="GT317" s="3">
        <f t="shared" si="240"/>
        <v>0</v>
      </c>
      <c r="GU317" s="3">
        <f t="shared" si="240"/>
        <v>0</v>
      </c>
      <c r="GV317" s="3">
        <f t="shared" si="240"/>
        <v>0</v>
      </c>
      <c r="GW317" s="3">
        <f t="shared" si="240"/>
        <v>0</v>
      </c>
      <c r="GX317" s="3">
        <f t="shared" si="240"/>
        <v>0</v>
      </c>
    </row>
    <row r="319" spans="1:245" x14ac:dyDescent="0.2">
      <c r="A319">
        <v>17</v>
      </c>
      <c r="B319">
        <v>1</v>
      </c>
      <c r="D319">
        <f>ROW(EtalonRes!A82)</f>
        <v>82</v>
      </c>
      <c r="E319" t="s">
        <v>195</v>
      </c>
      <c r="F319" t="s">
        <v>196</v>
      </c>
      <c r="G319" t="s">
        <v>197</v>
      </c>
      <c r="H319" t="s">
        <v>104</v>
      </c>
      <c r="I319">
        <f>ROUND((10.6*3)*2/100,9)</f>
        <v>0.63600000000000001</v>
      </c>
      <c r="J319">
        <v>0</v>
      </c>
      <c r="K319">
        <f>ROUND((10.6*3)*2/100,9)</f>
        <v>0.63600000000000001</v>
      </c>
      <c r="O319">
        <f t="shared" ref="O319:O347" si="241">ROUND(CP319,2)</f>
        <v>6302.89</v>
      </c>
      <c r="P319">
        <f t="shared" ref="P319:P347" si="242">ROUND(CQ319*I319,2)</f>
        <v>4.96</v>
      </c>
      <c r="Q319">
        <f t="shared" ref="Q319:Q347" si="243">ROUND(CR319*I319,2)</f>
        <v>2005.49</v>
      </c>
      <c r="R319">
        <f t="shared" ref="R319:R347" si="244">ROUND(CS319*I319,2)</f>
        <v>1271.6199999999999</v>
      </c>
      <c r="S319">
        <f t="shared" ref="S319:S347" si="245">ROUND(CT319*I319,2)</f>
        <v>4292.4399999999996</v>
      </c>
      <c r="T319">
        <f t="shared" ref="T319:T347" si="246">ROUND(CU319*I319,2)</f>
        <v>0</v>
      </c>
      <c r="U319">
        <f t="shared" ref="U319:U347" si="247">CV319*I319</f>
        <v>7.0214399999999992</v>
      </c>
      <c r="V319">
        <f t="shared" ref="V319:V347" si="248">CW319*I319</f>
        <v>0</v>
      </c>
      <c r="W319">
        <f t="shared" ref="W319:W347" si="249">ROUND(CX319*I319,2)</f>
        <v>0</v>
      </c>
      <c r="X319">
        <f t="shared" ref="X319:X347" si="250">ROUND(CY319,2)</f>
        <v>3004.71</v>
      </c>
      <c r="Y319">
        <f t="shared" ref="Y319:Y347" si="251">ROUND(CZ319,2)</f>
        <v>429.24</v>
      </c>
      <c r="AA319">
        <v>1472506909</v>
      </c>
      <c r="AB319">
        <f t="shared" ref="AB319:AB347" si="252">ROUND((AC319+AD319+AF319),6)</f>
        <v>9910.2000000000007</v>
      </c>
      <c r="AC319">
        <f t="shared" ref="AC319:AC331" si="253">ROUND((ES319),6)</f>
        <v>7.8</v>
      </c>
      <c r="AD319">
        <f t="shared" ref="AD319:AD329" si="254">ROUND((((ET319)-(EU319))+AE319),6)</f>
        <v>3153.28</v>
      </c>
      <c r="AE319">
        <f t="shared" ref="AE319:AE331" si="255">ROUND((EU319),6)</f>
        <v>1999.4</v>
      </c>
      <c r="AF319">
        <f t="shared" ref="AF319:AF331" si="256">ROUND((EV319),6)</f>
        <v>6749.12</v>
      </c>
      <c r="AG319">
        <f t="shared" ref="AG319:AG347" si="257">ROUND((AP319),6)</f>
        <v>0</v>
      </c>
      <c r="AH319">
        <f t="shared" ref="AH319:AH331" si="258">(EW319)</f>
        <v>11.04</v>
      </c>
      <c r="AI319">
        <f t="shared" ref="AI319:AI331" si="259">(EX319)</f>
        <v>0</v>
      </c>
      <c r="AJ319">
        <f t="shared" ref="AJ319:AJ347" si="260">(AS319)</f>
        <v>0</v>
      </c>
      <c r="AK319">
        <v>9910.2000000000007</v>
      </c>
      <c r="AL319">
        <v>7.8</v>
      </c>
      <c r="AM319">
        <v>3153.28</v>
      </c>
      <c r="AN319">
        <v>1999.4</v>
      </c>
      <c r="AO319">
        <v>6749.12</v>
      </c>
      <c r="AP319">
        <v>0</v>
      </c>
      <c r="AQ319">
        <v>11.04</v>
      </c>
      <c r="AR319">
        <v>0</v>
      </c>
      <c r="AS319">
        <v>0</v>
      </c>
      <c r="AT319">
        <v>70</v>
      </c>
      <c r="AU319">
        <v>10</v>
      </c>
      <c r="AV319">
        <v>1</v>
      </c>
      <c r="AW319">
        <v>1</v>
      </c>
      <c r="AZ319">
        <v>1</v>
      </c>
      <c r="BA319">
        <v>1</v>
      </c>
      <c r="BB319">
        <v>1</v>
      </c>
      <c r="BC319">
        <v>1</v>
      </c>
      <c r="BD319" t="s">
        <v>3</v>
      </c>
      <c r="BE319" t="s">
        <v>3</v>
      </c>
      <c r="BF319" t="s">
        <v>3</v>
      </c>
      <c r="BG319" t="s">
        <v>3</v>
      </c>
      <c r="BH319">
        <v>0</v>
      </c>
      <c r="BI319">
        <v>4</v>
      </c>
      <c r="BJ319" t="s">
        <v>198</v>
      </c>
      <c r="BM319">
        <v>0</v>
      </c>
      <c r="BN319">
        <v>0</v>
      </c>
      <c r="BO319" t="s">
        <v>3</v>
      </c>
      <c r="BP319">
        <v>0</v>
      </c>
      <c r="BQ319">
        <v>1</v>
      </c>
      <c r="BR319">
        <v>0</v>
      </c>
      <c r="BS319">
        <v>1</v>
      </c>
      <c r="BT319">
        <v>1</v>
      </c>
      <c r="BU319">
        <v>1</v>
      </c>
      <c r="BV319">
        <v>1</v>
      </c>
      <c r="BW319">
        <v>1</v>
      </c>
      <c r="BX319">
        <v>1</v>
      </c>
      <c r="BY319" t="s">
        <v>3</v>
      </c>
      <c r="BZ319">
        <v>70</v>
      </c>
      <c r="CA319">
        <v>10</v>
      </c>
      <c r="CB319" t="s">
        <v>3</v>
      </c>
      <c r="CE319">
        <v>0</v>
      </c>
      <c r="CF319">
        <v>0</v>
      </c>
      <c r="CG319">
        <v>0</v>
      </c>
      <c r="CM319">
        <v>0</v>
      </c>
      <c r="CN319" t="s">
        <v>3</v>
      </c>
      <c r="CO319">
        <v>0</v>
      </c>
      <c r="CP319">
        <f t="shared" ref="CP319:CP347" si="261">(P319+Q319+S319)</f>
        <v>6302.8899999999994</v>
      </c>
      <c r="CQ319">
        <f t="shared" ref="CQ319:CQ329" si="262">(AC319*BC319*AW319)</f>
        <v>7.8</v>
      </c>
      <c r="CR319">
        <f t="shared" ref="CR319:CR329" si="263">((((ET319)*BB319-(EU319)*BS319)+AE319*BS319)*AV319)</f>
        <v>3153.28</v>
      </c>
      <c r="CS319">
        <f t="shared" ref="CS319:CS329" si="264">(AE319*BS319*AV319)</f>
        <v>1999.4</v>
      </c>
      <c r="CT319">
        <f t="shared" ref="CT319:CT329" si="265">(AF319*BA319*AV319)</f>
        <v>6749.12</v>
      </c>
      <c r="CU319">
        <f t="shared" ref="CU319:CU347" si="266">AG319</f>
        <v>0</v>
      </c>
      <c r="CV319">
        <f t="shared" ref="CV319:CV329" si="267">(AH319*AV319)</f>
        <v>11.04</v>
      </c>
      <c r="CW319">
        <f t="shared" ref="CW319:CW347" si="268">AI319</f>
        <v>0</v>
      </c>
      <c r="CX319">
        <f t="shared" ref="CX319:CX347" si="269">AJ319</f>
        <v>0</v>
      </c>
      <c r="CY319">
        <f t="shared" ref="CY319:CY329" si="270">((S319*BZ319)/100)</f>
        <v>3004.7080000000001</v>
      </c>
      <c r="CZ319">
        <f t="shared" ref="CZ319:CZ329" si="271">((S319*CA319)/100)</f>
        <v>429.24399999999991</v>
      </c>
      <c r="DC319" t="s">
        <v>3</v>
      </c>
      <c r="DD319" t="s">
        <v>3</v>
      </c>
      <c r="DE319" t="s">
        <v>3</v>
      </c>
      <c r="DF319" t="s">
        <v>3</v>
      </c>
      <c r="DG319" t="s">
        <v>3</v>
      </c>
      <c r="DH319" t="s">
        <v>3</v>
      </c>
      <c r="DI319" t="s">
        <v>3</v>
      </c>
      <c r="DJ319" t="s">
        <v>3</v>
      </c>
      <c r="DK319" t="s">
        <v>3</v>
      </c>
      <c r="DL319" t="s">
        <v>3</v>
      </c>
      <c r="DM319" t="s">
        <v>3</v>
      </c>
      <c r="DN319">
        <v>0</v>
      </c>
      <c r="DO319">
        <v>0</v>
      </c>
      <c r="DP319">
        <v>1</v>
      </c>
      <c r="DQ319">
        <v>1</v>
      </c>
      <c r="DU319">
        <v>1003</v>
      </c>
      <c r="DV319" t="s">
        <v>104</v>
      </c>
      <c r="DW319" t="s">
        <v>104</v>
      </c>
      <c r="DX319">
        <v>100</v>
      </c>
      <c r="DZ319" t="s">
        <v>3</v>
      </c>
      <c r="EA319" t="s">
        <v>3</v>
      </c>
      <c r="EB319" t="s">
        <v>3</v>
      </c>
      <c r="EC319" t="s">
        <v>3</v>
      </c>
      <c r="EE319">
        <v>1441815344</v>
      </c>
      <c r="EF319">
        <v>1</v>
      </c>
      <c r="EG319" t="s">
        <v>22</v>
      </c>
      <c r="EH319">
        <v>0</v>
      </c>
      <c r="EI319" t="s">
        <v>3</v>
      </c>
      <c r="EJ319">
        <v>4</v>
      </c>
      <c r="EK319">
        <v>0</v>
      </c>
      <c r="EL319" t="s">
        <v>23</v>
      </c>
      <c r="EM319" t="s">
        <v>24</v>
      </c>
      <c r="EO319" t="s">
        <v>3</v>
      </c>
      <c r="EQ319">
        <v>0</v>
      </c>
      <c r="ER319">
        <v>9910.2000000000007</v>
      </c>
      <c r="ES319">
        <v>7.8</v>
      </c>
      <c r="ET319">
        <v>3153.28</v>
      </c>
      <c r="EU319">
        <v>1999.4</v>
      </c>
      <c r="EV319">
        <v>6749.12</v>
      </c>
      <c r="EW319">
        <v>11.04</v>
      </c>
      <c r="EX319">
        <v>0</v>
      </c>
      <c r="EY319">
        <v>0</v>
      </c>
      <c r="FQ319">
        <v>0</v>
      </c>
      <c r="FR319">
        <f t="shared" ref="FR319:FR347" si="272">ROUND(IF(BI319=3,GM319,0),2)</f>
        <v>0</v>
      </c>
      <c r="FS319">
        <v>0</v>
      </c>
      <c r="FX319">
        <v>70</v>
      </c>
      <c r="FY319">
        <v>10</v>
      </c>
      <c r="GA319" t="s">
        <v>3</v>
      </c>
      <c r="GD319">
        <v>0</v>
      </c>
      <c r="GF319">
        <v>-2137535542</v>
      </c>
      <c r="GG319">
        <v>2</v>
      </c>
      <c r="GH319">
        <v>1</v>
      </c>
      <c r="GI319">
        <v>-2</v>
      </c>
      <c r="GJ319">
        <v>0</v>
      </c>
      <c r="GK319">
        <f>ROUND(R319*(R12)/100,2)</f>
        <v>1373.35</v>
      </c>
      <c r="GL319">
        <f t="shared" ref="GL319:GL347" si="273">ROUND(IF(AND(BH319=3,BI319=3,FS319&lt;&gt;0),P319,0),2)</f>
        <v>0</v>
      </c>
      <c r="GM319">
        <f t="shared" ref="GM319:GM347" si="274">ROUND(O319+X319+Y319+GK319,2)+GX319</f>
        <v>11110.19</v>
      </c>
      <c r="GN319">
        <f t="shared" ref="GN319:GN347" si="275">IF(OR(BI319=0,BI319=1),GM319-GX319,0)</f>
        <v>0</v>
      </c>
      <c r="GO319">
        <f t="shared" ref="GO319:GO347" si="276">IF(BI319=2,GM319-GX319,0)</f>
        <v>0</v>
      </c>
      <c r="GP319">
        <f t="shared" ref="GP319:GP347" si="277">IF(BI319=4,GM319-GX319,0)</f>
        <v>11110.19</v>
      </c>
      <c r="GR319">
        <v>0</v>
      </c>
      <c r="GS319">
        <v>3</v>
      </c>
      <c r="GT319">
        <v>0</v>
      </c>
      <c r="GU319" t="s">
        <v>3</v>
      </c>
      <c r="GV319">
        <f t="shared" ref="GV319:GV347" si="278">ROUND((GT319),6)</f>
        <v>0</v>
      </c>
      <c r="GW319">
        <v>1</v>
      </c>
      <c r="GX319">
        <f t="shared" ref="GX319:GX347" si="279">ROUND(HC319*I319,2)</f>
        <v>0</v>
      </c>
      <c r="HA319">
        <v>0</v>
      </c>
      <c r="HB319">
        <v>0</v>
      </c>
      <c r="HC319">
        <f t="shared" ref="HC319:HC347" si="280">GV319*GW319</f>
        <v>0</v>
      </c>
      <c r="HE319" t="s">
        <v>3</v>
      </c>
      <c r="HF319" t="s">
        <v>3</v>
      </c>
      <c r="HM319" t="s">
        <v>3</v>
      </c>
      <c r="HN319" t="s">
        <v>3</v>
      </c>
      <c r="HO319" t="s">
        <v>3</v>
      </c>
      <c r="HP319" t="s">
        <v>3</v>
      </c>
      <c r="HQ319" t="s">
        <v>3</v>
      </c>
      <c r="IK319">
        <v>0</v>
      </c>
    </row>
    <row r="320" spans="1:245" x14ac:dyDescent="0.2">
      <c r="A320">
        <v>17</v>
      </c>
      <c r="B320">
        <v>1</v>
      </c>
      <c r="D320">
        <f>ROW(EtalonRes!A85)</f>
        <v>85</v>
      </c>
      <c r="E320" t="s">
        <v>199</v>
      </c>
      <c r="F320" t="s">
        <v>200</v>
      </c>
      <c r="G320" t="s">
        <v>201</v>
      </c>
      <c r="H320" t="s">
        <v>20</v>
      </c>
      <c r="I320">
        <f>ROUND(2+1,9)</f>
        <v>3</v>
      </c>
      <c r="J320">
        <v>0</v>
      </c>
      <c r="K320">
        <f>ROUND(2+1,9)</f>
        <v>3</v>
      </c>
      <c r="O320">
        <f t="shared" si="241"/>
        <v>266.64</v>
      </c>
      <c r="P320">
        <f t="shared" si="242"/>
        <v>6.6</v>
      </c>
      <c r="Q320">
        <f t="shared" si="243"/>
        <v>0.69</v>
      </c>
      <c r="R320">
        <f t="shared" si="244"/>
        <v>0</v>
      </c>
      <c r="S320">
        <f t="shared" si="245"/>
        <v>259.35000000000002</v>
      </c>
      <c r="T320">
        <f t="shared" si="246"/>
        <v>0</v>
      </c>
      <c r="U320">
        <f t="shared" si="247"/>
        <v>0.42000000000000004</v>
      </c>
      <c r="V320">
        <f t="shared" si="248"/>
        <v>0</v>
      </c>
      <c r="W320">
        <f t="shared" si="249"/>
        <v>0</v>
      </c>
      <c r="X320">
        <f t="shared" si="250"/>
        <v>181.55</v>
      </c>
      <c r="Y320">
        <f t="shared" si="251"/>
        <v>25.94</v>
      </c>
      <c r="AA320">
        <v>1472506909</v>
      </c>
      <c r="AB320">
        <f t="shared" si="252"/>
        <v>88.88</v>
      </c>
      <c r="AC320">
        <f t="shared" si="253"/>
        <v>2.2000000000000002</v>
      </c>
      <c r="AD320">
        <f t="shared" si="254"/>
        <v>0.23</v>
      </c>
      <c r="AE320">
        <f t="shared" si="255"/>
        <v>0</v>
      </c>
      <c r="AF320">
        <f t="shared" si="256"/>
        <v>86.45</v>
      </c>
      <c r="AG320">
        <f t="shared" si="257"/>
        <v>0</v>
      </c>
      <c r="AH320">
        <f t="shared" si="258"/>
        <v>0.14000000000000001</v>
      </c>
      <c r="AI320">
        <f t="shared" si="259"/>
        <v>0</v>
      </c>
      <c r="AJ320">
        <f t="shared" si="260"/>
        <v>0</v>
      </c>
      <c r="AK320">
        <v>88.88</v>
      </c>
      <c r="AL320">
        <v>2.2000000000000002</v>
      </c>
      <c r="AM320">
        <v>0.23</v>
      </c>
      <c r="AN320">
        <v>0</v>
      </c>
      <c r="AO320">
        <v>86.45</v>
      </c>
      <c r="AP320">
        <v>0</v>
      </c>
      <c r="AQ320">
        <v>0.14000000000000001</v>
      </c>
      <c r="AR320">
        <v>0</v>
      </c>
      <c r="AS320">
        <v>0</v>
      </c>
      <c r="AT320">
        <v>70</v>
      </c>
      <c r="AU320">
        <v>10</v>
      </c>
      <c r="AV320">
        <v>1</v>
      </c>
      <c r="AW320">
        <v>1</v>
      </c>
      <c r="AZ320">
        <v>1</v>
      </c>
      <c r="BA320">
        <v>1</v>
      </c>
      <c r="BB320">
        <v>1</v>
      </c>
      <c r="BC320">
        <v>1</v>
      </c>
      <c r="BD320" t="s">
        <v>3</v>
      </c>
      <c r="BE320" t="s">
        <v>3</v>
      </c>
      <c r="BF320" t="s">
        <v>3</v>
      </c>
      <c r="BG320" t="s">
        <v>3</v>
      </c>
      <c r="BH320">
        <v>0</v>
      </c>
      <c r="BI320">
        <v>4</v>
      </c>
      <c r="BJ320" t="s">
        <v>202</v>
      </c>
      <c r="BM320">
        <v>0</v>
      </c>
      <c r="BN320">
        <v>0</v>
      </c>
      <c r="BO320" t="s">
        <v>3</v>
      </c>
      <c r="BP320">
        <v>0</v>
      </c>
      <c r="BQ320">
        <v>1</v>
      </c>
      <c r="BR320">
        <v>0</v>
      </c>
      <c r="BS320">
        <v>1</v>
      </c>
      <c r="BT320">
        <v>1</v>
      </c>
      <c r="BU320">
        <v>1</v>
      </c>
      <c r="BV320">
        <v>1</v>
      </c>
      <c r="BW320">
        <v>1</v>
      </c>
      <c r="BX320">
        <v>1</v>
      </c>
      <c r="BY320" t="s">
        <v>3</v>
      </c>
      <c r="BZ320">
        <v>70</v>
      </c>
      <c r="CA320">
        <v>10</v>
      </c>
      <c r="CB320" t="s">
        <v>3</v>
      </c>
      <c r="CE320">
        <v>0</v>
      </c>
      <c r="CF320">
        <v>0</v>
      </c>
      <c r="CG320">
        <v>0</v>
      </c>
      <c r="CM320">
        <v>0</v>
      </c>
      <c r="CN320" t="s">
        <v>3</v>
      </c>
      <c r="CO320">
        <v>0</v>
      </c>
      <c r="CP320">
        <f t="shared" si="261"/>
        <v>266.64000000000004</v>
      </c>
      <c r="CQ320">
        <f t="shared" si="262"/>
        <v>2.2000000000000002</v>
      </c>
      <c r="CR320">
        <f t="shared" si="263"/>
        <v>0.23</v>
      </c>
      <c r="CS320">
        <f t="shared" si="264"/>
        <v>0</v>
      </c>
      <c r="CT320">
        <f t="shared" si="265"/>
        <v>86.45</v>
      </c>
      <c r="CU320">
        <f t="shared" si="266"/>
        <v>0</v>
      </c>
      <c r="CV320">
        <f t="shared" si="267"/>
        <v>0.14000000000000001</v>
      </c>
      <c r="CW320">
        <f t="shared" si="268"/>
        <v>0</v>
      </c>
      <c r="CX320">
        <f t="shared" si="269"/>
        <v>0</v>
      </c>
      <c r="CY320">
        <f t="shared" si="270"/>
        <v>181.54499999999999</v>
      </c>
      <c r="CZ320">
        <f t="shared" si="271"/>
        <v>25.934999999999999</v>
      </c>
      <c r="DC320" t="s">
        <v>3</v>
      </c>
      <c r="DD320" t="s">
        <v>3</v>
      </c>
      <c r="DE320" t="s">
        <v>3</v>
      </c>
      <c r="DF320" t="s">
        <v>3</v>
      </c>
      <c r="DG320" t="s">
        <v>3</v>
      </c>
      <c r="DH320" t="s">
        <v>3</v>
      </c>
      <c r="DI320" t="s">
        <v>3</v>
      </c>
      <c r="DJ320" t="s">
        <v>3</v>
      </c>
      <c r="DK320" t="s">
        <v>3</v>
      </c>
      <c r="DL320" t="s">
        <v>3</v>
      </c>
      <c r="DM320" t="s">
        <v>3</v>
      </c>
      <c r="DN320">
        <v>0</v>
      </c>
      <c r="DO320">
        <v>0</v>
      </c>
      <c r="DP320">
        <v>1</v>
      </c>
      <c r="DQ320">
        <v>1</v>
      </c>
      <c r="DU320">
        <v>16987630</v>
      </c>
      <c r="DV320" t="s">
        <v>20</v>
      </c>
      <c r="DW320" t="s">
        <v>20</v>
      </c>
      <c r="DX320">
        <v>1</v>
      </c>
      <c r="DZ320" t="s">
        <v>3</v>
      </c>
      <c r="EA320" t="s">
        <v>3</v>
      </c>
      <c r="EB320" t="s">
        <v>3</v>
      </c>
      <c r="EC320" t="s">
        <v>3</v>
      </c>
      <c r="EE320">
        <v>1441815344</v>
      </c>
      <c r="EF320">
        <v>1</v>
      </c>
      <c r="EG320" t="s">
        <v>22</v>
      </c>
      <c r="EH320">
        <v>0</v>
      </c>
      <c r="EI320" t="s">
        <v>3</v>
      </c>
      <c r="EJ320">
        <v>4</v>
      </c>
      <c r="EK320">
        <v>0</v>
      </c>
      <c r="EL320" t="s">
        <v>23</v>
      </c>
      <c r="EM320" t="s">
        <v>24</v>
      </c>
      <c r="EO320" t="s">
        <v>3</v>
      </c>
      <c r="EQ320">
        <v>0</v>
      </c>
      <c r="ER320">
        <v>88.88</v>
      </c>
      <c r="ES320">
        <v>2.2000000000000002</v>
      </c>
      <c r="ET320">
        <v>0.23</v>
      </c>
      <c r="EU320">
        <v>0</v>
      </c>
      <c r="EV320">
        <v>86.45</v>
      </c>
      <c r="EW320">
        <v>0.14000000000000001</v>
      </c>
      <c r="EX320">
        <v>0</v>
      </c>
      <c r="EY320">
        <v>0</v>
      </c>
      <c r="FQ320">
        <v>0</v>
      </c>
      <c r="FR320">
        <f t="shared" si="272"/>
        <v>0</v>
      </c>
      <c r="FS320">
        <v>0</v>
      </c>
      <c r="FX320">
        <v>70</v>
      </c>
      <c r="FY320">
        <v>10</v>
      </c>
      <c r="GA320" t="s">
        <v>3</v>
      </c>
      <c r="GD320">
        <v>0</v>
      </c>
      <c r="GF320">
        <v>-102500768</v>
      </c>
      <c r="GG320">
        <v>2</v>
      </c>
      <c r="GH320">
        <v>1</v>
      </c>
      <c r="GI320">
        <v>-2</v>
      </c>
      <c r="GJ320">
        <v>0</v>
      </c>
      <c r="GK320">
        <f>ROUND(R320*(R12)/100,2)</f>
        <v>0</v>
      </c>
      <c r="GL320">
        <f t="shared" si="273"/>
        <v>0</v>
      </c>
      <c r="GM320">
        <f t="shared" si="274"/>
        <v>474.13</v>
      </c>
      <c r="GN320">
        <f t="shared" si="275"/>
        <v>0</v>
      </c>
      <c r="GO320">
        <f t="shared" si="276"/>
        <v>0</v>
      </c>
      <c r="GP320">
        <f t="shared" si="277"/>
        <v>474.13</v>
      </c>
      <c r="GR320">
        <v>0</v>
      </c>
      <c r="GS320">
        <v>3</v>
      </c>
      <c r="GT320">
        <v>0</v>
      </c>
      <c r="GU320" t="s">
        <v>3</v>
      </c>
      <c r="GV320">
        <f t="shared" si="278"/>
        <v>0</v>
      </c>
      <c r="GW320">
        <v>1</v>
      </c>
      <c r="GX320">
        <f t="shared" si="279"/>
        <v>0</v>
      </c>
      <c r="HA320">
        <v>0</v>
      </c>
      <c r="HB320">
        <v>0</v>
      </c>
      <c r="HC320">
        <f t="shared" si="280"/>
        <v>0</v>
      </c>
      <c r="HE320" t="s">
        <v>3</v>
      </c>
      <c r="HF320" t="s">
        <v>3</v>
      </c>
      <c r="HM320" t="s">
        <v>3</v>
      </c>
      <c r="HN320" t="s">
        <v>3</v>
      </c>
      <c r="HO320" t="s">
        <v>3</v>
      </c>
      <c r="HP320" t="s">
        <v>3</v>
      </c>
      <c r="HQ320" t="s">
        <v>3</v>
      </c>
      <c r="IK320">
        <v>0</v>
      </c>
    </row>
    <row r="321" spans="1:245" x14ac:dyDescent="0.2">
      <c r="A321">
        <v>17</v>
      </c>
      <c r="B321">
        <v>1</v>
      </c>
      <c r="D321">
        <f>ROW(EtalonRes!A87)</f>
        <v>87</v>
      </c>
      <c r="E321" t="s">
        <v>203</v>
      </c>
      <c r="F321" t="s">
        <v>204</v>
      </c>
      <c r="G321" t="s">
        <v>205</v>
      </c>
      <c r="H321" t="s">
        <v>20</v>
      </c>
      <c r="I321">
        <f>ROUND(1+13+3+4+1+11+4+4+8+1,9)</f>
        <v>50</v>
      </c>
      <c r="J321">
        <v>0</v>
      </c>
      <c r="K321">
        <f>ROUND(1+13+3+4+1+11+4+4+8+1,9)</f>
        <v>50</v>
      </c>
      <c r="O321">
        <f t="shared" si="241"/>
        <v>10131</v>
      </c>
      <c r="P321">
        <f t="shared" si="242"/>
        <v>12</v>
      </c>
      <c r="Q321">
        <f t="shared" si="243"/>
        <v>0</v>
      </c>
      <c r="R321">
        <f t="shared" si="244"/>
        <v>0</v>
      </c>
      <c r="S321">
        <f t="shared" si="245"/>
        <v>10119</v>
      </c>
      <c r="T321">
        <f t="shared" si="246"/>
        <v>0</v>
      </c>
      <c r="U321">
        <f t="shared" si="247"/>
        <v>18</v>
      </c>
      <c r="V321">
        <f t="shared" si="248"/>
        <v>0</v>
      </c>
      <c r="W321">
        <f t="shared" si="249"/>
        <v>0</v>
      </c>
      <c r="X321">
        <f t="shared" si="250"/>
        <v>7083.3</v>
      </c>
      <c r="Y321">
        <f t="shared" si="251"/>
        <v>1011.9</v>
      </c>
      <c r="AA321">
        <v>1472506909</v>
      </c>
      <c r="AB321">
        <f t="shared" si="252"/>
        <v>202.62</v>
      </c>
      <c r="AC321">
        <f t="shared" si="253"/>
        <v>0.24</v>
      </c>
      <c r="AD321">
        <f t="shared" si="254"/>
        <v>0</v>
      </c>
      <c r="AE321">
        <f t="shared" si="255"/>
        <v>0</v>
      </c>
      <c r="AF321">
        <f t="shared" si="256"/>
        <v>202.38</v>
      </c>
      <c r="AG321">
        <f t="shared" si="257"/>
        <v>0</v>
      </c>
      <c r="AH321">
        <f t="shared" si="258"/>
        <v>0.36</v>
      </c>
      <c r="AI321">
        <f t="shared" si="259"/>
        <v>0</v>
      </c>
      <c r="AJ321">
        <f t="shared" si="260"/>
        <v>0</v>
      </c>
      <c r="AK321">
        <v>202.62</v>
      </c>
      <c r="AL321">
        <v>0.24</v>
      </c>
      <c r="AM321">
        <v>0</v>
      </c>
      <c r="AN321">
        <v>0</v>
      </c>
      <c r="AO321">
        <v>202.38</v>
      </c>
      <c r="AP321">
        <v>0</v>
      </c>
      <c r="AQ321">
        <v>0.36</v>
      </c>
      <c r="AR321">
        <v>0</v>
      </c>
      <c r="AS321">
        <v>0</v>
      </c>
      <c r="AT321">
        <v>70</v>
      </c>
      <c r="AU321">
        <v>10</v>
      </c>
      <c r="AV321">
        <v>1</v>
      </c>
      <c r="AW321">
        <v>1</v>
      </c>
      <c r="AZ321">
        <v>1</v>
      </c>
      <c r="BA321">
        <v>1</v>
      </c>
      <c r="BB321">
        <v>1</v>
      </c>
      <c r="BC321">
        <v>1</v>
      </c>
      <c r="BD321" t="s">
        <v>3</v>
      </c>
      <c r="BE321" t="s">
        <v>3</v>
      </c>
      <c r="BF321" t="s">
        <v>3</v>
      </c>
      <c r="BG321" t="s">
        <v>3</v>
      </c>
      <c r="BH321">
        <v>0</v>
      </c>
      <c r="BI321">
        <v>4</v>
      </c>
      <c r="BJ321" t="s">
        <v>206</v>
      </c>
      <c r="BM321">
        <v>0</v>
      </c>
      <c r="BN321">
        <v>0</v>
      </c>
      <c r="BO321" t="s">
        <v>3</v>
      </c>
      <c r="BP321">
        <v>0</v>
      </c>
      <c r="BQ321">
        <v>1</v>
      </c>
      <c r="BR321">
        <v>0</v>
      </c>
      <c r="BS321">
        <v>1</v>
      </c>
      <c r="BT321">
        <v>1</v>
      </c>
      <c r="BU321">
        <v>1</v>
      </c>
      <c r="BV321">
        <v>1</v>
      </c>
      <c r="BW321">
        <v>1</v>
      </c>
      <c r="BX321">
        <v>1</v>
      </c>
      <c r="BY321" t="s">
        <v>3</v>
      </c>
      <c r="BZ321">
        <v>70</v>
      </c>
      <c r="CA321">
        <v>10</v>
      </c>
      <c r="CB321" t="s">
        <v>3</v>
      </c>
      <c r="CE321">
        <v>0</v>
      </c>
      <c r="CF321">
        <v>0</v>
      </c>
      <c r="CG321">
        <v>0</v>
      </c>
      <c r="CM321">
        <v>0</v>
      </c>
      <c r="CN321" t="s">
        <v>3</v>
      </c>
      <c r="CO321">
        <v>0</v>
      </c>
      <c r="CP321">
        <f t="shared" si="261"/>
        <v>10131</v>
      </c>
      <c r="CQ321">
        <f t="shared" si="262"/>
        <v>0.24</v>
      </c>
      <c r="CR321">
        <f t="shared" si="263"/>
        <v>0</v>
      </c>
      <c r="CS321">
        <f t="shared" si="264"/>
        <v>0</v>
      </c>
      <c r="CT321">
        <f t="shared" si="265"/>
        <v>202.38</v>
      </c>
      <c r="CU321">
        <f t="shared" si="266"/>
        <v>0</v>
      </c>
      <c r="CV321">
        <f t="shared" si="267"/>
        <v>0.36</v>
      </c>
      <c r="CW321">
        <f t="shared" si="268"/>
        <v>0</v>
      </c>
      <c r="CX321">
        <f t="shared" si="269"/>
        <v>0</v>
      </c>
      <c r="CY321">
        <f t="shared" si="270"/>
        <v>7083.3</v>
      </c>
      <c r="CZ321">
        <f t="shared" si="271"/>
        <v>1011.9</v>
      </c>
      <c r="DC321" t="s">
        <v>3</v>
      </c>
      <c r="DD321" t="s">
        <v>3</v>
      </c>
      <c r="DE321" t="s">
        <v>3</v>
      </c>
      <c r="DF321" t="s">
        <v>3</v>
      </c>
      <c r="DG321" t="s">
        <v>3</v>
      </c>
      <c r="DH321" t="s">
        <v>3</v>
      </c>
      <c r="DI321" t="s">
        <v>3</v>
      </c>
      <c r="DJ321" t="s">
        <v>3</v>
      </c>
      <c r="DK321" t="s">
        <v>3</v>
      </c>
      <c r="DL321" t="s">
        <v>3</v>
      </c>
      <c r="DM321" t="s">
        <v>3</v>
      </c>
      <c r="DN321">
        <v>0</v>
      </c>
      <c r="DO321">
        <v>0</v>
      </c>
      <c r="DP321">
        <v>1</v>
      </c>
      <c r="DQ321">
        <v>1</v>
      </c>
      <c r="DU321">
        <v>16987630</v>
      </c>
      <c r="DV321" t="s">
        <v>20</v>
      </c>
      <c r="DW321" t="s">
        <v>20</v>
      </c>
      <c r="DX321">
        <v>1</v>
      </c>
      <c r="DZ321" t="s">
        <v>3</v>
      </c>
      <c r="EA321" t="s">
        <v>3</v>
      </c>
      <c r="EB321" t="s">
        <v>3</v>
      </c>
      <c r="EC321" t="s">
        <v>3</v>
      </c>
      <c r="EE321">
        <v>1441815344</v>
      </c>
      <c r="EF321">
        <v>1</v>
      </c>
      <c r="EG321" t="s">
        <v>22</v>
      </c>
      <c r="EH321">
        <v>0</v>
      </c>
      <c r="EI321" t="s">
        <v>3</v>
      </c>
      <c r="EJ321">
        <v>4</v>
      </c>
      <c r="EK321">
        <v>0</v>
      </c>
      <c r="EL321" t="s">
        <v>23</v>
      </c>
      <c r="EM321" t="s">
        <v>24</v>
      </c>
      <c r="EO321" t="s">
        <v>3</v>
      </c>
      <c r="EQ321">
        <v>0</v>
      </c>
      <c r="ER321">
        <v>202.62</v>
      </c>
      <c r="ES321">
        <v>0.24</v>
      </c>
      <c r="ET321">
        <v>0</v>
      </c>
      <c r="EU321">
        <v>0</v>
      </c>
      <c r="EV321">
        <v>202.38</v>
      </c>
      <c r="EW321">
        <v>0.36</v>
      </c>
      <c r="EX321">
        <v>0</v>
      </c>
      <c r="EY321">
        <v>0</v>
      </c>
      <c r="FQ321">
        <v>0</v>
      </c>
      <c r="FR321">
        <f t="shared" si="272"/>
        <v>0</v>
      </c>
      <c r="FS321">
        <v>0</v>
      </c>
      <c r="FX321">
        <v>70</v>
      </c>
      <c r="FY321">
        <v>10</v>
      </c>
      <c r="GA321" t="s">
        <v>3</v>
      </c>
      <c r="GD321">
        <v>0</v>
      </c>
      <c r="GF321">
        <v>794275859</v>
      </c>
      <c r="GG321">
        <v>2</v>
      </c>
      <c r="GH321">
        <v>1</v>
      </c>
      <c r="GI321">
        <v>-2</v>
      </c>
      <c r="GJ321">
        <v>0</v>
      </c>
      <c r="GK321">
        <f>ROUND(R321*(R12)/100,2)</f>
        <v>0</v>
      </c>
      <c r="GL321">
        <f t="shared" si="273"/>
        <v>0</v>
      </c>
      <c r="GM321">
        <f t="shared" si="274"/>
        <v>18226.2</v>
      </c>
      <c r="GN321">
        <f t="shared" si="275"/>
        <v>0</v>
      </c>
      <c r="GO321">
        <f t="shared" si="276"/>
        <v>0</v>
      </c>
      <c r="GP321">
        <f t="shared" si="277"/>
        <v>18226.2</v>
      </c>
      <c r="GR321">
        <v>0</v>
      </c>
      <c r="GS321">
        <v>3</v>
      </c>
      <c r="GT321">
        <v>0</v>
      </c>
      <c r="GU321" t="s">
        <v>3</v>
      </c>
      <c r="GV321">
        <f t="shared" si="278"/>
        <v>0</v>
      </c>
      <c r="GW321">
        <v>1</v>
      </c>
      <c r="GX321">
        <f t="shared" si="279"/>
        <v>0</v>
      </c>
      <c r="HA321">
        <v>0</v>
      </c>
      <c r="HB321">
        <v>0</v>
      </c>
      <c r="HC321">
        <f t="shared" si="280"/>
        <v>0</v>
      </c>
      <c r="HE321" t="s">
        <v>3</v>
      </c>
      <c r="HF321" t="s">
        <v>3</v>
      </c>
      <c r="HM321" t="s">
        <v>3</v>
      </c>
      <c r="HN321" t="s">
        <v>3</v>
      </c>
      <c r="HO321" t="s">
        <v>3</v>
      </c>
      <c r="HP321" t="s">
        <v>3</v>
      </c>
      <c r="HQ321" t="s">
        <v>3</v>
      </c>
      <c r="IK321">
        <v>0</v>
      </c>
    </row>
    <row r="322" spans="1:245" x14ac:dyDescent="0.2">
      <c r="A322">
        <v>17</v>
      </c>
      <c r="B322">
        <v>1</v>
      </c>
      <c r="D322">
        <f>ROW(EtalonRes!A89)</f>
        <v>89</v>
      </c>
      <c r="E322" t="s">
        <v>207</v>
      </c>
      <c r="F322" t="s">
        <v>208</v>
      </c>
      <c r="G322" t="s">
        <v>209</v>
      </c>
      <c r="H322" t="s">
        <v>20</v>
      </c>
      <c r="I322">
        <v>133</v>
      </c>
      <c r="J322">
        <v>0</v>
      </c>
      <c r="K322">
        <v>133</v>
      </c>
      <c r="O322">
        <f t="shared" si="241"/>
        <v>34456.31</v>
      </c>
      <c r="P322">
        <f t="shared" si="242"/>
        <v>62.51</v>
      </c>
      <c r="Q322">
        <f t="shared" si="243"/>
        <v>0</v>
      </c>
      <c r="R322">
        <f t="shared" si="244"/>
        <v>0</v>
      </c>
      <c r="S322">
        <f t="shared" si="245"/>
        <v>34393.800000000003</v>
      </c>
      <c r="T322">
        <f t="shared" si="246"/>
        <v>0</v>
      </c>
      <c r="U322">
        <f t="shared" si="247"/>
        <v>61.18</v>
      </c>
      <c r="V322">
        <f t="shared" si="248"/>
        <v>0</v>
      </c>
      <c r="W322">
        <f t="shared" si="249"/>
        <v>0</v>
      </c>
      <c r="X322">
        <f t="shared" si="250"/>
        <v>24075.66</v>
      </c>
      <c r="Y322">
        <f t="shared" si="251"/>
        <v>3439.38</v>
      </c>
      <c r="AA322">
        <v>1472506909</v>
      </c>
      <c r="AB322">
        <f t="shared" si="252"/>
        <v>259.07</v>
      </c>
      <c r="AC322">
        <f t="shared" si="253"/>
        <v>0.47</v>
      </c>
      <c r="AD322">
        <f t="shared" si="254"/>
        <v>0</v>
      </c>
      <c r="AE322">
        <f t="shared" si="255"/>
        <v>0</v>
      </c>
      <c r="AF322">
        <f t="shared" si="256"/>
        <v>258.60000000000002</v>
      </c>
      <c r="AG322">
        <f t="shared" si="257"/>
        <v>0</v>
      </c>
      <c r="AH322">
        <f t="shared" si="258"/>
        <v>0.46</v>
      </c>
      <c r="AI322">
        <f t="shared" si="259"/>
        <v>0</v>
      </c>
      <c r="AJ322">
        <f t="shared" si="260"/>
        <v>0</v>
      </c>
      <c r="AK322">
        <v>259.07</v>
      </c>
      <c r="AL322">
        <v>0.47</v>
      </c>
      <c r="AM322">
        <v>0</v>
      </c>
      <c r="AN322">
        <v>0</v>
      </c>
      <c r="AO322">
        <v>258.60000000000002</v>
      </c>
      <c r="AP322">
        <v>0</v>
      </c>
      <c r="AQ322">
        <v>0.46</v>
      </c>
      <c r="AR322">
        <v>0</v>
      </c>
      <c r="AS322">
        <v>0</v>
      </c>
      <c r="AT322">
        <v>70</v>
      </c>
      <c r="AU322">
        <v>10</v>
      </c>
      <c r="AV322">
        <v>1</v>
      </c>
      <c r="AW322">
        <v>1</v>
      </c>
      <c r="AZ322">
        <v>1</v>
      </c>
      <c r="BA322">
        <v>1</v>
      </c>
      <c r="BB322">
        <v>1</v>
      </c>
      <c r="BC322">
        <v>1</v>
      </c>
      <c r="BD322" t="s">
        <v>3</v>
      </c>
      <c r="BE322" t="s">
        <v>3</v>
      </c>
      <c r="BF322" t="s">
        <v>3</v>
      </c>
      <c r="BG322" t="s">
        <v>3</v>
      </c>
      <c r="BH322">
        <v>0</v>
      </c>
      <c r="BI322">
        <v>4</v>
      </c>
      <c r="BJ322" t="s">
        <v>210</v>
      </c>
      <c r="BM322">
        <v>0</v>
      </c>
      <c r="BN322">
        <v>0</v>
      </c>
      <c r="BO322" t="s">
        <v>3</v>
      </c>
      <c r="BP322">
        <v>0</v>
      </c>
      <c r="BQ322">
        <v>1</v>
      </c>
      <c r="BR322">
        <v>0</v>
      </c>
      <c r="BS322">
        <v>1</v>
      </c>
      <c r="BT322">
        <v>1</v>
      </c>
      <c r="BU322">
        <v>1</v>
      </c>
      <c r="BV322">
        <v>1</v>
      </c>
      <c r="BW322">
        <v>1</v>
      </c>
      <c r="BX322">
        <v>1</v>
      </c>
      <c r="BY322" t="s">
        <v>3</v>
      </c>
      <c r="BZ322">
        <v>70</v>
      </c>
      <c r="CA322">
        <v>10</v>
      </c>
      <c r="CB322" t="s">
        <v>3</v>
      </c>
      <c r="CE322">
        <v>0</v>
      </c>
      <c r="CF322">
        <v>0</v>
      </c>
      <c r="CG322">
        <v>0</v>
      </c>
      <c r="CM322">
        <v>0</v>
      </c>
      <c r="CN322" t="s">
        <v>3</v>
      </c>
      <c r="CO322">
        <v>0</v>
      </c>
      <c r="CP322">
        <f t="shared" si="261"/>
        <v>34456.310000000005</v>
      </c>
      <c r="CQ322">
        <f t="shared" si="262"/>
        <v>0.47</v>
      </c>
      <c r="CR322">
        <f t="shared" si="263"/>
        <v>0</v>
      </c>
      <c r="CS322">
        <f t="shared" si="264"/>
        <v>0</v>
      </c>
      <c r="CT322">
        <f t="shared" si="265"/>
        <v>258.60000000000002</v>
      </c>
      <c r="CU322">
        <f t="shared" si="266"/>
        <v>0</v>
      </c>
      <c r="CV322">
        <f t="shared" si="267"/>
        <v>0.46</v>
      </c>
      <c r="CW322">
        <f t="shared" si="268"/>
        <v>0</v>
      </c>
      <c r="CX322">
        <f t="shared" si="269"/>
        <v>0</v>
      </c>
      <c r="CY322">
        <f t="shared" si="270"/>
        <v>24075.66</v>
      </c>
      <c r="CZ322">
        <f t="shared" si="271"/>
        <v>3439.38</v>
      </c>
      <c r="DC322" t="s">
        <v>3</v>
      </c>
      <c r="DD322" t="s">
        <v>3</v>
      </c>
      <c r="DE322" t="s">
        <v>3</v>
      </c>
      <c r="DF322" t="s">
        <v>3</v>
      </c>
      <c r="DG322" t="s">
        <v>3</v>
      </c>
      <c r="DH322" t="s">
        <v>3</v>
      </c>
      <c r="DI322" t="s">
        <v>3</v>
      </c>
      <c r="DJ322" t="s">
        <v>3</v>
      </c>
      <c r="DK322" t="s">
        <v>3</v>
      </c>
      <c r="DL322" t="s">
        <v>3</v>
      </c>
      <c r="DM322" t="s">
        <v>3</v>
      </c>
      <c r="DN322">
        <v>0</v>
      </c>
      <c r="DO322">
        <v>0</v>
      </c>
      <c r="DP322">
        <v>1</v>
      </c>
      <c r="DQ322">
        <v>1</v>
      </c>
      <c r="DU322">
        <v>16987630</v>
      </c>
      <c r="DV322" t="s">
        <v>20</v>
      </c>
      <c r="DW322" t="s">
        <v>20</v>
      </c>
      <c r="DX322">
        <v>1</v>
      </c>
      <c r="DZ322" t="s">
        <v>3</v>
      </c>
      <c r="EA322" t="s">
        <v>3</v>
      </c>
      <c r="EB322" t="s">
        <v>3</v>
      </c>
      <c r="EC322" t="s">
        <v>3</v>
      </c>
      <c r="EE322">
        <v>1441815344</v>
      </c>
      <c r="EF322">
        <v>1</v>
      </c>
      <c r="EG322" t="s">
        <v>22</v>
      </c>
      <c r="EH322">
        <v>0</v>
      </c>
      <c r="EI322" t="s">
        <v>3</v>
      </c>
      <c r="EJ322">
        <v>4</v>
      </c>
      <c r="EK322">
        <v>0</v>
      </c>
      <c r="EL322" t="s">
        <v>23</v>
      </c>
      <c r="EM322" t="s">
        <v>24</v>
      </c>
      <c r="EO322" t="s">
        <v>3</v>
      </c>
      <c r="EQ322">
        <v>0</v>
      </c>
      <c r="ER322">
        <v>259.07</v>
      </c>
      <c r="ES322">
        <v>0.47</v>
      </c>
      <c r="ET322">
        <v>0</v>
      </c>
      <c r="EU322">
        <v>0</v>
      </c>
      <c r="EV322">
        <v>258.60000000000002</v>
      </c>
      <c r="EW322">
        <v>0.46</v>
      </c>
      <c r="EX322">
        <v>0</v>
      </c>
      <c r="EY322">
        <v>0</v>
      </c>
      <c r="FQ322">
        <v>0</v>
      </c>
      <c r="FR322">
        <f t="shared" si="272"/>
        <v>0</v>
      </c>
      <c r="FS322">
        <v>0</v>
      </c>
      <c r="FX322">
        <v>70</v>
      </c>
      <c r="FY322">
        <v>10</v>
      </c>
      <c r="GA322" t="s">
        <v>3</v>
      </c>
      <c r="GD322">
        <v>0</v>
      </c>
      <c r="GF322">
        <v>462210071</v>
      </c>
      <c r="GG322">
        <v>2</v>
      </c>
      <c r="GH322">
        <v>1</v>
      </c>
      <c r="GI322">
        <v>-2</v>
      </c>
      <c r="GJ322">
        <v>0</v>
      </c>
      <c r="GK322">
        <f>ROUND(R322*(R12)/100,2)</f>
        <v>0</v>
      </c>
      <c r="GL322">
        <f t="shared" si="273"/>
        <v>0</v>
      </c>
      <c r="GM322">
        <f t="shared" si="274"/>
        <v>61971.35</v>
      </c>
      <c r="GN322">
        <f t="shared" si="275"/>
        <v>0</v>
      </c>
      <c r="GO322">
        <f t="shared" si="276"/>
        <v>0</v>
      </c>
      <c r="GP322">
        <f t="shared" si="277"/>
        <v>61971.35</v>
      </c>
      <c r="GR322">
        <v>0</v>
      </c>
      <c r="GS322">
        <v>3</v>
      </c>
      <c r="GT322">
        <v>0</v>
      </c>
      <c r="GU322" t="s">
        <v>3</v>
      </c>
      <c r="GV322">
        <f t="shared" si="278"/>
        <v>0</v>
      </c>
      <c r="GW322">
        <v>1</v>
      </c>
      <c r="GX322">
        <f t="shared" si="279"/>
        <v>0</v>
      </c>
      <c r="HA322">
        <v>0</v>
      </c>
      <c r="HB322">
        <v>0</v>
      </c>
      <c r="HC322">
        <f t="shared" si="280"/>
        <v>0</v>
      </c>
      <c r="HE322" t="s">
        <v>3</v>
      </c>
      <c r="HF322" t="s">
        <v>3</v>
      </c>
      <c r="HM322" t="s">
        <v>3</v>
      </c>
      <c r="HN322" t="s">
        <v>3</v>
      </c>
      <c r="HO322" t="s">
        <v>3</v>
      </c>
      <c r="HP322" t="s">
        <v>3</v>
      </c>
      <c r="HQ322" t="s">
        <v>3</v>
      </c>
      <c r="IK322">
        <v>0</v>
      </c>
    </row>
    <row r="323" spans="1:245" x14ac:dyDescent="0.2">
      <c r="A323">
        <v>17</v>
      </c>
      <c r="B323">
        <v>1</v>
      </c>
      <c r="D323">
        <f>ROW(EtalonRes!A92)</f>
        <v>92</v>
      </c>
      <c r="E323" t="s">
        <v>211</v>
      </c>
      <c r="F323" t="s">
        <v>212</v>
      </c>
      <c r="G323" t="s">
        <v>213</v>
      </c>
      <c r="H323" t="s">
        <v>20</v>
      </c>
      <c r="I323">
        <v>8</v>
      </c>
      <c r="J323">
        <v>0</v>
      </c>
      <c r="K323">
        <v>8</v>
      </c>
      <c r="O323">
        <f t="shared" si="241"/>
        <v>2632.48</v>
      </c>
      <c r="P323">
        <f t="shared" si="242"/>
        <v>3.76</v>
      </c>
      <c r="Q323">
        <f t="shared" si="243"/>
        <v>20.239999999999998</v>
      </c>
      <c r="R323">
        <f t="shared" si="244"/>
        <v>0.24</v>
      </c>
      <c r="S323">
        <f t="shared" si="245"/>
        <v>2608.48</v>
      </c>
      <c r="T323">
        <f t="shared" si="246"/>
        <v>0</v>
      </c>
      <c r="U323">
        <f t="shared" si="247"/>
        <v>4.6399999999999997</v>
      </c>
      <c r="V323">
        <f t="shared" si="248"/>
        <v>0</v>
      </c>
      <c r="W323">
        <f t="shared" si="249"/>
        <v>0</v>
      </c>
      <c r="X323">
        <f t="shared" si="250"/>
        <v>1825.94</v>
      </c>
      <c r="Y323">
        <f t="shared" si="251"/>
        <v>260.85000000000002</v>
      </c>
      <c r="AA323">
        <v>1472506909</v>
      </c>
      <c r="AB323">
        <f t="shared" si="252"/>
        <v>329.06</v>
      </c>
      <c r="AC323">
        <f t="shared" si="253"/>
        <v>0.47</v>
      </c>
      <c r="AD323">
        <f t="shared" si="254"/>
        <v>2.5299999999999998</v>
      </c>
      <c r="AE323">
        <f t="shared" si="255"/>
        <v>0.03</v>
      </c>
      <c r="AF323">
        <f t="shared" si="256"/>
        <v>326.06</v>
      </c>
      <c r="AG323">
        <f t="shared" si="257"/>
        <v>0</v>
      </c>
      <c r="AH323">
        <f t="shared" si="258"/>
        <v>0.57999999999999996</v>
      </c>
      <c r="AI323">
        <f t="shared" si="259"/>
        <v>0</v>
      </c>
      <c r="AJ323">
        <f t="shared" si="260"/>
        <v>0</v>
      </c>
      <c r="AK323">
        <v>329.06</v>
      </c>
      <c r="AL323">
        <v>0.47</v>
      </c>
      <c r="AM323">
        <v>2.5299999999999998</v>
      </c>
      <c r="AN323">
        <v>0.03</v>
      </c>
      <c r="AO323">
        <v>326.06</v>
      </c>
      <c r="AP323">
        <v>0</v>
      </c>
      <c r="AQ323">
        <v>0.57999999999999996</v>
      </c>
      <c r="AR323">
        <v>0</v>
      </c>
      <c r="AS323">
        <v>0</v>
      </c>
      <c r="AT323">
        <v>70</v>
      </c>
      <c r="AU323">
        <v>10</v>
      </c>
      <c r="AV323">
        <v>1</v>
      </c>
      <c r="AW323">
        <v>1</v>
      </c>
      <c r="AZ323">
        <v>1</v>
      </c>
      <c r="BA323">
        <v>1</v>
      </c>
      <c r="BB323">
        <v>1</v>
      </c>
      <c r="BC323">
        <v>1</v>
      </c>
      <c r="BD323" t="s">
        <v>3</v>
      </c>
      <c r="BE323" t="s">
        <v>3</v>
      </c>
      <c r="BF323" t="s">
        <v>3</v>
      </c>
      <c r="BG323" t="s">
        <v>3</v>
      </c>
      <c r="BH323">
        <v>0</v>
      </c>
      <c r="BI323">
        <v>4</v>
      </c>
      <c r="BJ323" t="s">
        <v>214</v>
      </c>
      <c r="BM323">
        <v>0</v>
      </c>
      <c r="BN323">
        <v>0</v>
      </c>
      <c r="BO323" t="s">
        <v>3</v>
      </c>
      <c r="BP323">
        <v>0</v>
      </c>
      <c r="BQ323">
        <v>1</v>
      </c>
      <c r="BR323">
        <v>0</v>
      </c>
      <c r="BS323">
        <v>1</v>
      </c>
      <c r="BT323">
        <v>1</v>
      </c>
      <c r="BU323">
        <v>1</v>
      </c>
      <c r="BV323">
        <v>1</v>
      </c>
      <c r="BW323">
        <v>1</v>
      </c>
      <c r="BX323">
        <v>1</v>
      </c>
      <c r="BY323" t="s">
        <v>3</v>
      </c>
      <c r="BZ323">
        <v>70</v>
      </c>
      <c r="CA323">
        <v>10</v>
      </c>
      <c r="CB323" t="s">
        <v>3</v>
      </c>
      <c r="CE323">
        <v>0</v>
      </c>
      <c r="CF323">
        <v>0</v>
      </c>
      <c r="CG323">
        <v>0</v>
      </c>
      <c r="CM323">
        <v>0</v>
      </c>
      <c r="CN323" t="s">
        <v>3</v>
      </c>
      <c r="CO323">
        <v>0</v>
      </c>
      <c r="CP323">
        <f t="shared" si="261"/>
        <v>2632.48</v>
      </c>
      <c r="CQ323">
        <f t="shared" si="262"/>
        <v>0.47</v>
      </c>
      <c r="CR323">
        <f t="shared" si="263"/>
        <v>2.5299999999999998</v>
      </c>
      <c r="CS323">
        <f t="shared" si="264"/>
        <v>0.03</v>
      </c>
      <c r="CT323">
        <f t="shared" si="265"/>
        <v>326.06</v>
      </c>
      <c r="CU323">
        <f t="shared" si="266"/>
        <v>0</v>
      </c>
      <c r="CV323">
        <f t="shared" si="267"/>
        <v>0.57999999999999996</v>
      </c>
      <c r="CW323">
        <f t="shared" si="268"/>
        <v>0</v>
      </c>
      <c r="CX323">
        <f t="shared" si="269"/>
        <v>0</v>
      </c>
      <c r="CY323">
        <f t="shared" si="270"/>
        <v>1825.9360000000001</v>
      </c>
      <c r="CZ323">
        <f t="shared" si="271"/>
        <v>260.84800000000001</v>
      </c>
      <c r="DC323" t="s">
        <v>3</v>
      </c>
      <c r="DD323" t="s">
        <v>3</v>
      </c>
      <c r="DE323" t="s">
        <v>3</v>
      </c>
      <c r="DF323" t="s">
        <v>3</v>
      </c>
      <c r="DG323" t="s">
        <v>3</v>
      </c>
      <c r="DH323" t="s">
        <v>3</v>
      </c>
      <c r="DI323" t="s">
        <v>3</v>
      </c>
      <c r="DJ323" t="s">
        <v>3</v>
      </c>
      <c r="DK323" t="s">
        <v>3</v>
      </c>
      <c r="DL323" t="s">
        <v>3</v>
      </c>
      <c r="DM323" t="s">
        <v>3</v>
      </c>
      <c r="DN323">
        <v>0</v>
      </c>
      <c r="DO323">
        <v>0</v>
      </c>
      <c r="DP323">
        <v>1</v>
      </c>
      <c r="DQ323">
        <v>1</v>
      </c>
      <c r="DU323">
        <v>16987630</v>
      </c>
      <c r="DV323" t="s">
        <v>20</v>
      </c>
      <c r="DW323" t="s">
        <v>20</v>
      </c>
      <c r="DX323">
        <v>1</v>
      </c>
      <c r="DZ323" t="s">
        <v>3</v>
      </c>
      <c r="EA323" t="s">
        <v>3</v>
      </c>
      <c r="EB323" t="s">
        <v>3</v>
      </c>
      <c r="EC323" t="s">
        <v>3</v>
      </c>
      <c r="EE323">
        <v>1441815344</v>
      </c>
      <c r="EF323">
        <v>1</v>
      </c>
      <c r="EG323" t="s">
        <v>22</v>
      </c>
      <c r="EH323">
        <v>0</v>
      </c>
      <c r="EI323" t="s">
        <v>3</v>
      </c>
      <c r="EJ323">
        <v>4</v>
      </c>
      <c r="EK323">
        <v>0</v>
      </c>
      <c r="EL323" t="s">
        <v>23</v>
      </c>
      <c r="EM323" t="s">
        <v>24</v>
      </c>
      <c r="EO323" t="s">
        <v>3</v>
      </c>
      <c r="EQ323">
        <v>0</v>
      </c>
      <c r="ER323">
        <v>329.06</v>
      </c>
      <c r="ES323">
        <v>0.47</v>
      </c>
      <c r="ET323">
        <v>2.5299999999999998</v>
      </c>
      <c r="EU323">
        <v>0.03</v>
      </c>
      <c r="EV323">
        <v>326.06</v>
      </c>
      <c r="EW323">
        <v>0.57999999999999996</v>
      </c>
      <c r="EX323">
        <v>0</v>
      </c>
      <c r="EY323">
        <v>0</v>
      </c>
      <c r="FQ323">
        <v>0</v>
      </c>
      <c r="FR323">
        <f t="shared" si="272"/>
        <v>0</v>
      </c>
      <c r="FS323">
        <v>0</v>
      </c>
      <c r="FX323">
        <v>70</v>
      </c>
      <c r="FY323">
        <v>10</v>
      </c>
      <c r="GA323" t="s">
        <v>3</v>
      </c>
      <c r="GD323">
        <v>0</v>
      </c>
      <c r="GF323">
        <v>-1357631469</v>
      </c>
      <c r="GG323">
        <v>2</v>
      </c>
      <c r="GH323">
        <v>1</v>
      </c>
      <c r="GI323">
        <v>-2</v>
      </c>
      <c r="GJ323">
        <v>0</v>
      </c>
      <c r="GK323">
        <f>ROUND(R323*(R12)/100,2)</f>
        <v>0.26</v>
      </c>
      <c r="GL323">
        <f t="shared" si="273"/>
        <v>0</v>
      </c>
      <c r="GM323">
        <f t="shared" si="274"/>
        <v>4719.53</v>
      </c>
      <c r="GN323">
        <f t="shared" si="275"/>
        <v>0</v>
      </c>
      <c r="GO323">
        <f t="shared" si="276"/>
        <v>0</v>
      </c>
      <c r="GP323">
        <f t="shared" si="277"/>
        <v>4719.53</v>
      </c>
      <c r="GR323">
        <v>0</v>
      </c>
      <c r="GS323">
        <v>3</v>
      </c>
      <c r="GT323">
        <v>0</v>
      </c>
      <c r="GU323" t="s">
        <v>3</v>
      </c>
      <c r="GV323">
        <f t="shared" si="278"/>
        <v>0</v>
      </c>
      <c r="GW323">
        <v>1</v>
      </c>
      <c r="GX323">
        <f t="shared" si="279"/>
        <v>0</v>
      </c>
      <c r="HA323">
        <v>0</v>
      </c>
      <c r="HB323">
        <v>0</v>
      </c>
      <c r="HC323">
        <f t="shared" si="280"/>
        <v>0</v>
      </c>
      <c r="HE323" t="s">
        <v>3</v>
      </c>
      <c r="HF323" t="s">
        <v>3</v>
      </c>
      <c r="HM323" t="s">
        <v>3</v>
      </c>
      <c r="HN323" t="s">
        <v>3</v>
      </c>
      <c r="HO323" t="s">
        <v>3</v>
      </c>
      <c r="HP323" t="s">
        <v>3</v>
      </c>
      <c r="HQ323" t="s">
        <v>3</v>
      </c>
      <c r="IK323">
        <v>0</v>
      </c>
    </row>
    <row r="324" spans="1:245" x14ac:dyDescent="0.2">
      <c r="A324">
        <v>17</v>
      </c>
      <c r="B324">
        <v>1</v>
      </c>
      <c r="D324">
        <f>ROW(EtalonRes!A94)</f>
        <v>94</v>
      </c>
      <c r="E324" t="s">
        <v>215</v>
      </c>
      <c r="F324" t="s">
        <v>204</v>
      </c>
      <c r="G324" t="s">
        <v>1066</v>
      </c>
      <c r="H324" t="s">
        <v>20</v>
      </c>
      <c r="I324">
        <v>2</v>
      </c>
      <c r="J324">
        <v>0</v>
      </c>
      <c r="K324">
        <v>2</v>
      </c>
      <c r="O324">
        <f t="shared" si="241"/>
        <v>405.24</v>
      </c>
      <c r="P324">
        <f t="shared" si="242"/>
        <v>0.48</v>
      </c>
      <c r="Q324">
        <f t="shared" si="243"/>
        <v>0</v>
      </c>
      <c r="R324">
        <f t="shared" si="244"/>
        <v>0</v>
      </c>
      <c r="S324">
        <f t="shared" si="245"/>
        <v>404.76</v>
      </c>
      <c r="T324">
        <f t="shared" si="246"/>
        <v>0</v>
      </c>
      <c r="U324">
        <f t="shared" si="247"/>
        <v>0.72</v>
      </c>
      <c r="V324">
        <f t="shared" si="248"/>
        <v>0</v>
      </c>
      <c r="W324">
        <f t="shared" si="249"/>
        <v>0</v>
      </c>
      <c r="X324">
        <f t="shared" si="250"/>
        <v>283.33</v>
      </c>
      <c r="Y324">
        <f t="shared" si="251"/>
        <v>40.479999999999997</v>
      </c>
      <c r="AA324">
        <v>1472506909</v>
      </c>
      <c r="AB324">
        <f t="shared" si="252"/>
        <v>202.62</v>
      </c>
      <c r="AC324">
        <f t="shared" si="253"/>
        <v>0.24</v>
      </c>
      <c r="AD324">
        <f t="shared" si="254"/>
        <v>0</v>
      </c>
      <c r="AE324">
        <f t="shared" si="255"/>
        <v>0</v>
      </c>
      <c r="AF324">
        <f t="shared" si="256"/>
        <v>202.38</v>
      </c>
      <c r="AG324">
        <f t="shared" si="257"/>
        <v>0</v>
      </c>
      <c r="AH324">
        <f t="shared" si="258"/>
        <v>0.36</v>
      </c>
      <c r="AI324">
        <f t="shared" si="259"/>
        <v>0</v>
      </c>
      <c r="AJ324">
        <f t="shared" si="260"/>
        <v>0</v>
      </c>
      <c r="AK324">
        <v>202.62</v>
      </c>
      <c r="AL324">
        <v>0.24</v>
      </c>
      <c r="AM324">
        <v>0</v>
      </c>
      <c r="AN324">
        <v>0</v>
      </c>
      <c r="AO324">
        <v>202.38</v>
      </c>
      <c r="AP324">
        <v>0</v>
      </c>
      <c r="AQ324">
        <v>0.36</v>
      </c>
      <c r="AR324">
        <v>0</v>
      </c>
      <c r="AS324">
        <v>0</v>
      </c>
      <c r="AT324">
        <v>70</v>
      </c>
      <c r="AU324">
        <v>10</v>
      </c>
      <c r="AV324">
        <v>1</v>
      </c>
      <c r="AW324">
        <v>1</v>
      </c>
      <c r="AZ324">
        <v>1</v>
      </c>
      <c r="BA324">
        <v>1</v>
      </c>
      <c r="BB324">
        <v>1</v>
      </c>
      <c r="BC324">
        <v>1</v>
      </c>
      <c r="BD324" t="s">
        <v>3</v>
      </c>
      <c r="BE324" t="s">
        <v>3</v>
      </c>
      <c r="BF324" t="s">
        <v>3</v>
      </c>
      <c r="BG324" t="s">
        <v>3</v>
      </c>
      <c r="BH324">
        <v>0</v>
      </c>
      <c r="BI324">
        <v>4</v>
      </c>
      <c r="BJ324" t="s">
        <v>206</v>
      </c>
      <c r="BM324">
        <v>0</v>
      </c>
      <c r="BN324">
        <v>0</v>
      </c>
      <c r="BO324" t="s">
        <v>3</v>
      </c>
      <c r="BP324">
        <v>0</v>
      </c>
      <c r="BQ324">
        <v>1</v>
      </c>
      <c r="BR324">
        <v>0</v>
      </c>
      <c r="BS324">
        <v>1</v>
      </c>
      <c r="BT324">
        <v>1</v>
      </c>
      <c r="BU324">
        <v>1</v>
      </c>
      <c r="BV324">
        <v>1</v>
      </c>
      <c r="BW324">
        <v>1</v>
      </c>
      <c r="BX324">
        <v>1</v>
      </c>
      <c r="BY324" t="s">
        <v>3</v>
      </c>
      <c r="BZ324">
        <v>70</v>
      </c>
      <c r="CA324">
        <v>10</v>
      </c>
      <c r="CB324" t="s">
        <v>3</v>
      </c>
      <c r="CE324">
        <v>0</v>
      </c>
      <c r="CF324">
        <v>0</v>
      </c>
      <c r="CG324">
        <v>0</v>
      </c>
      <c r="CM324">
        <v>0</v>
      </c>
      <c r="CN324" t="s">
        <v>3</v>
      </c>
      <c r="CO324">
        <v>0</v>
      </c>
      <c r="CP324">
        <f t="shared" si="261"/>
        <v>405.24</v>
      </c>
      <c r="CQ324">
        <f t="shared" si="262"/>
        <v>0.24</v>
      </c>
      <c r="CR324">
        <f t="shared" si="263"/>
        <v>0</v>
      </c>
      <c r="CS324">
        <f t="shared" si="264"/>
        <v>0</v>
      </c>
      <c r="CT324">
        <f t="shared" si="265"/>
        <v>202.38</v>
      </c>
      <c r="CU324">
        <f t="shared" si="266"/>
        <v>0</v>
      </c>
      <c r="CV324">
        <f t="shared" si="267"/>
        <v>0.36</v>
      </c>
      <c r="CW324">
        <f t="shared" si="268"/>
        <v>0</v>
      </c>
      <c r="CX324">
        <f t="shared" si="269"/>
        <v>0</v>
      </c>
      <c r="CY324">
        <f t="shared" si="270"/>
        <v>283.33199999999999</v>
      </c>
      <c r="CZ324">
        <f t="shared" si="271"/>
        <v>40.475999999999999</v>
      </c>
      <c r="DC324" t="s">
        <v>3</v>
      </c>
      <c r="DD324" t="s">
        <v>3</v>
      </c>
      <c r="DE324" t="s">
        <v>3</v>
      </c>
      <c r="DF324" t="s">
        <v>3</v>
      </c>
      <c r="DG324" t="s">
        <v>3</v>
      </c>
      <c r="DH324" t="s">
        <v>3</v>
      </c>
      <c r="DI324" t="s">
        <v>3</v>
      </c>
      <c r="DJ324" t="s">
        <v>3</v>
      </c>
      <c r="DK324" t="s">
        <v>3</v>
      </c>
      <c r="DL324" t="s">
        <v>3</v>
      </c>
      <c r="DM324" t="s">
        <v>3</v>
      </c>
      <c r="DN324">
        <v>0</v>
      </c>
      <c r="DO324">
        <v>0</v>
      </c>
      <c r="DP324">
        <v>1</v>
      </c>
      <c r="DQ324">
        <v>1</v>
      </c>
      <c r="DU324">
        <v>16987630</v>
      </c>
      <c r="DV324" t="s">
        <v>20</v>
      </c>
      <c r="DW324" t="s">
        <v>20</v>
      </c>
      <c r="DX324">
        <v>1</v>
      </c>
      <c r="DZ324" t="s">
        <v>3</v>
      </c>
      <c r="EA324" t="s">
        <v>3</v>
      </c>
      <c r="EB324" t="s">
        <v>3</v>
      </c>
      <c r="EC324" t="s">
        <v>3</v>
      </c>
      <c r="EE324">
        <v>1441815344</v>
      </c>
      <c r="EF324">
        <v>1</v>
      </c>
      <c r="EG324" t="s">
        <v>22</v>
      </c>
      <c r="EH324">
        <v>0</v>
      </c>
      <c r="EI324" t="s">
        <v>3</v>
      </c>
      <c r="EJ324">
        <v>4</v>
      </c>
      <c r="EK324">
        <v>0</v>
      </c>
      <c r="EL324" t="s">
        <v>23</v>
      </c>
      <c r="EM324" t="s">
        <v>24</v>
      </c>
      <c r="EO324" t="s">
        <v>3</v>
      </c>
      <c r="EQ324">
        <v>0</v>
      </c>
      <c r="ER324">
        <v>202.62</v>
      </c>
      <c r="ES324">
        <v>0.24</v>
      </c>
      <c r="ET324">
        <v>0</v>
      </c>
      <c r="EU324">
        <v>0</v>
      </c>
      <c r="EV324">
        <v>202.38</v>
      </c>
      <c r="EW324">
        <v>0.36</v>
      </c>
      <c r="EX324">
        <v>0</v>
      </c>
      <c r="EY324">
        <v>0</v>
      </c>
      <c r="FQ324">
        <v>0</v>
      </c>
      <c r="FR324">
        <f t="shared" si="272"/>
        <v>0</v>
      </c>
      <c r="FS324">
        <v>0</v>
      </c>
      <c r="FX324">
        <v>70</v>
      </c>
      <c r="FY324">
        <v>10</v>
      </c>
      <c r="GA324" t="s">
        <v>3</v>
      </c>
      <c r="GD324">
        <v>0</v>
      </c>
      <c r="GF324">
        <v>-206543460</v>
      </c>
      <c r="GG324">
        <v>2</v>
      </c>
      <c r="GH324">
        <v>1</v>
      </c>
      <c r="GI324">
        <v>-2</v>
      </c>
      <c r="GJ324">
        <v>0</v>
      </c>
      <c r="GK324">
        <f>ROUND(R324*(R12)/100,2)</f>
        <v>0</v>
      </c>
      <c r="GL324">
        <f t="shared" si="273"/>
        <v>0</v>
      </c>
      <c r="GM324">
        <f t="shared" si="274"/>
        <v>729.05</v>
      </c>
      <c r="GN324">
        <f t="shared" si="275"/>
        <v>0</v>
      </c>
      <c r="GO324">
        <f t="shared" si="276"/>
        <v>0</v>
      </c>
      <c r="GP324">
        <f t="shared" si="277"/>
        <v>729.05</v>
      </c>
      <c r="GR324">
        <v>0</v>
      </c>
      <c r="GS324">
        <v>3</v>
      </c>
      <c r="GT324">
        <v>0</v>
      </c>
      <c r="GU324" t="s">
        <v>3</v>
      </c>
      <c r="GV324">
        <f t="shared" si="278"/>
        <v>0</v>
      </c>
      <c r="GW324">
        <v>1</v>
      </c>
      <c r="GX324">
        <f t="shared" si="279"/>
        <v>0</v>
      </c>
      <c r="HA324">
        <v>0</v>
      </c>
      <c r="HB324">
        <v>0</v>
      </c>
      <c r="HC324">
        <f t="shared" si="280"/>
        <v>0</v>
      </c>
      <c r="HE324" t="s">
        <v>3</v>
      </c>
      <c r="HF324" t="s">
        <v>3</v>
      </c>
      <c r="HM324" t="s">
        <v>3</v>
      </c>
      <c r="HN324" t="s">
        <v>3</v>
      </c>
      <c r="HO324" t="s">
        <v>3</v>
      </c>
      <c r="HP324" t="s">
        <v>3</v>
      </c>
      <c r="HQ324" t="s">
        <v>3</v>
      </c>
      <c r="IK324">
        <v>0</v>
      </c>
    </row>
    <row r="325" spans="1:245" x14ac:dyDescent="0.2">
      <c r="A325">
        <v>17</v>
      </c>
      <c r="B325">
        <v>1</v>
      </c>
      <c r="D325">
        <f>ROW(EtalonRes!A96)</f>
        <v>96</v>
      </c>
      <c r="E325" t="s">
        <v>216</v>
      </c>
      <c r="F325" t="s">
        <v>208</v>
      </c>
      <c r="G325" t="s">
        <v>1067</v>
      </c>
      <c r="H325" t="s">
        <v>20</v>
      </c>
      <c r="I325">
        <v>4</v>
      </c>
      <c r="J325">
        <v>0</v>
      </c>
      <c r="K325">
        <v>4</v>
      </c>
      <c r="O325">
        <f t="shared" si="241"/>
        <v>1036.28</v>
      </c>
      <c r="P325">
        <f t="shared" si="242"/>
        <v>1.88</v>
      </c>
      <c r="Q325">
        <f t="shared" si="243"/>
        <v>0</v>
      </c>
      <c r="R325">
        <f t="shared" si="244"/>
        <v>0</v>
      </c>
      <c r="S325">
        <f t="shared" si="245"/>
        <v>1034.4000000000001</v>
      </c>
      <c r="T325">
        <f t="shared" si="246"/>
        <v>0</v>
      </c>
      <c r="U325">
        <f t="shared" si="247"/>
        <v>1.84</v>
      </c>
      <c r="V325">
        <f t="shared" si="248"/>
        <v>0</v>
      </c>
      <c r="W325">
        <f t="shared" si="249"/>
        <v>0</v>
      </c>
      <c r="X325">
        <f t="shared" si="250"/>
        <v>724.08</v>
      </c>
      <c r="Y325">
        <f t="shared" si="251"/>
        <v>103.44</v>
      </c>
      <c r="AA325">
        <v>1472506909</v>
      </c>
      <c r="AB325">
        <f t="shared" si="252"/>
        <v>259.07</v>
      </c>
      <c r="AC325">
        <f t="shared" si="253"/>
        <v>0.47</v>
      </c>
      <c r="AD325">
        <f t="shared" si="254"/>
        <v>0</v>
      </c>
      <c r="AE325">
        <f t="shared" si="255"/>
        <v>0</v>
      </c>
      <c r="AF325">
        <f t="shared" si="256"/>
        <v>258.60000000000002</v>
      </c>
      <c r="AG325">
        <f t="shared" si="257"/>
        <v>0</v>
      </c>
      <c r="AH325">
        <f t="shared" si="258"/>
        <v>0.46</v>
      </c>
      <c r="AI325">
        <f t="shared" si="259"/>
        <v>0</v>
      </c>
      <c r="AJ325">
        <f t="shared" si="260"/>
        <v>0</v>
      </c>
      <c r="AK325">
        <v>259.07</v>
      </c>
      <c r="AL325">
        <v>0.47</v>
      </c>
      <c r="AM325">
        <v>0</v>
      </c>
      <c r="AN325">
        <v>0</v>
      </c>
      <c r="AO325">
        <v>258.60000000000002</v>
      </c>
      <c r="AP325">
        <v>0</v>
      </c>
      <c r="AQ325">
        <v>0.46</v>
      </c>
      <c r="AR325">
        <v>0</v>
      </c>
      <c r="AS325">
        <v>0</v>
      </c>
      <c r="AT325">
        <v>70</v>
      </c>
      <c r="AU325">
        <v>10</v>
      </c>
      <c r="AV325">
        <v>1</v>
      </c>
      <c r="AW325">
        <v>1</v>
      </c>
      <c r="AZ325">
        <v>1</v>
      </c>
      <c r="BA325">
        <v>1</v>
      </c>
      <c r="BB325">
        <v>1</v>
      </c>
      <c r="BC325">
        <v>1</v>
      </c>
      <c r="BD325" t="s">
        <v>3</v>
      </c>
      <c r="BE325" t="s">
        <v>3</v>
      </c>
      <c r="BF325" t="s">
        <v>3</v>
      </c>
      <c r="BG325" t="s">
        <v>3</v>
      </c>
      <c r="BH325">
        <v>0</v>
      </c>
      <c r="BI325">
        <v>4</v>
      </c>
      <c r="BJ325" t="s">
        <v>210</v>
      </c>
      <c r="BM325">
        <v>0</v>
      </c>
      <c r="BN325">
        <v>0</v>
      </c>
      <c r="BO325" t="s">
        <v>3</v>
      </c>
      <c r="BP325">
        <v>0</v>
      </c>
      <c r="BQ325">
        <v>1</v>
      </c>
      <c r="BR325">
        <v>0</v>
      </c>
      <c r="BS325">
        <v>1</v>
      </c>
      <c r="BT325">
        <v>1</v>
      </c>
      <c r="BU325">
        <v>1</v>
      </c>
      <c r="BV325">
        <v>1</v>
      </c>
      <c r="BW325">
        <v>1</v>
      </c>
      <c r="BX325">
        <v>1</v>
      </c>
      <c r="BY325" t="s">
        <v>3</v>
      </c>
      <c r="BZ325">
        <v>70</v>
      </c>
      <c r="CA325">
        <v>10</v>
      </c>
      <c r="CB325" t="s">
        <v>3</v>
      </c>
      <c r="CE325">
        <v>0</v>
      </c>
      <c r="CF325">
        <v>0</v>
      </c>
      <c r="CG325">
        <v>0</v>
      </c>
      <c r="CM325">
        <v>0</v>
      </c>
      <c r="CN325" t="s">
        <v>3</v>
      </c>
      <c r="CO325">
        <v>0</v>
      </c>
      <c r="CP325">
        <f t="shared" si="261"/>
        <v>1036.2800000000002</v>
      </c>
      <c r="CQ325">
        <f t="shared" si="262"/>
        <v>0.47</v>
      </c>
      <c r="CR325">
        <f t="shared" si="263"/>
        <v>0</v>
      </c>
      <c r="CS325">
        <f t="shared" si="264"/>
        <v>0</v>
      </c>
      <c r="CT325">
        <f t="shared" si="265"/>
        <v>258.60000000000002</v>
      </c>
      <c r="CU325">
        <f t="shared" si="266"/>
        <v>0</v>
      </c>
      <c r="CV325">
        <f t="shared" si="267"/>
        <v>0.46</v>
      </c>
      <c r="CW325">
        <f t="shared" si="268"/>
        <v>0</v>
      </c>
      <c r="CX325">
        <f t="shared" si="269"/>
        <v>0</v>
      </c>
      <c r="CY325">
        <f t="shared" si="270"/>
        <v>724.08</v>
      </c>
      <c r="CZ325">
        <f t="shared" si="271"/>
        <v>103.44</v>
      </c>
      <c r="DC325" t="s">
        <v>3</v>
      </c>
      <c r="DD325" t="s">
        <v>3</v>
      </c>
      <c r="DE325" t="s">
        <v>3</v>
      </c>
      <c r="DF325" t="s">
        <v>3</v>
      </c>
      <c r="DG325" t="s">
        <v>3</v>
      </c>
      <c r="DH325" t="s">
        <v>3</v>
      </c>
      <c r="DI325" t="s">
        <v>3</v>
      </c>
      <c r="DJ325" t="s">
        <v>3</v>
      </c>
      <c r="DK325" t="s">
        <v>3</v>
      </c>
      <c r="DL325" t="s">
        <v>3</v>
      </c>
      <c r="DM325" t="s">
        <v>3</v>
      </c>
      <c r="DN325">
        <v>0</v>
      </c>
      <c r="DO325">
        <v>0</v>
      </c>
      <c r="DP325">
        <v>1</v>
      </c>
      <c r="DQ325">
        <v>1</v>
      </c>
      <c r="DU325">
        <v>16987630</v>
      </c>
      <c r="DV325" t="s">
        <v>20</v>
      </c>
      <c r="DW325" t="s">
        <v>20</v>
      </c>
      <c r="DX325">
        <v>1</v>
      </c>
      <c r="DZ325" t="s">
        <v>3</v>
      </c>
      <c r="EA325" t="s">
        <v>3</v>
      </c>
      <c r="EB325" t="s">
        <v>3</v>
      </c>
      <c r="EC325" t="s">
        <v>3</v>
      </c>
      <c r="EE325">
        <v>1441815344</v>
      </c>
      <c r="EF325">
        <v>1</v>
      </c>
      <c r="EG325" t="s">
        <v>22</v>
      </c>
      <c r="EH325">
        <v>0</v>
      </c>
      <c r="EI325" t="s">
        <v>3</v>
      </c>
      <c r="EJ325">
        <v>4</v>
      </c>
      <c r="EK325">
        <v>0</v>
      </c>
      <c r="EL325" t="s">
        <v>23</v>
      </c>
      <c r="EM325" t="s">
        <v>24</v>
      </c>
      <c r="EO325" t="s">
        <v>3</v>
      </c>
      <c r="EQ325">
        <v>0</v>
      </c>
      <c r="ER325">
        <v>259.07</v>
      </c>
      <c r="ES325">
        <v>0.47</v>
      </c>
      <c r="ET325">
        <v>0</v>
      </c>
      <c r="EU325">
        <v>0</v>
      </c>
      <c r="EV325">
        <v>258.60000000000002</v>
      </c>
      <c r="EW325">
        <v>0.46</v>
      </c>
      <c r="EX325">
        <v>0</v>
      </c>
      <c r="EY325">
        <v>0</v>
      </c>
      <c r="FQ325">
        <v>0</v>
      </c>
      <c r="FR325">
        <f t="shared" si="272"/>
        <v>0</v>
      </c>
      <c r="FS325">
        <v>0</v>
      </c>
      <c r="FX325">
        <v>70</v>
      </c>
      <c r="FY325">
        <v>10</v>
      </c>
      <c r="GA325" t="s">
        <v>3</v>
      </c>
      <c r="GD325">
        <v>0</v>
      </c>
      <c r="GF325">
        <v>-1973331914</v>
      </c>
      <c r="GG325">
        <v>2</v>
      </c>
      <c r="GH325">
        <v>1</v>
      </c>
      <c r="GI325">
        <v>-2</v>
      </c>
      <c r="GJ325">
        <v>0</v>
      </c>
      <c r="GK325">
        <f>ROUND(R325*(R12)/100,2)</f>
        <v>0</v>
      </c>
      <c r="GL325">
        <f t="shared" si="273"/>
        <v>0</v>
      </c>
      <c r="GM325">
        <f t="shared" si="274"/>
        <v>1863.8</v>
      </c>
      <c r="GN325">
        <f t="shared" si="275"/>
        <v>0</v>
      </c>
      <c r="GO325">
        <f t="shared" si="276"/>
        <v>0</v>
      </c>
      <c r="GP325">
        <f t="shared" si="277"/>
        <v>1863.8</v>
      </c>
      <c r="GR325">
        <v>0</v>
      </c>
      <c r="GS325">
        <v>3</v>
      </c>
      <c r="GT325">
        <v>0</v>
      </c>
      <c r="GU325" t="s">
        <v>3</v>
      </c>
      <c r="GV325">
        <f t="shared" si="278"/>
        <v>0</v>
      </c>
      <c r="GW325">
        <v>1</v>
      </c>
      <c r="GX325">
        <f t="shared" si="279"/>
        <v>0</v>
      </c>
      <c r="HA325">
        <v>0</v>
      </c>
      <c r="HB325">
        <v>0</v>
      </c>
      <c r="HC325">
        <f t="shared" si="280"/>
        <v>0</v>
      </c>
      <c r="HE325" t="s">
        <v>3</v>
      </c>
      <c r="HF325" t="s">
        <v>3</v>
      </c>
      <c r="HM325" t="s">
        <v>3</v>
      </c>
      <c r="HN325" t="s">
        <v>3</v>
      </c>
      <c r="HO325" t="s">
        <v>3</v>
      </c>
      <c r="HP325" t="s">
        <v>3</v>
      </c>
      <c r="HQ325" t="s">
        <v>3</v>
      </c>
      <c r="IK325">
        <v>0</v>
      </c>
    </row>
    <row r="326" spans="1:245" x14ac:dyDescent="0.2">
      <c r="A326">
        <v>17</v>
      </c>
      <c r="B326">
        <v>1</v>
      </c>
      <c r="D326">
        <f>ROW(EtalonRes!A99)</f>
        <v>99</v>
      </c>
      <c r="E326" t="s">
        <v>217</v>
      </c>
      <c r="F326" t="s">
        <v>212</v>
      </c>
      <c r="G326" t="s">
        <v>1068</v>
      </c>
      <c r="H326" t="s">
        <v>20</v>
      </c>
      <c r="I326">
        <v>5</v>
      </c>
      <c r="J326">
        <v>0</v>
      </c>
      <c r="K326">
        <v>5</v>
      </c>
      <c r="O326">
        <f t="shared" si="241"/>
        <v>1645.3</v>
      </c>
      <c r="P326">
        <f t="shared" si="242"/>
        <v>2.35</v>
      </c>
      <c r="Q326">
        <f t="shared" si="243"/>
        <v>12.65</v>
      </c>
      <c r="R326">
        <f t="shared" si="244"/>
        <v>0.15</v>
      </c>
      <c r="S326">
        <f t="shared" si="245"/>
        <v>1630.3</v>
      </c>
      <c r="T326">
        <f t="shared" si="246"/>
        <v>0</v>
      </c>
      <c r="U326">
        <f t="shared" si="247"/>
        <v>2.9</v>
      </c>
      <c r="V326">
        <f t="shared" si="248"/>
        <v>0</v>
      </c>
      <c r="W326">
        <f t="shared" si="249"/>
        <v>0</v>
      </c>
      <c r="X326">
        <f t="shared" si="250"/>
        <v>1141.21</v>
      </c>
      <c r="Y326">
        <f t="shared" si="251"/>
        <v>163.03</v>
      </c>
      <c r="AA326">
        <v>1472506909</v>
      </c>
      <c r="AB326">
        <f t="shared" si="252"/>
        <v>329.06</v>
      </c>
      <c r="AC326">
        <f t="shared" si="253"/>
        <v>0.47</v>
      </c>
      <c r="AD326">
        <f t="shared" si="254"/>
        <v>2.5299999999999998</v>
      </c>
      <c r="AE326">
        <f t="shared" si="255"/>
        <v>0.03</v>
      </c>
      <c r="AF326">
        <f t="shared" si="256"/>
        <v>326.06</v>
      </c>
      <c r="AG326">
        <f t="shared" si="257"/>
        <v>0</v>
      </c>
      <c r="AH326">
        <f t="shared" si="258"/>
        <v>0.57999999999999996</v>
      </c>
      <c r="AI326">
        <f t="shared" si="259"/>
        <v>0</v>
      </c>
      <c r="AJ326">
        <f t="shared" si="260"/>
        <v>0</v>
      </c>
      <c r="AK326">
        <v>329.06</v>
      </c>
      <c r="AL326">
        <v>0.47</v>
      </c>
      <c r="AM326">
        <v>2.5299999999999998</v>
      </c>
      <c r="AN326">
        <v>0.03</v>
      </c>
      <c r="AO326">
        <v>326.06</v>
      </c>
      <c r="AP326">
        <v>0</v>
      </c>
      <c r="AQ326">
        <v>0.57999999999999996</v>
      </c>
      <c r="AR326">
        <v>0</v>
      </c>
      <c r="AS326">
        <v>0</v>
      </c>
      <c r="AT326">
        <v>70</v>
      </c>
      <c r="AU326">
        <v>10</v>
      </c>
      <c r="AV326">
        <v>1</v>
      </c>
      <c r="AW326">
        <v>1</v>
      </c>
      <c r="AZ326">
        <v>1</v>
      </c>
      <c r="BA326">
        <v>1</v>
      </c>
      <c r="BB326">
        <v>1</v>
      </c>
      <c r="BC326">
        <v>1</v>
      </c>
      <c r="BD326" t="s">
        <v>3</v>
      </c>
      <c r="BE326" t="s">
        <v>3</v>
      </c>
      <c r="BF326" t="s">
        <v>3</v>
      </c>
      <c r="BG326" t="s">
        <v>3</v>
      </c>
      <c r="BH326">
        <v>0</v>
      </c>
      <c r="BI326">
        <v>4</v>
      </c>
      <c r="BJ326" t="s">
        <v>214</v>
      </c>
      <c r="BM326">
        <v>0</v>
      </c>
      <c r="BN326">
        <v>0</v>
      </c>
      <c r="BO326" t="s">
        <v>3</v>
      </c>
      <c r="BP326">
        <v>0</v>
      </c>
      <c r="BQ326">
        <v>1</v>
      </c>
      <c r="BR326">
        <v>0</v>
      </c>
      <c r="BS326">
        <v>1</v>
      </c>
      <c r="BT326">
        <v>1</v>
      </c>
      <c r="BU326">
        <v>1</v>
      </c>
      <c r="BV326">
        <v>1</v>
      </c>
      <c r="BW326">
        <v>1</v>
      </c>
      <c r="BX326">
        <v>1</v>
      </c>
      <c r="BY326" t="s">
        <v>3</v>
      </c>
      <c r="BZ326">
        <v>70</v>
      </c>
      <c r="CA326">
        <v>10</v>
      </c>
      <c r="CB326" t="s">
        <v>3</v>
      </c>
      <c r="CE326">
        <v>0</v>
      </c>
      <c r="CF326">
        <v>0</v>
      </c>
      <c r="CG326">
        <v>0</v>
      </c>
      <c r="CM326">
        <v>0</v>
      </c>
      <c r="CN326" t="s">
        <v>3</v>
      </c>
      <c r="CO326">
        <v>0</v>
      </c>
      <c r="CP326">
        <f t="shared" si="261"/>
        <v>1645.3</v>
      </c>
      <c r="CQ326">
        <f t="shared" si="262"/>
        <v>0.47</v>
      </c>
      <c r="CR326">
        <f t="shared" si="263"/>
        <v>2.5299999999999998</v>
      </c>
      <c r="CS326">
        <f t="shared" si="264"/>
        <v>0.03</v>
      </c>
      <c r="CT326">
        <f t="shared" si="265"/>
        <v>326.06</v>
      </c>
      <c r="CU326">
        <f t="shared" si="266"/>
        <v>0</v>
      </c>
      <c r="CV326">
        <f t="shared" si="267"/>
        <v>0.57999999999999996</v>
      </c>
      <c r="CW326">
        <f t="shared" si="268"/>
        <v>0</v>
      </c>
      <c r="CX326">
        <f t="shared" si="269"/>
        <v>0</v>
      </c>
      <c r="CY326">
        <f t="shared" si="270"/>
        <v>1141.21</v>
      </c>
      <c r="CZ326">
        <f t="shared" si="271"/>
        <v>163.03</v>
      </c>
      <c r="DC326" t="s">
        <v>3</v>
      </c>
      <c r="DD326" t="s">
        <v>3</v>
      </c>
      <c r="DE326" t="s">
        <v>3</v>
      </c>
      <c r="DF326" t="s">
        <v>3</v>
      </c>
      <c r="DG326" t="s">
        <v>3</v>
      </c>
      <c r="DH326" t="s">
        <v>3</v>
      </c>
      <c r="DI326" t="s">
        <v>3</v>
      </c>
      <c r="DJ326" t="s">
        <v>3</v>
      </c>
      <c r="DK326" t="s">
        <v>3</v>
      </c>
      <c r="DL326" t="s">
        <v>3</v>
      </c>
      <c r="DM326" t="s">
        <v>3</v>
      </c>
      <c r="DN326">
        <v>0</v>
      </c>
      <c r="DO326">
        <v>0</v>
      </c>
      <c r="DP326">
        <v>1</v>
      </c>
      <c r="DQ326">
        <v>1</v>
      </c>
      <c r="DU326">
        <v>16987630</v>
      </c>
      <c r="DV326" t="s">
        <v>20</v>
      </c>
      <c r="DW326" t="s">
        <v>20</v>
      </c>
      <c r="DX326">
        <v>1</v>
      </c>
      <c r="DZ326" t="s">
        <v>3</v>
      </c>
      <c r="EA326" t="s">
        <v>3</v>
      </c>
      <c r="EB326" t="s">
        <v>3</v>
      </c>
      <c r="EC326" t="s">
        <v>3</v>
      </c>
      <c r="EE326">
        <v>1441815344</v>
      </c>
      <c r="EF326">
        <v>1</v>
      </c>
      <c r="EG326" t="s">
        <v>22</v>
      </c>
      <c r="EH326">
        <v>0</v>
      </c>
      <c r="EI326" t="s">
        <v>3</v>
      </c>
      <c r="EJ326">
        <v>4</v>
      </c>
      <c r="EK326">
        <v>0</v>
      </c>
      <c r="EL326" t="s">
        <v>23</v>
      </c>
      <c r="EM326" t="s">
        <v>24</v>
      </c>
      <c r="EO326" t="s">
        <v>3</v>
      </c>
      <c r="EQ326">
        <v>0</v>
      </c>
      <c r="ER326">
        <v>329.06</v>
      </c>
      <c r="ES326">
        <v>0.47</v>
      </c>
      <c r="ET326">
        <v>2.5299999999999998</v>
      </c>
      <c r="EU326">
        <v>0.03</v>
      </c>
      <c r="EV326">
        <v>326.06</v>
      </c>
      <c r="EW326">
        <v>0.57999999999999996</v>
      </c>
      <c r="EX326">
        <v>0</v>
      </c>
      <c r="EY326">
        <v>0</v>
      </c>
      <c r="FQ326">
        <v>0</v>
      </c>
      <c r="FR326">
        <f t="shared" si="272"/>
        <v>0</v>
      </c>
      <c r="FS326">
        <v>0</v>
      </c>
      <c r="FX326">
        <v>70</v>
      </c>
      <c r="FY326">
        <v>10</v>
      </c>
      <c r="GA326" t="s">
        <v>3</v>
      </c>
      <c r="GD326">
        <v>0</v>
      </c>
      <c r="GF326">
        <v>-270797805</v>
      </c>
      <c r="GG326">
        <v>2</v>
      </c>
      <c r="GH326">
        <v>1</v>
      </c>
      <c r="GI326">
        <v>-2</v>
      </c>
      <c r="GJ326">
        <v>0</v>
      </c>
      <c r="GK326">
        <f>ROUND(R326*(R12)/100,2)</f>
        <v>0.16</v>
      </c>
      <c r="GL326">
        <f t="shared" si="273"/>
        <v>0</v>
      </c>
      <c r="GM326">
        <f t="shared" si="274"/>
        <v>2949.7</v>
      </c>
      <c r="GN326">
        <f t="shared" si="275"/>
        <v>0</v>
      </c>
      <c r="GO326">
        <f t="shared" si="276"/>
        <v>0</v>
      </c>
      <c r="GP326">
        <f t="shared" si="277"/>
        <v>2949.7</v>
      </c>
      <c r="GR326">
        <v>0</v>
      </c>
      <c r="GS326">
        <v>3</v>
      </c>
      <c r="GT326">
        <v>0</v>
      </c>
      <c r="GU326" t="s">
        <v>3</v>
      </c>
      <c r="GV326">
        <f t="shared" si="278"/>
        <v>0</v>
      </c>
      <c r="GW326">
        <v>1</v>
      </c>
      <c r="GX326">
        <f t="shared" si="279"/>
        <v>0</v>
      </c>
      <c r="HA326">
        <v>0</v>
      </c>
      <c r="HB326">
        <v>0</v>
      </c>
      <c r="HC326">
        <f t="shared" si="280"/>
        <v>0</v>
      </c>
      <c r="HE326" t="s">
        <v>3</v>
      </c>
      <c r="HF326" t="s">
        <v>3</v>
      </c>
      <c r="HM326" t="s">
        <v>3</v>
      </c>
      <c r="HN326" t="s">
        <v>3</v>
      </c>
      <c r="HO326" t="s">
        <v>3</v>
      </c>
      <c r="HP326" t="s">
        <v>3</v>
      </c>
      <c r="HQ326" t="s">
        <v>3</v>
      </c>
      <c r="IK326">
        <v>0</v>
      </c>
    </row>
    <row r="327" spans="1:245" x14ac:dyDescent="0.2">
      <c r="A327">
        <v>17</v>
      </c>
      <c r="B327">
        <v>1</v>
      </c>
      <c r="D327">
        <f>ROW(EtalonRes!A101)</f>
        <v>101</v>
      </c>
      <c r="E327" t="s">
        <v>218</v>
      </c>
      <c r="F327" t="s">
        <v>219</v>
      </c>
      <c r="G327" t="s">
        <v>220</v>
      </c>
      <c r="H327" t="s">
        <v>94</v>
      </c>
      <c r="I327">
        <f>ROUND(44/10,9)</f>
        <v>4.4000000000000004</v>
      </c>
      <c r="J327">
        <v>0</v>
      </c>
      <c r="K327">
        <f>ROUND(44/10,9)</f>
        <v>4.4000000000000004</v>
      </c>
      <c r="O327">
        <f t="shared" si="241"/>
        <v>4132.5200000000004</v>
      </c>
      <c r="P327">
        <f t="shared" si="242"/>
        <v>2.77</v>
      </c>
      <c r="Q327">
        <f t="shared" si="243"/>
        <v>0</v>
      </c>
      <c r="R327">
        <f t="shared" si="244"/>
        <v>0</v>
      </c>
      <c r="S327">
        <f t="shared" si="245"/>
        <v>4129.75</v>
      </c>
      <c r="T327">
        <f t="shared" si="246"/>
        <v>0</v>
      </c>
      <c r="U327">
        <f t="shared" si="247"/>
        <v>6.6880000000000006</v>
      </c>
      <c r="V327">
        <f t="shared" si="248"/>
        <v>0</v>
      </c>
      <c r="W327">
        <f t="shared" si="249"/>
        <v>0</v>
      </c>
      <c r="X327">
        <f t="shared" si="250"/>
        <v>2890.83</v>
      </c>
      <c r="Y327">
        <f t="shared" si="251"/>
        <v>412.98</v>
      </c>
      <c r="AA327">
        <v>1472506909</v>
      </c>
      <c r="AB327">
        <f t="shared" si="252"/>
        <v>939.21</v>
      </c>
      <c r="AC327">
        <f t="shared" si="253"/>
        <v>0.63</v>
      </c>
      <c r="AD327">
        <f t="shared" si="254"/>
        <v>0</v>
      </c>
      <c r="AE327">
        <f t="shared" si="255"/>
        <v>0</v>
      </c>
      <c r="AF327">
        <f t="shared" si="256"/>
        <v>938.58</v>
      </c>
      <c r="AG327">
        <f t="shared" si="257"/>
        <v>0</v>
      </c>
      <c r="AH327">
        <f t="shared" si="258"/>
        <v>1.52</v>
      </c>
      <c r="AI327">
        <f t="shared" si="259"/>
        <v>0</v>
      </c>
      <c r="AJ327">
        <f t="shared" si="260"/>
        <v>0</v>
      </c>
      <c r="AK327">
        <v>939.21</v>
      </c>
      <c r="AL327">
        <v>0.63</v>
      </c>
      <c r="AM327">
        <v>0</v>
      </c>
      <c r="AN327">
        <v>0</v>
      </c>
      <c r="AO327">
        <v>938.58</v>
      </c>
      <c r="AP327">
        <v>0</v>
      </c>
      <c r="AQ327">
        <v>1.52</v>
      </c>
      <c r="AR327">
        <v>0</v>
      </c>
      <c r="AS327">
        <v>0</v>
      </c>
      <c r="AT327">
        <v>70</v>
      </c>
      <c r="AU327">
        <v>10</v>
      </c>
      <c r="AV327">
        <v>1</v>
      </c>
      <c r="AW327">
        <v>1</v>
      </c>
      <c r="AZ327">
        <v>1</v>
      </c>
      <c r="BA327">
        <v>1</v>
      </c>
      <c r="BB327">
        <v>1</v>
      </c>
      <c r="BC327">
        <v>1</v>
      </c>
      <c r="BD327" t="s">
        <v>3</v>
      </c>
      <c r="BE327" t="s">
        <v>3</v>
      </c>
      <c r="BF327" t="s">
        <v>3</v>
      </c>
      <c r="BG327" t="s">
        <v>3</v>
      </c>
      <c r="BH327">
        <v>0</v>
      </c>
      <c r="BI327">
        <v>4</v>
      </c>
      <c r="BJ327" t="s">
        <v>221</v>
      </c>
      <c r="BM327">
        <v>0</v>
      </c>
      <c r="BN327">
        <v>0</v>
      </c>
      <c r="BO327" t="s">
        <v>3</v>
      </c>
      <c r="BP327">
        <v>0</v>
      </c>
      <c r="BQ327">
        <v>1</v>
      </c>
      <c r="BR327">
        <v>0</v>
      </c>
      <c r="BS327">
        <v>1</v>
      </c>
      <c r="BT327">
        <v>1</v>
      </c>
      <c r="BU327">
        <v>1</v>
      </c>
      <c r="BV327">
        <v>1</v>
      </c>
      <c r="BW327">
        <v>1</v>
      </c>
      <c r="BX327">
        <v>1</v>
      </c>
      <c r="BY327" t="s">
        <v>3</v>
      </c>
      <c r="BZ327">
        <v>70</v>
      </c>
      <c r="CA327">
        <v>10</v>
      </c>
      <c r="CB327" t="s">
        <v>3</v>
      </c>
      <c r="CE327">
        <v>0</v>
      </c>
      <c r="CF327">
        <v>0</v>
      </c>
      <c r="CG327">
        <v>0</v>
      </c>
      <c r="CM327">
        <v>0</v>
      </c>
      <c r="CN327" t="s">
        <v>3</v>
      </c>
      <c r="CO327">
        <v>0</v>
      </c>
      <c r="CP327">
        <f t="shared" si="261"/>
        <v>4132.5200000000004</v>
      </c>
      <c r="CQ327">
        <f t="shared" si="262"/>
        <v>0.63</v>
      </c>
      <c r="CR327">
        <f t="shared" si="263"/>
        <v>0</v>
      </c>
      <c r="CS327">
        <f t="shared" si="264"/>
        <v>0</v>
      </c>
      <c r="CT327">
        <f t="shared" si="265"/>
        <v>938.58</v>
      </c>
      <c r="CU327">
        <f t="shared" si="266"/>
        <v>0</v>
      </c>
      <c r="CV327">
        <f t="shared" si="267"/>
        <v>1.52</v>
      </c>
      <c r="CW327">
        <f t="shared" si="268"/>
        <v>0</v>
      </c>
      <c r="CX327">
        <f t="shared" si="269"/>
        <v>0</v>
      </c>
      <c r="CY327">
        <f t="shared" si="270"/>
        <v>2890.8249999999998</v>
      </c>
      <c r="CZ327">
        <f t="shared" si="271"/>
        <v>412.97500000000002</v>
      </c>
      <c r="DC327" t="s">
        <v>3</v>
      </c>
      <c r="DD327" t="s">
        <v>3</v>
      </c>
      <c r="DE327" t="s">
        <v>3</v>
      </c>
      <c r="DF327" t="s">
        <v>3</v>
      </c>
      <c r="DG327" t="s">
        <v>3</v>
      </c>
      <c r="DH327" t="s">
        <v>3</v>
      </c>
      <c r="DI327" t="s">
        <v>3</v>
      </c>
      <c r="DJ327" t="s">
        <v>3</v>
      </c>
      <c r="DK327" t="s">
        <v>3</v>
      </c>
      <c r="DL327" t="s">
        <v>3</v>
      </c>
      <c r="DM327" t="s">
        <v>3</v>
      </c>
      <c r="DN327">
        <v>0</v>
      </c>
      <c r="DO327">
        <v>0</v>
      </c>
      <c r="DP327">
        <v>1</v>
      </c>
      <c r="DQ327">
        <v>1</v>
      </c>
      <c r="DU327">
        <v>16987630</v>
      </c>
      <c r="DV327" t="s">
        <v>94</v>
      </c>
      <c r="DW327" t="s">
        <v>94</v>
      </c>
      <c r="DX327">
        <v>10</v>
      </c>
      <c r="DZ327" t="s">
        <v>3</v>
      </c>
      <c r="EA327" t="s">
        <v>3</v>
      </c>
      <c r="EB327" t="s">
        <v>3</v>
      </c>
      <c r="EC327" t="s">
        <v>3</v>
      </c>
      <c r="EE327">
        <v>1441815344</v>
      </c>
      <c r="EF327">
        <v>1</v>
      </c>
      <c r="EG327" t="s">
        <v>22</v>
      </c>
      <c r="EH327">
        <v>0</v>
      </c>
      <c r="EI327" t="s">
        <v>3</v>
      </c>
      <c r="EJ327">
        <v>4</v>
      </c>
      <c r="EK327">
        <v>0</v>
      </c>
      <c r="EL327" t="s">
        <v>23</v>
      </c>
      <c r="EM327" t="s">
        <v>24</v>
      </c>
      <c r="EO327" t="s">
        <v>3</v>
      </c>
      <c r="EQ327">
        <v>0</v>
      </c>
      <c r="ER327">
        <v>939.21</v>
      </c>
      <c r="ES327">
        <v>0.63</v>
      </c>
      <c r="ET327">
        <v>0</v>
      </c>
      <c r="EU327">
        <v>0</v>
      </c>
      <c r="EV327">
        <v>938.58</v>
      </c>
      <c r="EW327">
        <v>1.52</v>
      </c>
      <c r="EX327">
        <v>0</v>
      </c>
      <c r="EY327">
        <v>0</v>
      </c>
      <c r="FQ327">
        <v>0</v>
      </c>
      <c r="FR327">
        <f t="shared" si="272"/>
        <v>0</v>
      </c>
      <c r="FS327">
        <v>0</v>
      </c>
      <c r="FX327">
        <v>70</v>
      </c>
      <c r="FY327">
        <v>10</v>
      </c>
      <c r="GA327" t="s">
        <v>3</v>
      </c>
      <c r="GD327">
        <v>0</v>
      </c>
      <c r="GF327">
        <v>923339554</v>
      </c>
      <c r="GG327">
        <v>2</v>
      </c>
      <c r="GH327">
        <v>1</v>
      </c>
      <c r="GI327">
        <v>-2</v>
      </c>
      <c r="GJ327">
        <v>0</v>
      </c>
      <c r="GK327">
        <f>ROUND(R327*(R12)/100,2)</f>
        <v>0</v>
      </c>
      <c r="GL327">
        <f t="shared" si="273"/>
        <v>0</v>
      </c>
      <c r="GM327">
        <f t="shared" si="274"/>
        <v>7436.33</v>
      </c>
      <c r="GN327">
        <f t="shared" si="275"/>
        <v>0</v>
      </c>
      <c r="GO327">
        <f t="shared" si="276"/>
        <v>0</v>
      </c>
      <c r="GP327">
        <f t="shared" si="277"/>
        <v>7436.33</v>
      </c>
      <c r="GR327">
        <v>0</v>
      </c>
      <c r="GS327">
        <v>3</v>
      </c>
      <c r="GT327">
        <v>0</v>
      </c>
      <c r="GU327" t="s">
        <v>3</v>
      </c>
      <c r="GV327">
        <f t="shared" si="278"/>
        <v>0</v>
      </c>
      <c r="GW327">
        <v>1</v>
      </c>
      <c r="GX327">
        <f t="shared" si="279"/>
        <v>0</v>
      </c>
      <c r="HA327">
        <v>0</v>
      </c>
      <c r="HB327">
        <v>0</v>
      </c>
      <c r="HC327">
        <f t="shared" si="280"/>
        <v>0</v>
      </c>
      <c r="HE327" t="s">
        <v>3</v>
      </c>
      <c r="HF327" t="s">
        <v>3</v>
      </c>
      <c r="HM327" t="s">
        <v>3</v>
      </c>
      <c r="HN327" t="s">
        <v>3</v>
      </c>
      <c r="HO327" t="s">
        <v>3</v>
      </c>
      <c r="HP327" t="s">
        <v>3</v>
      </c>
      <c r="HQ327" t="s">
        <v>3</v>
      </c>
      <c r="IK327">
        <v>0</v>
      </c>
    </row>
    <row r="328" spans="1:245" x14ac:dyDescent="0.2">
      <c r="A328">
        <v>17</v>
      </c>
      <c r="B328">
        <v>1</v>
      </c>
      <c r="D328">
        <f>ROW(EtalonRes!A102)</f>
        <v>102</v>
      </c>
      <c r="E328" t="s">
        <v>3</v>
      </c>
      <c r="F328" t="s">
        <v>222</v>
      </c>
      <c r="G328" t="s">
        <v>223</v>
      </c>
      <c r="H328" t="s">
        <v>20</v>
      </c>
      <c r="I328">
        <v>44</v>
      </c>
      <c r="J328">
        <v>0</v>
      </c>
      <c r="K328">
        <v>44</v>
      </c>
      <c r="O328">
        <f t="shared" si="241"/>
        <v>1630.2</v>
      </c>
      <c r="P328">
        <f t="shared" si="242"/>
        <v>0</v>
      </c>
      <c r="Q328">
        <f t="shared" si="243"/>
        <v>0</v>
      </c>
      <c r="R328">
        <f t="shared" si="244"/>
        <v>0</v>
      </c>
      <c r="S328">
        <f t="shared" si="245"/>
        <v>1630.2</v>
      </c>
      <c r="T328">
        <f t="shared" si="246"/>
        <v>0</v>
      </c>
      <c r="U328">
        <f t="shared" si="247"/>
        <v>2.6399999999999997</v>
      </c>
      <c r="V328">
        <f t="shared" si="248"/>
        <v>0</v>
      </c>
      <c r="W328">
        <f t="shared" si="249"/>
        <v>0</v>
      </c>
      <c r="X328">
        <f t="shared" si="250"/>
        <v>1141.1400000000001</v>
      </c>
      <c r="Y328">
        <f t="shared" si="251"/>
        <v>163.02000000000001</v>
      </c>
      <c r="AA328">
        <v>-1</v>
      </c>
      <c r="AB328">
        <f t="shared" si="252"/>
        <v>37.049999999999997</v>
      </c>
      <c r="AC328">
        <f t="shared" si="253"/>
        <v>0</v>
      </c>
      <c r="AD328">
        <f t="shared" si="254"/>
        <v>0</v>
      </c>
      <c r="AE328">
        <f t="shared" si="255"/>
        <v>0</v>
      </c>
      <c r="AF328">
        <f t="shared" si="256"/>
        <v>37.049999999999997</v>
      </c>
      <c r="AG328">
        <f t="shared" si="257"/>
        <v>0</v>
      </c>
      <c r="AH328">
        <f t="shared" si="258"/>
        <v>0.06</v>
      </c>
      <c r="AI328">
        <f t="shared" si="259"/>
        <v>0</v>
      </c>
      <c r="AJ328">
        <f t="shared" si="260"/>
        <v>0</v>
      </c>
      <c r="AK328">
        <v>37.049999999999997</v>
      </c>
      <c r="AL328">
        <v>0</v>
      </c>
      <c r="AM328">
        <v>0</v>
      </c>
      <c r="AN328">
        <v>0</v>
      </c>
      <c r="AO328">
        <v>37.049999999999997</v>
      </c>
      <c r="AP328">
        <v>0</v>
      </c>
      <c r="AQ328">
        <v>0.06</v>
      </c>
      <c r="AR328">
        <v>0</v>
      </c>
      <c r="AS328">
        <v>0</v>
      </c>
      <c r="AT328">
        <v>70</v>
      </c>
      <c r="AU328">
        <v>10</v>
      </c>
      <c r="AV328">
        <v>1</v>
      </c>
      <c r="AW328">
        <v>1</v>
      </c>
      <c r="AZ328">
        <v>1</v>
      </c>
      <c r="BA328">
        <v>1</v>
      </c>
      <c r="BB328">
        <v>1</v>
      </c>
      <c r="BC328">
        <v>1</v>
      </c>
      <c r="BD328" t="s">
        <v>3</v>
      </c>
      <c r="BE328" t="s">
        <v>3</v>
      </c>
      <c r="BF328" t="s">
        <v>3</v>
      </c>
      <c r="BG328" t="s">
        <v>3</v>
      </c>
      <c r="BH328">
        <v>0</v>
      </c>
      <c r="BI328">
        <v>4</v>
      </c>
      <c r="BJ328" t="s">
        <v>224</v>
      </c>
      <c r="BM328">
        <v>0</v>
      </c>
      <c r="BN328">
        <v>0</v>
      </c>
      <c r="BO328" t="s">
        <v>3</v>
      </c>
      <c r="BP328">
        <v>0</v>
      </c>
      <c r="BQ328">
        <v>1</v>
      </c>
      <c r="BR328">
        <v>0</v>
      </c>
      <c r="BS328">
        <v>1</v>
      </c>
      <c r="BT328">
        <v>1</v>
      </c>
      <c r="BU328">
        <v>1</v>
      </c>
      <c r="BV328">
        <v>1</v>
      </c>
      <c r="BW328">
        <v>1</v>
      </c>
      <c r="BX328">
        <v>1</v>
      </c>
      <c r="BY328" t="s">
        <v>3</v>
      </c>
      <c r="BZ328">
        <v>70</v>
      </c>
      <c r="CA328">
        <v>10</v>
      </c>
      <c r="CB328" t="s">
        <v>3</v>
      </c>
      <c r="CE328">
        <v>0</v>
      </c>
      <c r="CF328">
        <v>0</v>
      </c>
      <c r="CG328">
        <v>0</v>
      </c>
      <c r="CM328">
        <v>0</v>
      </c>
      <c r="CN328" t="s">
        <v>3</v>
      </c>
      <c r="CO328">
        <v>0</v>
      </c>
      <c r="CP328">
        <f t="shared" si="261"/>
        <v>1630.2</v>
      </c>
      <c r="CQ328">
        <f t="shared" si="262"/>
        <v>0</v>
      </c>
      <c r="CR328">
        <f t="shared" si="263"/>
        <v>0</v>
      </c>
      <c r="CS328">
        <f t="shared" si="264"/>
        <v>0</v>
      </c>
      <c r="CT328">
        <f t="shared" si="265"/>
        <v>37.049999999999997</v>
      </c>
      <c r="CU328">
        <f t="shared" si="266"/>
        <v>0</v>
      </c>
      <c r="CV328">
        <f t="shared" si="267"/>
        <v>0.06</v>
      </c>
      <c r="CW328">
        <f t="shared" si="268"/>
        <v>0</v>
      </c>
      <c r="CX328">
        <f t="shared" si="269"/>
        <v>0</v>
      </c>
      <c r="CY328">
        <f t="shared" si="270"/>
        <v>1141.1400000000001</v>
      </c>
      <c r="CZ328">
        <f t="shared" si="271"/>
        <v>163.02000000000001</v>
      </c>
      <c r="DC328" t="s">
        <v>3</v>
      </c>
      <c r="DD328" t="s">
        <v>3</v>
      </c>
      <c r="DE328" t="s">
        <v>3</v>
      </c>
      <c r="DF328" t="s">
        <v>3</v>
      </c>
      <c r="DG328" t="s">
        <v>3</v>
      </c>
      <c r="DH328" t="s">
        <v>3</v>
      </c>
      <c r="DI328" t="s">
        <v>3</v>
      </c>
      <c r="DJ328" t="s">
        <v>3</v>
      </c>
      <c r="DK328" t="s">
        <v>3</v>
      </c>
      <c r="DL328" t="s">
        <v>3</v>
      </c>
      <c r="DM328" t="s">
        <v>3</v>
      </c>
      <c r="DN328">
        <v>0</v>
      </c>
      <c r="DO328">
        <v>0</v>
      </c>
      <c r="DP328">
        <v>1</v>
      </c>
      <c r="DQ328">
        <v>1</v>
      </c>
      <c r="DU328">
        <v>16987630</v>
      </c>
      <c r="DV328" t="s">
        <v>20</v>
      </c>
      <c r="DW328" t="s">
        <v>20</v>
      </c>
      <c r="DX328">
        <v>1</v>
      </c>
      <c r="DZ328" t="s">
        <v>3</v>
      </c>
      <c r="EA328" t="s">
        <v>3</v>
      </c>
      <c r="EB328" t="s">
        <v>3</v>
      </c>
      <c r="EC328" t="s">
        <v>3</v>
      </c>
      <c r="EE328">
        <v>1441815344</v>
      </c>
      <c r="EF328">
        <v>1</v>
      </c>
      <c r="EG328" t="s">
        <v>22</v>
      </c>
      <c r="EH328">
        <v>0</v>
      </c>
      <c r="EI328" t="s">
        <v>3</v>
      </c>
      <c r="EJ328">
        <v>4</v>
      </c>
      <c r="EK328">
        <v>0</v>
      </c>
      <c r="EL328" t="s">
        <v>23</v>
      </c>
      <c r="EM328" t="s">
        <v>24</v>
      </c>
      <c r="EO328" t="s">
        <v>3</v>
      </c>
      <c r="EQ328">
        <v>1024</v>
      </c>
      <c r="ER328">
        <v>37.049999999999997</v>
      </c>
      <c r="ES328">
        <v>0</v>
      </c>
      <c r="ET328">
        <v>0</v>
      </c>
      <c r="EU328">
        <v>0</v>
      </c>
      <c r="EV328">
        <v>37.049999999999997</v>
      </c>
      <c r="EW328">
        <v>0.06</v>
      </c>
      <c r="EX328">
        <v>0</v>
      </c>
      <c r="EY328">
        <v>0</v>
      </c>
      <c r="FQ328">
        <v>0</v>
      </c>
      <c r="FR328">
        <f t="shared" si="272"/>
        <v>0</v>
      </c>
      <c r="FS328">
        <v>0</v>
      </c>
      <c r="FX328">
        <v>70</v>
      </c>
      <c r="FY328">
        <v>10</v>
      </c>
      <c r="GA328" t="s">
        <v>3</v>
      </c>
      <c r="GD328">
        <v>0</v>
      </c>
      <c r="GF328">
        <v>211764326</v>
      </c>
      <c r="GG328">
        <v>2</v>
      </c>
      <c r="GH328">
        <v>1</v>
      </c>
      <c r="GI328">
        <v>-2</v>
      </c>
      <c r="GJ328">
        <v>0</v>
      </c>
      <c r="GK328">
        <f>ROUND(R328*(R12)/100,2)</f>
        <v>0</v>
      </c>
      <c r="GL328">
        <f t="shared" si="273"/>
        <v>0</v>
      </c>
      <c r="GM328">
        <f t="shared" si="274"/>
        <v>2934.36</v>
      </c>
      <c r="GN328">
        <f t="shared" si="275"/>
        <v>0</v>
      </c>
      <c r="GO328">
        <f t="shared" si="276"/>
        <v>0</v>
      </c>
      <c r="GP328">
        <f t="shared" si="277"/>
        <v>2934.36</v>
      </c>
      <c r="GR328">
        <v>0</v>
      </c>
      <c r="GS328">
        <v>3</v>
      </c>
      <c r="GT328">
        <v>0</v>
      </c>
      <c r="GU328" t="s">
        <v>3</v>
      </c>
      <c r="GV328">
        <f t="shared" si="278"/>
        <v>0</v>
      </c>
      <c r="GW328">
        <v>1</v>
      </c>
      <c r="GX328">
        <f t="shared" si="279"/>
        <v>0</v>
      </c>
      <c r="HA328">
        <v>0</v>
      </c>
      <c r="HB328">
        <v>0</v>
      </c>
      <c r="HC328">
        <f t="shared" si="280"/>
        <v>0</v>
      </c>
      <c r="HE328" t="s">
        <v>3</v>
      </c>
      <c r="HF328" t="s">
        <v>3</v>
      </c>
      <c r="HM328" t="s">
        <v>3</v>
      </c>
      <c r="HN328" t="s">
        <v>3</v>
      </c>
      <c r="HO328" t="s">
        <v>3</v>
      </c>
      <c r="HP328" t="s">
        <v>3</v>
      </c>
      <c r="HQ328" t="s">
        <v>3</v>
      </c>
      <c r="IK328">
        <v>0</v>
      </c>
    </row>
    <row r="329" spans="1:245" x14ac:dyDescent="0.2">
      <c r="A329">
        <v>17</v>
      </c>
      <c r="B329">
        <v>1</v>
      </c>
      <c r="D329">
        <f>ROW(EtalonRes!A103)</f>
        <v>103</v>
      </c>
      <c r="E329" t="s">
        <v>3</v>
      </c>
      <c r="F329" t="s">
        <v>225</v>
      </c>
      <c r="G329" t="s">
        <v>226</v>
      </c>
      <c r="H329" t="s">
        <v>20</v>
      </c>
      <c r="I329">
        <v>44</v>
      </c>
      <c r="J329">
        <v>0</v>
      </c>
      <c r="K329">
        <v>44</v>
      </c>
      <c r="O329">
        <f t="shared" si="241"/>
        <v>31788.240000000002</v>
      </c>
      <c r="P329">
        <f t="shared" si="242"/>
        <v>0</v>
      </c>
      <c r="Q329">
        <f t="shared" si="243"/>
        <v>0</v>
      </c>
      <c r="R329">
        <f t="shared" si="244"/>
        <v>0</v>
      </c>
      <c r="S329">
        <f t="shared" si="245"/>
        <v>31788.240000000002</v>
      </c>
      <c r="T329">
        <f t="shared" si="246"/>
        <v>0</v>
      </c>
      <c r="U329">
        <f t="shared" si="247"/>
        <v>51.48</v>
      </c>
      <c r="V329">
        <f t="shared" si="248"/>
        <v>0</v>
      </c>
      <c r="W329">
        <f t="shared" si="249"/>
        <v>0</v>
      </c>
      <c r="X329">
        <f t="shared" si="250"/>
        <v>22251.77</v>
      </c>
      <c r="Y329">
        <f t="shared" si="251"/>
        <v>3178.82</v>
      </c>
      <c r="AA329">
        <v>-1</v>
      </c>
      <c r="AB329">
        <f t="shared" si="252"/>
        <v>722.46</v>
      </c>
      <c r="AC329">
        <f t="shared" si="253"/>
        <v>0</v>
      </c>
      <c r="AD329">
        <f t="shared" si="254"/>
        <v>0</v>
      </c>
      <c r="AE329">
        <f t="shared" si="255"/>
        <v>0</v>
      </c>
      <c r="AF329">
        <f t="shared" si="256"/>
        <v>722.46</v>
      </c>
      <c r="AG329">
        <f t="shared" si="257"/>
        <v>0</v>
      </c>
      <c r="AH329">
        <f t="shared" si="258"/>
        <v>1.17</v>
      </c>
      <c r="AI329">
        <f t="shared" si="259"/>
        <v>0</v>
      </c>
      <c r="AJ329">
        <f t="shared" si="260"/>
        <v>0</v>
      </c>
      <c r="AK329">
        <v>722.46</v>
      </c>
      <c r="AL329">
        <v>0</v>
      </c>
      <c r="AM329">
        <v>0</v>
      </c>
      <c r="AN329">
        <v>0</v>
      </c>
      <c r="AO329">
        <v>722.46</v>
      </c>
      <c r="AP329">
        <v>0</v>
      </c>
      <c r="AQ329">
        <v>1.17</v>
      </c>
      <c r="AR329">
        <v>0</v>
      </c>
      <c r="AS329">
        <v>0</v>
      </c>
      <c r="AT329">
        <v>70</v>
      </c>
      <c r="AU329">
        <v>10</v>
      </c>
      <c r="AV329">
        <v>1</v>
      </c>
      <c r="AW329">
        <v>1</v>
      </c>
      <c r="AZ329">
        <v>1</v>
      </c>
      <c r="BA329">
        <v>1</v>
      </c>
      <c r="BB329">
        <v>1</v>
      </c>
      <c r="BC329">
        <v>1</v>
      </c>
      <c r="BD329" t="s">
        <v>3</v>
      </c>
      <c r="BE329" t="s">
        <v>3</v>
      </c>
      <c r="BF329" t="s">
        <v>3</v>
      </c>
      <c r="BG329" t="s">
        <v>3</v>
      </c>
      <c r="BH329">
        <v>0</v>
      </c>
      <c r="BI329">
        <v>4</v>
      </c>
      <c r="BJ329" t="s">
        <v>227</v>
      </c>
      <c r="BM329">
        <v>0</v>
      </c>
      <c r="BN329">
        <v>0</v>
      </c>
      <c r="BO329" t="s">
        <v>3</v>
      </c>
      <c r="BP329">
        <v>0</v>
      </c>
      <c r="BQ329">
        <v>1</v>
      </c>
      <c r="BR329">
        <v>0</v>
      </c>
      <c r="BS329">
        <v>1</v>
      </c>
      <c r="BT329">
        <v>1</v>
      </c>
      <c r="BU329">
        <v>1</v>
      </c>
      <c r="BV329">
        <v>1</v>
      </c>
      <c r="BW329">
        <v>1</v>
      </c>
      <c r="BX329">
        <v>1</v>
      </c>
      <c r="BY329" t="s">
        <v>3</v>
      </c>
      <c r="BZ329">
        <v>70</v>
      </c>
      <c r="CA329">
        <v>10</v>
      </c>
      <c r="CB329" t="s">
        <v>3</v>
      </c>
      <c r="CE329">
        <v>0</v>
      </c>
      <c r="CF329">
        <v>0</v>
      </c>
      <c r="CG329">
        <v>0</v>
      </c>
      <c r="CM329">
        <v>0</v>
      </c>
      <c r="CN329" t="s">
        <v>3</v>
      </c>
      <c r="CO329">
        <v>0</v>
      </c>
      <c r="CP329">
        <f t="shared" si="261"/>
        <v>31788.240000000002</v>
      </c>
      <c r="CQ329">
        <f t="shared" si="262"/>
        <v>0</v>
      </c>
      <c r="CR329">
        <f t="shared" si="263"/>
        <v>0</v>
      </c>
      <c r="CS329">
        <f t="shared" si="264"/>
        <v>0</v>
      </c>
      <c r="CT329">
        <f t="shared" si="265"/>
        <v>722.46</v>
      </c>
      <c r="CU329">
        <f t="shared" si="266"/>
        <v>0</v>
      </c>
      <c r="CV329">
        <f t="shared" si="267"/>
        <v>1.17</v>
      </c>
      <c r="CW329">
        <f t="shared" si="268"/>
        <v>0</v>
      </c>
      <c r="CX329">
        <f t="shared" si="269"/>
        <v>0</v>
      </c>
      <c r="CY329">
        <f t="shared" si="270"/>
        <v>22251.768000000004</v>
      </c>
      <c r="CZ329">
        <f t="shared" si="271"/>
        <v>3178.8240000000001</v>
      </c>
      <c r="DC329" t="s">
        <v>3</v>
      </c>
      <c r="DD329" t="s">
        <v>3</v>
      </c>
      <c r="DE329" t="s">
        <v>3</v>
      </c>
      <c r="DF329" t="s">
        <v>3</v>
      </c>
      <c r="DG329" t="s">
        <v>3</v>
      </c>
      <c r="DH329" t="s">
        <v>3</v>
      </c>
      <c r="DI329" t="s">
        <v>3</v>
      </c>
      <c r="DJ329" t="s">
        <v>3</v>
      </c>
      <c r="DK329" t="s">
        <v>3</v>
      </c>
      <c r="DL329" t="s">
        <v>3</v>
      </c>
      <c r="DM329" t="s">
        <v>3</v>
      </c>
      <c r="DN329">
        <v>0</v>
      </c>
      <c r="DO329">
        <v>0</v>
      </c>
      <c r="DP329">
        <v>1</v>
      </c>
      <c r="DQ329">
        <v>1</v>
      </c>
      <c r="DU329">
        <v>16987630</v>
      </c>
      <c r="DV329" t="s">
        <v>20</v>
      </c>
      <c r="DW329" t="s">
        <v>20</v>
      </c>
      <c r="DX329">
        <v>1</v>
      </c>
      <c r="DZ329" t="s">
        <v>3</v>
      </c>
      <c r="EA329" t="s">
        <v>3</v>
      </c>
      <c r="EB329" t="s">
        <v>3</v>
      </c>
      <c r="EC329" t="s">
        <v>3</v>
      </c>
      <c r="EE329">
        <v>1441815344</v>
      </c>
      <c r="EF329">
        <v>1</v>
      </c>
      <c r="EG329" t="s">
        <v>22</v>
      </c>
      <c r="EH329">
        <v>0</v>
      </c>
      <c r="EI329" t="s">
        <v>3</v>
      </c>
      <c r="EJ329">
        <v>4</v>
      </c>
      <c r="EK329">
        <v>0</v>
      </c>
      <c r="EL329" t="s">
        <v>23</v>
      </c>
      <c r="EM329" t="s">
        <v>24</v>
      </c>
      <c r="EO329" t="s">
        <v>3</v>
      </c>
      <c r="EQ329">
        <v>1024</v>
      </c>
      <c r="ER329">
        <v>722.46</v>
      </c>
      <c r="ES329">
        <v>0</v>
      </c>
      <c r="ET329">
        <v>0</v>
      </c>
      <c r="EU329">
        <v>0</v>
      </c>
      <c r="EV329">
        <v>722.46</v>
      </c>
      <c r="EW329">
        <v>1.17</v>
      </c>
      <c r="EX329">
        <v>0</v>
      </c>
      <c r="EY329">
        <v>0</v>
      </c>
      <c r="FQ329">
        <v>0</v>
      </c>
      <c r="FR329">
        <f t="shared" si="272"/>
        <v>0</v>
      </c>
      <c r="FS329">
        <v>0</v>
      </c>
      <c r="FX329">
        <v>70</v>
      </c>
      <c r="FY329">
        <v>10</v>
      </c>
      <c r="GA329" t="s">
        <v>3</v>
      </c>
      <c r="GD329">
        <v>0</v>
      </c>
      <c r="GF329">
        <v>1164262949</v>
      </c>
      <c r="GG329">
        <v>2</v>
      </c>
      <c r="GH329">
        <v>1</v>
      </c>
      <c r="GI329">
        <v>-2</v>
      </c>
      <c r="GJ329">
        <v>0</v>
      </c>
      <c r="GK329">
        <f>ROUND(R329*(R12)/100,2)</f>
        <v>0</v>
      </c>
      <c r="GL329">
        <f t="shared" si="273"/>
        <v>0</v>
      </c>
      <c r="GM329">
        <f t="shared" si="274"/>
        <v>57218.83</v>
      </c>
      <c r="GN329">
        <f t="shared" si="275"/>
        <v>0</v>
      </c>
      <c r="GO329">
        <f t="shared" si="276"/>
        <v>0</v>
      </c>
      <c r="GP329">
        <f t="shared" si="277"/>
        <v>57218.83</v>
      </c>
      <c r="GR329">
        <v>0</v>
      </c>
      <c r="GS329">
        <v>3</v>
      </c>
      <c r="GT329">
        <v>0</v>
      </c>
      <c r="GU329" t="s">
        <v>3</v>
      </c>
      <c r="GV329">
        <f t="shared" si="278"/>
        <v>0</v>
      </c>
      <c r="GW329">
        <v>1</v>
      </c>
      <c r="GX329">
        <f t="shared" si="279"/>
        <v>0</v>
      </c>
      <c r="HA329">
        <v>0</v>
      </c>
      <c r="HB329">
        <v>0</v>
      </c>
      <c r="HC329">
        <f t="shared" si="280"/>
        <v>0</v>
      </c>
      <c r="HE329" t="s">
        <v>3</v>
      </c>
      <c r="HF329" t="s">
        <v>3</v>
      </c>
      <c r="HM329" t="s">
        <v>3</v>
      </c>
      <c r="HN329" t="s">
        <v>3</v>
      </c>
      <c r="HO329" t="s">
        <v>3</v>
      </c>
      <c r="HP329" t="s">
        <v>3</v>
      </c>
      <c r="HQ329" t="s">
        <v>3</v>
      </c>
      <c r="IK329">
        <v>0</v>
      </c>
    </row>
    <row r="330" spans="1:245" x14ac:dyDescent="0.2">
      <c r="A330">
        <v>17</v>
      </c>
      <c r="B330">
        <v>1</v>
      </c>
      <c r="E330" t="s">
        <v>3</v>
      </c>
      <c r="F330" t="s">
        <v>187</v>
      </c>
      <c r="G330" t="s">
        <v>228</v>
      </c>
      <c r="H330" t="s">
        <v>189</v>
      </c>
      <c r="I330">
        <v>44</v>
      </c>
      <c r="J330">
        <v>0</v>
      </c>
      <c r="K330">
        <v>44</v>
      </c>
      <c r="O330">
        <f t="shared" si="241"/>
        <v>7920</v>
      </c>
      <c r="P330">
        <f t="shared" si="242"/>
        <v>7920</v>
      </c>
      <c r="Q330">
        <f t="shared" si="243"/>
        <v>0</v>
      </c>
      <c r="R330">
        <f t="shared" si="244"/>
        <v>0</v>
      </c>
      <c r="S330">
        <f t="shared" si="245"/>
        <v>0</v>
      </c>
      <c r="T330">
        <f t="shared" si="246"/>
        <v>0</v>
      </c>
      <c r="U330">
        <f t="shared" si="247"/>
        <v>0</v>
      </c>
      <c r="V330">
        <f t="shared" si="248"/>
        <v>0</v>
      </c>
      <c r="W330">
        <f t="shared" si="249"/>
        <v>0</v>
      </c>
      <c r="X330">
        <f t="shared" si="250"/>
        <v>0</v>
      </c>
      <c r="Y330">
        <f t="shared" si="251"/>
        <v>0</v>
      </c>
      <c r="AA330">
        <v>-1</v>
      </c>
      <c r="AB330">
        <f t="shared" si="252"/>
        <v>180</v>
      </c>
      <c r="AC330">
        <f t="shared" si="253"/>
        <v>180</v>
      </c>
      <c r="AD330">
        <f>ROUND((ET330),6)</f>
        <v>0</v>
      </c>
      <c r="AE330">
        <f t="shared" si="255"/>
        <v>0</v>
      </c>
      <c r="AF330">
        <f t="shared" si="256"/>
        <v>0</v>
      </c>
      <c r="AG330">
        <f t="shared" si="257"/>
        <v>0</v>
      </c>
      <c r="AH330">
        <f t="shared" si="258"/>
        <v>0</v>
      </c>
      <c r="AI330">
        <f t="shared" si="259"/>
        <v>0</v>
      </c>
      <c r="AJ330">
        <f t="shared" si="260"/>
        <v>0</v>
      </c>
      <c r="AK330">
        <v>180</v>
      </c>
      <c r="AL330">
        <v>180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1</v>
      </c>
      <c r="AW330">
        <v>1</v>
      </c>
      <c r="AZ330">
        <v>1</v>
      </c>
      <c r="BA330">
        <v>1</v>
      </c>
      <c r="BB330">
        <v>1</v>
      </c>
      <c r="BC330">
        <v>1</v>
      </c>
      <c r="BD330" t="s">
        <v>3</v>
      </c>
      <c r="BE330" t="s">
        <v>3</v>
      </c>
      <c r="BF330" t="s">
        <v>3</v>
      </c>
      <c r="BG330" t="s">
        <v>3</v>
      </c>
      <c r="BH330">
        <v>3</v>
      </c>
      <c r="BI330">
        <v>0</v>
      </c>
      <c r="BJ330" t="s">
        <v>3</v>
      </c>
      <c r="BM330">
        <v>356</v>
      </c>
      <c r="BN330">
        <v>0</v>
      </c>
      <c r="BO330" t="s">
        <v>3</v>
      </c>
      <c r="BP330">
        <v>0</v>
      </c>
      <c r="BQ330">
        <v>0</v>
      </c>
      <c r="BR330">
        <v>0</v>
      </c>
      <c r="BS330">
        <v>1</v>
      </c>
      <c r="BT330">
        <v>1</v>
      </c>
      <c r="BU330">
        <v>1</v>
      </c>
      <c r="BV330">
        <v>1</v>
      </c>
      <c r="BW330">
        <v>1</v>
      </c>
      <c r="BX330">
        <v>1</v>
      </c>
      <c r="BY330" t="s">
        <v>3</v>
      </c>
      <c r="BZ330">
        <v>0</v>
      </c>
      <c r="CA330">
        <v>0</v>
      </c>
      <c r="CB330" t="s">
        <v>3</v>
      </c>
      <c r="CE330">
        <v>0</v>
      </c>
      <c r="CF330">
        <v>0</v>
      </c>
      <c r="CG330">
        <v>0</v>
      </c>
      <c r="CM330">
        <v>0</v>
      </c>
      <c r="CN330" t="s">
        <v>3</v>
      </c>
      <c r="CO330">
        <v>0</v>
      </c>
      <c r="CP330">
        <f t="shared" si="261"/>
        <v>7920</v>
      </c>
      <c r="CQ330">
        <f>AC330*BC330</f>
        <v>180</v>
      </c>
      <c r="CR330">
        <f>AD330*BB330</f>
        <v>0</v>
      </c>
      <c r="CS330">
        <f>AE330*BS330</f>
        <v>0</v>
      </c>
      <c r="CT330">
        <f>AF330*BA330</f>
        <v>0</v>
      </c>
      <c r="CU330">
        <f t="shared" si="266"/>
        <v>0</v>
      </c>
      <c r="CV330">
        <f>AH330</f>
        <v>0</v>
      </c>
      <c r="CW330">
        <f t="shared" si="268"/>
        <v>0</v>
      </c>
      <c r="CX330">
        <f t="shared" si="269"/>
        <v>0</v>
      </c>
      <c r="CY330">
        <f>0</f>
        <v>0</v>
      </c>
      <c r="CZ330">
        <f>0</f>
        <v>0</v>
      </c>
      <c r="DC330" t="s">
        <v>3</v>
      </c>
      <c r="DD330" t="s">
        <v>3</v>
      </c>
      <c r="DE330" t="s">
        <v>3</v>
      </c>
      <c r="DF330" t="s">
        <v>3</v>
      </c>
      <c r="DG330" t="s">
        <v>3</v>
      </c>
      <c r="DH330" t="s">
        <v>3</v>
      </c>
      <c r="DI330" t="s">
        <v>3</v>
      </c>
      <c r="DJ330" t="s">
        <v>3</v>
      </c>
      <c r="DK330" t="s">
        <v>3</v>
      </c>
      <c r="DL330" t="s">
        <v>3</v>
      </c>
      <c r="DM330" t="s">
        <v>3</v>
      </c>
      <c r="DN330">
        <v>0</v>
      </c>
      <c r="DO330">
        <v>0</v>
      </c>
      <c r="DP330">
        <v>1</v>
      </c>
      <c r="DQ330">
        <v>1</v>
      </c>
      <c r="DU330">
        <v>1013</v>
      </c>
      <c r="DV330" t="s">
        <v>189</v>
      </c>
      <c r="DW330" t="s">
        <v>189</v>
      </c>
      <c r="DX330">
        <v>7.0999999999999994E-2</v>
      </c>
      <c r="DZ330" t="s">
        <v>3</v>
      </c>
      <c r="EA330" t="s">
        <v>3</v>
      </c>
      <c r="EB330" t="s">
        <v>3</v>
      </c>
      <c r="EC330" t="s">
        <v>3</v>
      </c>
      <c r="EE330">
        <v>0</v>
      </c>
      <c r="EF330">
        <v>0</v>
      </c>
      <c r="EG330" t="s">
        <v>3</v>
      </c>
      <c r="EH330">
        <v>0</v>
      </c>
      <c r="EI330" t="s">
        <v>3</v>
      </c>
      <c r="EJ330">
        <v>0</v>
      </c>
      <c r="EK330">
        <v>356</v>
      </c>
      <c r="EL330" t="s">
        <v>3</v>
      </c>
      <c r="EM330" t="s">
        <v>3</v>
      </c>
      <c r="EO330" t="s">
        <v>3</v>
      </c>
      <c r="EQ330">
        <v>1024</v>
      </c>
      <c r="ER330">
        <v>180</v>
      </c>
      <c r="ES330">
        <v>180</v>
      </c>
      <c r="ET330">
        <v>0</v>
      </c>
      <c r="EU330">
        <v>0</v>
      </c>
      <c r="EV330">
        <v>0</v>
      </c>
      <c r="EW330">
        <v>0</v>
      </c>
      <c r="EX330">
        <v>0</v>
      </c>
      <c r="EY330">
        <v>0</v>
      </c>
      <c r="FQ330">
        <v>7920</v>
      </c>
      <c r="FR330">
        <f t="shared" si="272"/>
        <v>0</v>
      </c>
      <c r="FS330">
        <v>1</v>
      </c>
      <c r="FX330">
        <v>0</v>
      </c>
      <c r="FY330">
        <v>0</v>
      </c>
      <c r="GA330" t="s">
        <v>3</v>
      </c>
      <c r="GD330">
        <v>0</v>
      </c>
      <c r="GF330">
        <v>-54322067</v>
      </c>
      <c r="GG330">
        <v>2</v>
      </c>
      <c r="GH330">
        <v>0</v>
      </c>
      <c r="GI330">
        <v>-2</v>
      </c>
      <c r="GJ330">
        <v>0</v>
      </c>
      <c r="GK330">
        <f>ROUND(R330*(R12)/100,2)</f>
        <v>0</v>
      </c>
      <c r="GL330">
        <f t="shared" si="273"/>
        <v>0</v>
      </c>
      <c r="GM330">
        <f t="shared" si="274"/>
        <v>7920</v>
      </c>
      <c r="GN330">
        <f t="shared" si="275"/>
        <v>7920</v>
      </c>
      <c r="GO330">
        <f t="shared" si="276"/>
        <v>0</v>
      </c>
      <c r="GP330">
        <f t="shared" si="277"/>
        <v>0</v>
      </c>
      <c r="GR330">
        <v>0</v>
      </c>
      <c r="GS330">
        <v>0</v>
      </c>
      <c r="GT330">
        <v>0</v>
      </c>
      <c r="GU330" t="s">
        <v>3</v>
      </c>
      <c r="GV330">
        <f t="shared" si="278"/>
        <v>0</v>
      </c>
      <c r="GW330">
        <v>1</v>
      </c>
      <c r="GX330">
        <f t="shared" si="279"/>
        <v>0</v>
      </c>
      <c r="HA330">
        <v>0</v>
      </c>
      <c r="HB330">
        <v>0</v>
      </c>
      <c r="HC330">
        <f t="shared" si="280"/>
        <v>0</v>
      </c>
      <c r="HE330" t="s">
        <v>3</v>
      </c>
      <c r="HF330" t="s">
        <v>3</v>
      </c>
      <c r="HM330" t="s">
        <v>3</v>
      </c>
      <c r="HN330" t="s">
        <v>3</v>
      </c>
      <c r="HO330" t="s">
        <v>3</v>
      </c>
      <c r="HP330" t="s">
        <v>3</v>
      </c>
      <c r="HQ330" t="s">
        <v>3</v>
      </c>
      <c r="IK330">
        <v>0</v>
      </c>
    </row>
    <row r="331" spans="1:245" x14ac:dyDescent="0.2">
      <c r="A331">
        <v>17</v>
      </c>
      <c r="B331">
        <v>1</v>
      </c>
      <c r="D331">
        <f>ROW(EtalonRes!A104)</f>
        <v>104</v>
      </c>
      <c r="E331" t="s">
        <v>229</v>
      </c>
      <c r="F331" t="s">
        <v>92</v>
      </c>
      <c r="G331" t="s">
        <v>230</v>
      </c>
      <c r="H331" t="s">
        <v>94</v>
      </c>
      <c r="I331">
        <f>ROUND(230/10,9)</f>
        <v>23</v>
      </c>
      <c r="J331">
        <v>0</v>
      </c>
      <c r="K331">
        <f>ROUND(230/10,9)</f>
        <v>23</v>
      </c>
      <c r="O331">
        <f t="shared" si="241"/>
        <v>6391.01</v>
      </c>
      <c r="P331">
        <f t="shared" si="242"/>
        <v>0</v>
      </c>
      <c r="Q331">
        <f t="shared" si="243"/>
        <v>0</v>
      </c>
      <c r="R331">
        <f t="shared" si="244"/>
        <v>0</v>
      </c>
      <c r="S331">
        <f t="shared" si="245"/>
        <v>6391.01</v>
      </c>
      <c r="T331">
        <f t="shared" si="246"/>
        <v>0</v>
      </c>
      <c r="U331">
        <f t="shared" si="247"/>
        <v>10.35</v>
      </c>
      <c r="V331">
        <f t="shared" si="248"/>
        <v>0</v>
      </c>
      <c r="W331">
        <f t="shared" si="249"/>
        <v>0</v>
      </c>
      <c r="X331">
        <f t="shared" si="250"/>
        <v>4473.71</v>
      </c>
      <c r="Y331">
        <f t="shared" si="251"/>
        <v>639.1</v>
      </c>
      <c r="AA331">
        <v>1472506909</v>
      </c>
      <c r="AB331">
        <f t="shared" si="252"/>
        <v>277.87</v>
      </c>
      <c r="AC331">
        <f t="shared" si="253"/>
        <v>0</v>
      </c>
      <c r="AD331">
        <f>ROUND((((ET331)-(EU331))+AE331),6)</f>
        <v>0</v>
      </c>
      <c r="AE331">
        <f t="shared" si="255"/>
        <v>0</v>
      </c>
      <c r="AF331">
        <f t="shared" si="256"/>
        <v>277.87</v>
      </c>
      <c r="AG331">
        <f t="shared" si="257"/>
        <v>0</v>
      </c>
      <c r="AH331">
        <f t="shared" si="258"/>
        <v>0.45</v>
      </c>
      <c r="AI331">
        <f t="shared" si="259"/>
        <v>0</v>
      </c>
      <c r="AJ331">
        <f t="shared" si="260"/>
        <v>0</v>
      </c>
      <c r="AK331">
        <v>277.87</v>
      </c>
      <c r="AL331">
        <v>0</v>
      </c>
      <c r="AM331">
        <v>0</v>
      </c>
      <c r="AN331">
        <v>0</v>
      </c>
      <c r="AO331">
        <v>277.87</v>
      </c>
      <c r="AP331">
        <v>0</v>
      </c>
      <c r="AQ331">
        <v>0.45</v>
      </c>
      <c r="AR331">
        <v>0</v>
      </c>
      <c r="AS331">
        <v>0</v>
      </c>
      <c r="AT331">
        <v>70</v>
      </c>
      <c r="AU331">
        <v>10</v>
      </c>
      <c r="AV331">
        <v>1</v>
      </c>
      <c r="AW331">
        <v>1</v>
      </c>
      <c r="AZ331">
        <v>1</v>
      </c>
      <c r="BA331">
        <v>1</v>
      </c>
      <c r="BB331">
        <v>1</v>
      </c>
      <c r="BC331">
        <v>1</v>
      </c>
      <c r="BD331" t="s">
        <v>3</v>
      </c>
      <c r="BE331" t="s">
        <v>3</v>
      </c>
      <c r="BF331" t="s">
        <v>3</v>
      </c>
      <c r="BG331" t="s">
        <v>3</v>
      </c>
      <c r="BH331">
        <v>0</v>
      </c>
      <c r="BI331">
        <v>4</v>
      </c>
      <c r="BJ331" t="s">
        <v>95</v>
      </c>
      <c r="BM331">
        <v>0</v>
      </c>
      <c r="BN331">
        <v>0</v>
      </c>
      <c r="BO331" t="s">
        <v>3</v>
      </c>
      <c r="BP331">
        <v>0</v>
      </c>
      <c r="BQ331">
        <v>1</v>
      </c>
      <c r="BR331">
        <v>0</v>
      </c>
      <c r="BS331">
        <v>1</v>
      </c>
      <c r="BT331">
        <v>1</v>
      </c>
      <c r="BU331">
        <v>1</v>
      </c>
      <c r="BV331">
        <v>1</v>
      </c>
      <c r="BW331">
        <v>1</v>
      </c>
      <c r="BX331">
        <v>1</v>
      </c>
      <c r="BY331" t="s">
        <v>3</v>
      </c>
      <c r="BZ331">
        <v>70</v>
      </c>
      <c r="CA331">
        <v>10</v>
      </c>
      <c r="CB331" t="s">
        <v>3</v>
      </c>
      <c r="CE331">
        <v>0</v>
      </c>
      <c r="CF331">
        <v>0</v>
      </c>
      <c r="CG331">
        <v>0</v>
      </c>
      <c r="CM331">
        <v>0</v>
      </c>
      <c r="CN331" t="s">
        <v>3</v>
      </c>
      <c r="CO331">
        <v>0</v>
      </c>
      <c r="CP331">
        <f t="shared" si="261"/>
        <v>6391.01</v>
      </c>
      <c r="CQ331">
        <f t="shared" ref="CQ331:CQ347" si="281">(AC331*BC331*AW331)</f>
        <v>0</v>
      </c>
      <c r="CR331">
        <f>((((ET331)*BB331-(EU331)*BS331)+AE331*BS331)*AV331)</f>
        <v>0</v>
      </c>
      <c r="CS331">
        <f t="shared" ref="CS331:CS347" si="282">(AE331*BS331*AV331)</f>
        <v>0</v>
      </c>
      <c r="CT331">
        <f t="shared" ref="CT331:CT347" si="283">(AF331*BA331*AV331)</f>
        <v>277.87</v>
      </c>
      <c r="CU331">
        <f t="shared" si="266"/>
        <v>0</v>
      </c>
      <c r="CV331">
        <f t="shared" ref="CV331:CV347" si="284">(AH331*AV331)</f>
        <v>0.45</v>
      </c>
      <c r="CW331">
        <f t="shared" si="268"/>
        <v>0</v>
      </c>
      <c r="CX331">
        <f t="shared" si="269"/>
        <v>0</v>
      </c>
      <c r="CY331">
        <f t="shared" ref="CY331:CY347" si="285">((S331*BZ331)/100)</f>
        <v>4473.7070000000003</v>
      </c>
      <c r="CZ331">
        <f t="shared" ref="CZ331:CZ347" si="286">((S331*CA331)/100)</f>
        <v>639.10100000000011</v>
      </c>
      <c r="DC331" t="s">
        <v>3</v>
      </c>
      <c r="DD331" t="s">
        <v>3</v>
      </c>
      <c r="DE331" t="s">
        <v>3</v>
      </c>
      <c r="DF331" t="s">
        <v>3</v>
      </c>
      <c r="DG331" t="s">
        <v>3</v>
      </c>
      <c r="DH331" t="s">
        <v>3</v>
      </c>
      <c r="DI331" t="s">
        <v>3</v>
      </c>
      <c r="DJ331" t="s">
        <v>3</v>
      </c>
      <c r="DK331" t="s">
        <v>3</v>
      </c>
      <c r="DL331" t="s">
        <v>3</v>
      </c>
      <c r="DM331" t="s">
        <v>3</v>
      </c>
      <c r="DN331">
        <v>0</v>
      </c>
      <c r="DO331">
        <v>0</v>
      </c>
      <c r="DP331">
        <v>1</v>
      </c>
      <c r="DQ331">
        <v>1</v>
      </c>
      <c r="DU331">
        <v>16987630</v>
      </c>
      <c r="DV331" t="s">
        <v>94</v>
      </c>
      <c r="DW331" t="s">
        <v>94</v>
      </c>
      <c r="DX331">
        <v>10</v>
      </c>
      <c r="DZ331" t="s">
        <v>3</v>
      </c>
      <c r="EA331" t="s">
        <v>3</v>
      </c>
      <c r="EB331" t="s">
        <v>3</v>
      </c>
      <c r="EC331" t="s">
        <v>3</v>
      </c>
      <c r="EE331">
        <v>1441815344</v>
      </c>
      <c r="EF331">
        <v>1</v>
      </c>
      <c r="EG331" t="s">
        <v>22</v>
      </c>
      <c r="EH331">
        <v>0</v>
      </c>
      <c r="EI331" t="s">
        <v>3</v>
      </c>
      <c r="EJ331">
        <v>4</v>
      </c>
      <c r="EK331">
        <v>0</v>
      </c>
      <c r="EL331" t="s">
        <v>23</v>
      </c>
      <c r="EM331" t="s">
        <v>24</v>
      </c>
      <c r="EO331" t="s">
        <v>3</v>
      </c>
      <c r="EQ331">
        <v>0</v>
      </c>
      <c r="ER331">
        <v>277.87</v>
      </c>
      <c r="ES331">
        <v>0</v>
      </c>
      <c r="ET331">
        <v>0</v>
      </c>
      <c r="EU331">
        <v>0</v>
      </c>
      <c r="EV331">
        <v>277.87</v>
      </c>
      <c r="EW331">
        <v>0.45</v>
      </c>
      <c r="EX331">
        <v>0</v>
      </c>
      <c r="EY331">
        <v>0</v>
      </c>
      <c r="FQ331">
        <v>0</v>
      </c>
      <c r="FR331">
        <f t="shared" si="272"/>
        <v>0</v>
      </c>
      <c r="FS331">
        <v>0</v>
      </c>
      <c r="FX331">
        <v>70</v>
      </c>
      <c r="FY331">
        <v>10</v>
      </c>
      <c r="GA331" t="s">
        <v>3</v>
      </c>
      <c r="GD331">
        <v>0</v>
      </c>
      <c r="GF331">
        <v>805670260</v>
      </c>
      <c r="GG331">
        <v>2</v>
      </c>
      <c r="GH331">
        <v>1</v>
      </c>
      <c r="GI331">
        <v>-2</v>
      </c>
      <c r="GJ331">
        <v>0</v>
      </c>
      <c r="GK331">
        <f>ROUND(R331*(R12)/100,2)</f>
        <v>0</v>
      </c>
      <c r="GL331">
        <f t="shared" si="273"/>
        <v>0</v>
      </c>
      <c r="GM331">
        <f t="shared" si="274"/>
        <v>11503.82</v>
      </c>
      <c r="GN331">
        <f t="shared" si="275"/>
        <v>0</v>
      </c>
      <c r="GO331">
        <f t="shared" si="276"/>
        <v>0</v>
      </c>
      <c r="GP331">
        <f t="shared" si="277"/>
        <v>11503.82</v>
      </c>
      <c r="GR331">
        <v>0</v>
      </c>
      <c r="GS331">
        <v>3</v>
      </c>
      <c r="GT331">
        <v>0</v>
      </c>
      <c r="GU331" t="s">
        <v>3</v>
      </c>
      <c r="GV331">
        <f t="shared" si="278"/>
        <v>0</v>
      </c>
      <c r="GW331">
        <v>1</v>
      </c>
      <c r="GX331">
        <f t="shared" si="279"/>
        <v>0</v>
      </c>
      <c r="HA331">
        <v>0</v>
      </c>
      <c r="HB331">
        <v>0</v>
      </c>
      <c r="HC331">
        <f t="shared" si="280"/>
        <v>0</v>
      </c>
      <c r="HE331" t="s">
        <v>3</v>
      </c>
      <c r="HF331" t="s">
        <v>3</v>
      </c>
      <c r="HM331" t="s">
        <v>3</v>
      </c>
      <c r="HN331" t="s">
        <v>3</v>
      </c>
      <c r="HO331" t="s">
        <v>3</v>
      </c>
      <c r="HP331" t="s">
        <v>3</v>
      </c>
      <c r="HQ331" t="s">
        <v>3</v>
      </c>
      <c r="IK331">
        <v>0</v>
      </c>
    </row>
    <row r="332" spans="1:245" x14ac:dyDescent="0.2">
      <c r="A332">
        <v>17</v>
      </c>
      <c r="B332">
        <v>1</v>
      </c>
      <c r="D332">
        <f>ROW(EtalonRes!A110)</f>
        <v>110</v>
      </c>
      <c r="E332" t="s">
        <v>231</v>
      </c>
      <c r="F332" t="s">
        <v>232</v>
      </c>
      <c r="G332" t="s">
        <v>233</v>
      </c>
      <c r="H332" t="s">
        <v>20</v>
      </c>
      <c r="I332">
        <f>ROUND(7+13+2,9)</f>
        <v>22</v>
      </c>
      <c r="J332">
        <v>0</v>
      </c>
      <c r="K332">
        <f>ROUND(7+13+2,9)</f>
        <v>22</v>
      </c>
      <c r="O332">
        <f t="shared" si="241"/>
        <v>38195.85</v>
      </c>
      <c r="P332">
        <f t="shared" si="242"/>
        <v>686.84</v>
      </c>
      <c r="Q332">
        <f t="shared" si="243"/>
        <v>3411.25</v>
      </c>
      <c r="R332">
        <f t="shared" si="244"/>
        <v>2162.9299999999998</v>
      </c>
      <c r="S332">
        <f t="shared" si="245"/>
        <v>34097.760000000002</v>
      </c>
      <c r="T332">
        <f t="shared" si="246"/>
        <v>0</v>
      </c>
      <c r="U332">
        <f t="shared" si="247"/>
        <v>48.047999999999995</v>
      </c>
      <c r="V332">
        <f t="shared" si="248"/>
        <v>0</v>
      </c>
      <c r="W332">
        <f t="shared" si="249"/>
        <v>0</v>
      </c>
      <c r="X332">
        <f t="shared" si="250"/>
        <v>23868.43</v>
      </c>
      <c r="Y332">
        <f t="shared" si="251"/>
        <v>3409.78</v>
      </c>
      <c r="AA332">
        <v>1472506909</v>
      </c>
      <c r="AB332">
        <f t="shared" si="252"/>
        <v>1736.175</v>
      </c>
      <c r="AC332">
        <f>ROUND(((ES332*1)),6)</f>
        <v>31.22</v>
      </c>
      <c r="AD332">
        <f>ROUND(((((ET332*0.7))-((EU332*0.7)))+AE332),6)</f>
        <v>155.05699999999999</v>
      </c>
      <c r="AE332">
        <f>ROUND(((EU332*0.7)),6)</f>
        <v>98.314999999999998</v>
      </c>
      <c r="AF332">
        <f>ROUND(((EV332*0.7)),6)</f>
        <v>1549.8979999999999</v>
      </c>
      <c r="AG332">
        <f t="shared" si="257"/>
        <v>0</v>
      </c>
      <c r="AH332">
        <f>((EW332*0.7))</f>
        <v>2.1839999999999997</v>
      </c>
      <c r="AI332">
        <f>((EX332*0.7))</f>
        <v>0</v>
      </c>
      <c r="AJ332">
        <f t="shared" si="260"/>
        <v>0</v>
      </c>
      <c r="AK332">
        <v>2466.87</v>
      </c>
      <c r="AL332">
        <v>31.22</v>
      </c>
      <c r="AM332">
        <v>221.51</v>
      </c>
      <c r="AN332">
        <v>140.44999999999999</v>
      </c>
      <c r="AO332">
        <v>2214.14</v>
      </c>
      <c r="AP332">
        <v>0</v>
      </c>
      <c r="AQ332">
        <v>3.12</v>
      </c>
      <c r="AR332">
        <v>0</v>
      </c>
      <c r="AS332">
        <v>0</v>
      </c>
      <c r="AT332">
        <v>70</v>
      </c>
      <c r="AU332">
        <v>10</v>
      </c>
      <c r="AV332">
        <v>1</v>
      </c>
      <c r="AW332">
        <v>1</v>
      </c>
      <c r="AZ332">
        <v>1</v>
      </c>
      <c r="BA332">
        <v>1</v>
      </c>
      <c r="BB332">
        <v>1</v>
      </c>
      <c r="BC332">
        <v>1</v>
      </c>
      <c r="BD332" t="s">
        <v>3</v>
      </c>
      <c r="BE332" t="s">
        <v>3</v>
      </c>
      <c r="BF332" t="s">
        <v>3</v>
      </c>
      <c r="BG332" t="s">
        <v>3</v>
      </c>
      <c r="BH332">
        <v>0</v>
      </c>
      <c r="BI332">
        <v>4</v>
      </c>
      <c r="BJ332" t="s">
        <v>234</v>
      </c>
      <c r="BM332">
        <v>0</v>
      </c>
      <c r="BN332">
        <v>0</v>
      </c>
      <c r="BO332" t="s">
        <v>3</v>
      </c>
      <c r="BP332">
        <v>0</v>
      </c>
      <c r="BQ332">
        <v>1</v>
      </c>
      <c r="BR332">
        <v>0</v>
      </c>
      <c r="BS332">
        <v>1</v>
      </c>
      <c r="BT332">
        <v>1</v>
      </c>
      <c r="BU332">
        <v>1</v>
      </c>
      <c r="BV332">
        <v>1</v>
      </c>
      <c r="BW332">
        <v>1</v>
      </c>
      <c r="BX332">
        <v>1</v>
      </c>
      <c r="BY332" t="s">
        <v>3</v>
      </c>
      <c r="BZ332">
        <v>70</v>
      </c>
      <c r="CA332">
        <v>10</v>
      </c>
      <c r="CB332" t="s">
        <v>3</v>
      </c>
      <c r="CE332">
        <v>0</v>
      </c>
      <c r="CF332">
        <v>0</v>
      </c>
      <c r="CG332">
        <v>0</v>
      </c>
      <c r="CM332">
        <v>0</v>
      </c>
      <c r="CN332" t="s">
        <v>1069</v>
      </c>
      <c r="CO332">
        <v>0</v>
      </c>
      <c r="CP332">
        <f t="shared" si="261"/>
        <v>38195.850000000006</v>
      </c>
      <c r="CQ332">
        <f t="shared" si="281"/>
        <v>31.22</v>
      </c>
      <c r="CR332">
        <f>(((((ET332*0.7))*BB332-((EU332*0.7))*BS332)+AE332*BS332)*AV332)</f>
        <v>155.05700000000002</v>
      </c>
      <c r="CS332">
        <f t="shared" si="282"/>
        <v>98.314999999999998</v>
      </c>
      <c r="CT332">
        <f t="shared" si="283"/>
        <v>1549.8979999999999</v>
      </c>
      <c r="CU332">
        <f t="shared" si="266"/>
        <v>0</v>
      </c>
      <c r="CV332">
        <f t="shared" si="284"/>
        <v>2.1839999999999997</v>
      </c>
      <c r="CW332">
        <f t="shared" si="268"/>
        <v>0</v>
      </c>
      <c r="CX332">
        <f t="shared" si="269"/>
        <v>0</v>
      </c>
      <c r="CY332">
        <f t="shared" si="285"/>
        <v>23868.432000000001</v>
      </c>
      <c r="CZ332">
        <f t="shared" si="286"/>
        <v>3409.7760000000003</v>
      </c>
      <c r="DC332" t="s">
        <v>3</v>
      </c>
      <c r="DD332" t="s">
        <v>235</v>
      </c>
      <c r="DE332" t="s">
        <v>236</v>
      </c>
      <c r="DF332" t="s">
        <v>236</v>
      </c>
      <c r="DG332" t="s">
        <v>236</v>
      </c>
      <c r="DH332" t="s">
        <v>3</v>
      </c>
      <c r="DI332" t="s">
        <v>236</v>
      </c>
      <c r="DJ332" t="s">
        <v>236</v>
      </c>
      <c r="DK332" t="s">
        <v>3</v>
      </c>
      <c r="DL332" t="s">
        <v>3</v>
      </c>
      <c r="DM332" t="s">
        <v>3</v>
      </c>
      <c r="DN332">
        <v>0</v>
      </c>
      <c r="DO332">
        <v>0</v>
      </c>
      <c r="DP332">
        <v>1</v>
      </c>
      <c r="DQ332">
        <v>1</v>
      </c>
      <c r="DU332">
        <v>16987630</v>
      </c>
      <c r="DV332" t="s">
        <v>20</v>
      </c>
      <c r="DW332" t="s">
        <v>20</v>
      </c>
      <c r="DX332">
        <v>1</v>
      </c>
      <c r="DZ332" t="s">
        <v>3</v>
      </c>
      <c r="EA332" t="s">
        <v>3</v>
      </c>
      <c r="EB332" t="s">
        <v>3</v>
      </c>
      <c r="EC332" t="s">
        <v>3</v>
      </c>
      <c r="EE332">
        <v>1441815344</v>
      </c>
      <c r="EF332">
        <v>1</v>
      </c>
      <c r="EG332" t="s">
        <v>22</v>
      </c>
      <c r="EH332">
        <v>0</v>
      </c>
      <c r="EI332" t="s">
        <v>3</v>
      </c>
      <c r="EJ332">
        <v>4</v>
      </c>
      <c r="EK332">
        <v>0</v>
      </c>
      <c r="EL332" t="s">
        <v>23</v>
      </c>
      <c r="EM332" t="s">
        <v>24</v>
      </c>
      <c r="EO332" t="s">
        <v>237</v>
      </c>
      <c r="EQ332">
        <v>768</v>
      </c>
      <c r="ER332">
        <v>2466.87</v>
      </c>
      <c r="ES332">
        <v>31.22</v>
      </c>
      <c r="ET332">
        <v>221.51</v>
      </c>
      <c r="EU332">
        <v>140.44999999999999</v>
      </c>
      <c r="EV332">
        <v>2214.14</v>
      </c>
      <c r="EW332">
        <v>3.12</v>
      </c>
      <c r="EX332">
        <v>0</v>
      </c>
      <c r="EY332">
        <v>0</v>
      </c>
      <c r="FQ332">
        <v>0</v>
      </c>
      <c r="FR332">
        <f t="shared" si="272"/>
        <v>0</v>
      </c>
      <c r="FS332">
        <v>0</v>
      </c>
      <c r="FX332">
        <v>70</v>
      </c>
      <c r="FY332">
        <v>10</v>
      </c>
      <c r="GA332" t="s">
        <v>3</v>
      </c>
      <c r="GD332">
        <v>0</v>
      </c>
      <c r="GF332">
        <v>-1959272666</v>
      </c>
      <c r="GG332">
        <v>2</v>
      </c>
      <c r="GH332">
        <v>1</v>
      </c>
      <c r="GI332">
        <v>-2</v>
      </c>
      <c r="GJ332">
        <v>0</v>
      </c>
      <c r="GK332">
        <f>ROUND(R332*(R12)/100,2)</f>
        <v>2335.96</v>
      </c>
      <c r="GL332">
        <f t="shared" si="273"/>
        <v>0</v>
      </c>
      <c r="GM332">
        <f t="shared" si="274"/>
        <v>67810.02</v>
      </c>
      <c r="GN332">
        <f t="shared" si="275"/>
        <v>0</v>
      </c>
      <c r="GO332">
        <f t="shared" si="276"/>
        <v>0</v>
      </c>
      <c r="GP332">
        <f t="shared" si="277"/>
        <v>67810.02</v>
      </c>
      <c r="GR332">
        <v>0</v>
      </c>
      <c r="GS332">
        <v>3</v>
      </c>
      <c r="GT332">
        <v>0</v>
      </c>
      <c r="GU332" t="s">
        <v>3</v>
      </c>
      <c r="GV332">
        <f t="shared" si="278"/>
        <v>0</v>
      </c>
      <c r="GW332">
        <v>1</v>
      </c>
      <c r="GX332">
        <f t="shared" si="279"/>
        <v>0</v>
      </c>
      <c r="HA332">
        <v>0</v>
      </c>
      <c r="HB332">
        <v>0</v>
      </c>
      <c r="HC332">
        <f t="shared" si="280"/>
        <v>0</v>
      </c>
      <c r="HE332" t="s">
        <v>3</v>
      </c>
      <c r="HF332" t="s">
        <v>3</v>
      </c>
      <c r="HM332" t="s">
        <v>3</v>
      </c>
      <c r="HN332" t="s">
        <v>3</v>
      </c>
      <c r="HO332" t="s">
        <v>3</v>
      </c>
      <c r="HP332" t="s">
        <v>3</v>
      </c>
      <c r="HQ332" t="s">
        <v>3</v>
      </c>
      <c r="IK332">
        <v>0</v>
      </c>
    </row>
    <row r="333" spans="1:245" x14ac:dyDescent="0.2">
      <c r="A333">
        <v>17</v>
      </c>
      <c r="B333">
        <v>1</v>
      </c>
      <c r="D333">
        <f>ROW(EtalonRes!A114)</f>
        <v>114</v>
      </c>
      <c r="E333" t="s">
        <v>3</v>
      </c>
      <c r="F333" t="s">
        <v>238</v>
      </c>
      <c r="G333" t="s">
        <v>239</v>
      </c>
      <c r="H333" t="s">
        <v>20</v>
      </c>
      <c r="I333">
        <f>ROUND(7+13+2,9)</f>
        <v>22</v>
      </c>
      <c r="J333">
        <v>0</v>
      </c>
      <c r="K333">
        <f>ROUND(7+13+2,9)</f>
        <v>22</v>
      </c>
      <c r="O333">
        <f t="shared" si="241"/>
        <v>7004.09</v>
      </c>
      <c r="P333">
        <f t="shared" si="242"/>
        <v>387.42</v>
      </c>
      <c r="Q333">
        <f t="shared" si="243"/>
        <v>644.99</v>
      </c>
      <c r="R333">
        <f t="shared" si="244"/>
        <v>408.87</v>
      </c>
      <c r="S333">
        <f t="shared" si="245"/>
        <v>5971.68</v>
      </c>
      <c r="T333">
        <f t="shared" si="246"/>
        <v>0</v>
      </c>
      <c r="U333">
        <f t="shared" si="247"/>
        <v>8.4150000000000009</v>
      </c>
      <c r="V333">
        <f t="shared" si="248"/>
        <v>0</v>
      </c>
      <c r="W333">
        <f t="shared" si="249"/>
        <v>0</v>
      </c>
      <c r="X333">
        <f t="shared" si="250"/>
        <v>4180.18</v>
      </c>
      <c r="Y333">
        <f t="shared" si="251"/>
        <v>597.16999999999996</v>
      </c>
      <c r="AA333">
        <v>-1</v>
      </c>
      <c r="AB333">
        <f t="shared" si="252"/>
        <v>318.36750000000001</v>
      </c>
      <c r="AC333">
        <f>ROUND((((ES333*3)*1)),6)</f>
        <v>17.61</v>
      </c>
      <c r="AD333">
        <f>ROUND((((((ET333*3)*0.75))-(((EU333*3)*0.75)))+AE333),6)</f>
        <v>29.317499999999999</v>
      </c>
      <c r="AE333">
        <f>ROUND((((EU333*3)*0.75)),6)</f>
        <v>18.585000000000001</v>
      </c>
      <c r="AF333">
        <f>ROUND((((EV333*3)*0.75)),6)</f>
        <v>271.44</v>
      </c>
      <c r="AG333">
        <f t="shared" si="257"/>
        <v>0</v>
      </c>
      <c r="AH333">
        <f>(((EW333*3)*0.75))</f>
        <v>0.38250000000000001</v>
      </c>
      <c r="AI333">
        <f>(((EX333*3)*0.75))</f>
        <v>0</v>
      </c>
      <c r="AJ333">
        <f t="shared" si="260"/>
        <v>0</v>
      </c>
      <c r="AK333">
        <v>139.54</v>
      </c>
      <c r="AL333">
        <v>5.87</v>
      </c>
      <c r="AM333">
        <v>13.03</v>
      </c>
      <c r="AN333">
        <v>8.26</v>
      </c>
      <c r="AO333">
        <v>120.64</v>
      </c>
      <c r="AP333">
        <v>0</v>
      </c>
      <c r="AQ333">
        <v>0.17</v>
      </c>
      <c r="AR333">
        <v>0</v>
      </c>
      <c r="AS333">
        <v>0</v>
      </c>
      <c r="AT333">
        <v>70</v>
      </c>
      <c r="AU333">
        <v>10</v>
      </c>
      <c r="AV333">
        <v>1</v>
      </c>
      <c r="AW333">
        <v>1</v>
      </c>
      <c r="AZ333">
        <v>1</v>
      </c>
      <c r="BA333">
        <v>1</v>
      </c>
      <c r="BB333">
        <v>1</v>
      </c>
      <c r="BC333">
        <v>1</v>
      </c>
      <c r="BD333" t="s">
        <v>3</v>
      </c>
      <c r="BE333" t="s">
        <v>3</v>
      </c>
      <c r="BF333" t="s">
        <v>3</v>
      </c>
      <c r="BG333" t="s">
        <v>3</v>
      </c>
      <c r="BH333">
        <v>0</v>
      </c>
      <c r="BI333">
        <v>4</v>
      </c>
      <c r="BJ333" t="s">
        <v>240</v>
      </c>
      <c r="BM333">
        <v>0</v>
      </c>
      <c r="BN333">
        <v>0</v>
      </c>
      <c r="BO333" t="s">
        <v>3</v>
      </c>
      <c r="BP333">
        <v>0</v>
      </c>
      <c r="BQ333">
        <v>1</v>
      </c>
      <c r="BR333">
        <v>0</v>
      </c>
      <c r="BS333">
        <v>1</v>
      </c>
      <c r="BT333">
        <v>1</v>
      </c>
      <c r="BU333">
        <v>1</v>
      </c>
      <c r="BV333">
        <v>1</v>
      </c>
      <c r="BW333">
        <v>1</v>
      </c>
      <c r="BX333">
        <v>1</v>
      </c>
      <c r="BY333" t="s">
        <v>3</v>
      </c>
      <c r="BZ333">
        <v>70</v>
      </c>
      <c r="CA333">
        <v>10</v>
      </c>
      <c r="CB333" t="s">
        <v>3</v>
      </c>
      <c r="CE333">
        <v>0</v>
      </c>
      <c r="CF333">
        <v>0</v>
      </c>
      <c r="CG333">
        <v>0</v>
      </c>
      <c r="CM333">
        <v>0</v>
      </c>
      <c r="CN333" t="s">
        <v>1070</v>
      </c>
      <c r="CO333">
        <v>0</v>
      </c>
      <c r="CP333">
        <f t="shared" si="261"/>
        <v>7004.09</v>
      </c>
      <c r="CQ333">
        <f t="shared" si="281"/>
        <v>17.61</v>
      </c>
      <c r="CR333">
        <f>((((((ET333*3)*0.75))*BB333-(((EU333*3)*0.75))*BS333)+AE333*BS333)*AV333)</f>
        <v>29.317499999999995</v>
      </c>
      <c r="CS333">
        <f t="shared" si="282"/>
        <v>18.585000000000001</v>
      </c>
      <c r="CT333">
        <f t="shared" si="283"/>
        <v>271.44</v>
      </c>
      <c r="CU333">
        <f t="shared" si="266"/>
        <v>0</v>
      </c>
      <c r="CV333">
        <f t="shared" si="284"/>
        <v>0.38250000000000001</v>
      </c>
      <c r="CW333">
        <f t="shared" si="268"/>
        <v>0</v>
      </c>
      <c r="CX333">
        <f t="shared" si="269"/>
        <v>0</v>
      </c>
      <c r="CY333">
        <f t="shared" si="285"/>
        <v>4180.1760000000004</v>
      </c>
      <c r="CZ333">
        <f t="shared" si="286"/>
        <v>597.16800000000001</v>
      </c>
      <c r="DC333" t="s">
        <v>3</v>
      </c>
      <c r="DD333" t="s">
        <v>241</v>
      </c>
      <c r="DE333" t="s">
        <v>242</v>
      </c>
      <c r="DF333" t="s">
        <v>242</v>
      </c>
      <c r="DG333" t="s">
        <v>242</v>
      </c>
      <c r="DH333" t="s">
        <v>3</v>
      </c>
      <c r="DI333" t="s">
        <v>242</v>
      </c>
      <c r="DJ333" t="s">
        <v>242</v>
      </c>
      <c r="DK333" t="s">
        <v>3</v>
      </c>
      <c r="DL333" t="s">
        <v>3</v>
      </c>
      <c r="DM333" t="s">
        <v>3</v>
      </c>
      <c r="DN333">
        <v>0</v>
      </c>
      <c r="DO333">
        <v>0</v>
      </c>
      <c r="DP333">
        <v>1</v>
      </c>
      <c r="DQ333">
        <v>1</v>
      </c>
      <c r="DU333">
        <v>16987630</v>
      </c>
      <c r="DV333" t="s">
        <v>20</v>
      </c>
      <c r="DW333" t="s">
        <v>20</v>
      </c>
      <c r="DX333">
        <v>1</v>
      </c>
      <c r="DZ333" t="s">
        <v>3</v>
      </c>
      <c r="EA333" t="s">
        <v>3</v>
      </c>
      <c r="EB333" t="s">
        <v>3</v>
      </c>
      <c r="EC333" t="s">
        <v>3</v>
      </c>
      <c r="EE333">
        <v>1441815344</v>
      </c>
      <c r="EF333">
        <v>1</v>
      </c>
      <c r="EG333" t="s">
        <v>22</v>
      </c>
      <c r="EH333">
        <v>0</v>
      </c>
      <c r="EI333" t="s">
        <v>3</v>
      </c>
      <c r="EJ333">
        <v>4</v>
      </c>
      <c r="EK333">
        <v>0</v>
      </c>
      <c r="EL333" t="s">
        <v>23</v>
      </c>
      <c r="EM333" t="s">
        <v>24</v>
      </c>
      <c r="EO333" t="s">
        <v>243</v>
      </c>
      <c r="EQ333">
        <v>1792</v>
      </c>
      <c r="ER333">
        <v>139.54</v>
      </c>
      <c r="ES333">
        <v>5.87</v>
      </c>
      <c r="ET333">
        <v>13.03</v>
      </c>
      <c r="EU333">
        <v>8.26</v>
      </c>
      <c r="EV333">
        <v>120.64</v>
      </c>
      <c r="EW333">
        <v>0.17</v>
      </c>
      <c r="EX333">
        <v>0</v>
      </c>
      <c r="EY333">
        <v>0</v>
      </c>
      <c r="FQ333">
        <v>0</v>
      </c>
      <c r="FR333">
        <f t="shared" si="272"/>
        <v>0</v>
      </c>
      <c r="FS333">
        <v>0</v>
      </c>
      <c r="FX333">
        <v>70</v>
      </c>
      <c r="FY333">
        <v>10</v>
      </c>
      <c r="GA333" t="s">
        <v>3</v>
      </c>
      <c r="GD333">
        <v>0</v>
      </c>
      <c r="GF333">
        <v>-532210630</v>
      </c>
      <c r="GG333">
        <v>2</v>
      </c>
      <c r="GH333">
        <v>1</v>
      </c>
      <c r="GI333">
        <v>-2</v>
      </c>
      <c r="GJ333">
        <v>0</v>
      </c>
      <c r="GK333">
        <f>ROUND(R333*(R12)/100,2)</f>
        <v>441.58</v>
      </c>
      <c r="GL333">
        <f t="shared" si="273"/>
        <v>0</v>
      </c>
      <c r="GM333">
        <f t="shared" si="274"/>
        <v>12223.02</v>
      </c>
      <c r="GN333">
        <f t="shared" si="275"/>
        <v>0</v>
      </c>
      <c r="GO333">
        <f t="shared" si="276"/>
        <v>0</v>
      </c>
      <c r="GP333">
        <f t="shared" si="277"/>
        <v>12223.02</v>
      </c>
      <c r="GR333">
        <v>0</v>
      </c>
      <c r="GS333">
        <v>3</v>
      </c>
      <c r="GT333">
        <v>0</v>
      </c>
      <c r="GU333" t="s">
        <v>3</v>
      </c>
      <c r="GV333">
        <f t="shared" si="278"/>
        <v>0</v>
      </c>
      <c r="GW333">
        <v>1</v>
      </c>
      <c r="GX333">
        <f t="shared" si="279"/>
        <v>0</v>
      </c>
      <c r="HA333">
        <v>0</v>
      </c>
      <c r="HB333">
        <v>0</v>
      </c>
      <c r="HC333">
        <f t="shared" si="280"/>
        <v>0</v>
      </c>
      <c r="HE333" t="s">
        <v>3</v>
      </c>
      <c r="HF333" t="s">
        <v>3</v>
      </c>
      <c r="HM333" t="s">
        <v>3</v>
      </c>
      <c r="HN333" t="s">
        <v>3</v>
      </c>
      <c r="HO333" t="s">
        <v>3</v>
      </c>
      <c r="HP333" t="s">
        <v>3</v>
      </c>
      <c r="HQ333" t="s">
        <v>3</v>
      </c>
      <c r="IK333">
        <v>0</v>
      </c>
    </row>
    <row r="334" spans="1:245" x14ac:dyDescent="0.2">
      <c r="A334">
        <v>17</v>
      </c>
      <c r="B334">
        <v>1</v>
      </c>
      <c r="D334">
        <f>ROW(EtalonRes!A117)</f>
        <v>117</v>
      </c>
      <c r="E334" t="s">
        <v>244</v>
      </c>
      <c r="F334" t="s">
        <v>245</v>
      </c>
      <c r="G334" t="s">
        <v>246</v>
      </c>
      <c r="H334" t="s">
        <v>94</v>
      </c>
      <c r="I334">
        <f>ROUND((3+5+8+6)/10,9)</f>
        <v>2.2000000000000002</v>
      </c>
      <c r="J334">
        <v>0</v>
      </c>
      <c r="K334">
        <f>ROUND((3+5+8+6)/10,9)</f>
        <v>2.2000000000000002</v>
      </c>
      <c r="O334">
        <f t="shared" si="241"/>
        <v>19553.91</v>
      </c>
      <c r="P334">
        <f t="shared" si="242"/>
        <v>38.26</v>
      </c>
      <c r="Q334">
        <f t="shared" si="243"/>
        <v>0</v>
      </c>
      <c r="R334">
        <f t="shared" si="244"/>
        <v>0</v>
      </c>
      <c r="S334">
        <f t="shared" si="245"/>
        <v>19515.650000000001</v>
      </c>
      <c r="T334">
        <f t="shared" si="246"/>
        <v>0</v>
      </c>
      <c r="U334">
        <f t="shared" si="247"/>
        <v>27.500000000000004</v>
      </c>
      <c r="V334">
        <f t="shared" si="248"/>
        <v>0</v>
      </c>
      <c r="W334">
        <f t="shared" si="249"/>
        <v>0</v>
      </c>
      <c r="X334">
        <f t="shared" si="250"/>
        <v>13660.96</v>
      </c>
      <c r="Y334">
        <f t="shared" si="251"/>
        <v>1951.57</v>
      </c>
      <c r="AA334">
        <v>1472506909</v>
      </c>
      <c r="AB334">
        <f t="shared" si="252"/>
        <v>8888.14</v>
      </c>
      <c r="AC334">
        <f t="shared" ref="AC334:AC340" si="287">ROUND((ES334),6)</f>
        <v>17.39</v>
      </c>
      <c r="AD334">
        <f t="shared" ref="AD334:AD340" si="288">ROUND((((ET334)-(EU334))+AE334),6)</f>
        <v>0</v>
      </c>
      <c r="AE334">
        <f t="shared" ref="AE334:AF340" si="289">ROUND((EU334),6)</f>
        <v>0</v>
      </c>
      <c r="AF334">
        <f t="shared" si="289"/>
        <v>8870.75</v>
      </c>
      <c r="AG334">
        <f t="shared" si="257"/>
        <v>0</v>
      </c>
      <c r="AH334">
        <f t="shared" ref="AH334:AI340" si="290">(EW334)</f>
        <v>12.5</v>
      </c>
      <c r="AI334">
        <f t="shared" si="290"/>
        <v>0</v>
      </c>
      <c r="AJ334">
        <f t="shared" si="260"/>
        <v>0</v>
      </c>
      <c r="AK334">
        <v>8888.14</v>
      </c>
      <c r="AL334">
        <v>17.39</v>
      </c>
      <c r="AM334">
        <v>0</v>
      </c>
      <c r="AN334">
        <v>0</v>
      </c>
      <c r="AO334">
        <v>8870.75</v>
      </c>
      <c r="AP334">
        <v>0</v>
      </c>
      <c r="AQ334">
        <v>12.5</v>
      </c>
      <c r="AR334">
        <v>0</v>
      </c>
      <c r="AS334">
        <v>0</v>
      </c>
      <c r="AT334">
        <v>70</v>
      </c>
      <c r="AU334">
        <v>10</v>
      </c>
      <c r="AV334">
        <v>1</v>
      </c>
      <c r="AW334">
        <v>1</v>
      </c>
      <c r="AZ334">
        <v>1</v>
      </c>
      <c r="BA334">
        <v>1</v>
      </c>
      <c r="BB334">
        <v>1</v>
      </c>
      <c r="BC334">
        <v>1</v>
      </c>
      <c r="BD334" t="s">
        <v>3</v>
      </c>
      <c r="BE334" t="s">
        <v>3</v>
      </c>
      <c r="BF334" t="s">
        <v>3</v>
      </c>
      <c r="BG334" t="s">
        <v>3</v>
      </c>
      <c r="BH334">
        <v>0</v>
      </c>
      <c r="BI334">
        <v>4</v>
      </c>
      <c r="BJ334" t="s">
        <v>247</v>
      </c>
      <c r="BM334">
        <v>0</v>
      </c>
      <c r="BN334">
        <v>0</v>
      </c>
      <c r="BO334" t="s">
        <v>3</v>
      </c>
      <c r="BP334">
        <v>0</v>
      </c>
      <c r="BQ334">
        <v>1</v>
      </c>
      <c r="BR334">
        <v>0</v>
      </c>
      <c r="BS334">
        <v>1</v>
      </c>
      <c r="BT334">
        <v>1</v>
      </c>
      <c r="BU334">
        <v>1</v>
      </c>
      <c r="BV334">
        <v>1</v>
      </c>
      <c r="BW334">
        <v>1</v>
      </c>
      <c r="BX334">
        <v>1</v>
      </c>
      <c r="BY334" t="s">
        <v>3</v>
      </c>
      <c r="BZ334">
        <v>70</v>
      </c>
      <c r="CA334">
        <v>10</v>
      </c>
      <c r="CB334" t="s">
        <v>3</v>
      </c>
      <c r="CE334">
        <v>0</v>
      </c>
      <c r="CF334">
        <v>0</v>
      </c>
      <c r="CG334">
        <v>0</v>
      </c>
      <c r="CM334">
        <v>0</v>
      </c>
      <c r="CN334" t="s">
        <v>3</v>
      </c>
      <c r="CO334">
        <v>0</v>
      </c>
      <c r="CP334">
        <f t="shared" si="261"/>
        <v>19553.91</v>
      </c>
      <c r="CQ334">
        <f t="shared" si="281"/>
        <v>17.39</v>
      </c>
      <c r="CR334">
        <f t="shared" ref="CR334:CR340" si="291">((((ET334)*BB334-(EU334)*BS334)+AE334*BS334)*AV334)</f>
        <v>0</v>
      </c>
      <c r="CS334">
        <f t="shared" si="282"/>
        <v>0</v>
      </c>
      <c r="CT334">
        <f t="shared" si="283"/>
        <v>8870.75</v>
      </c>
      <c r="CU334">
        <f t="shared" si="266"/>
        <v>0</v>
      </c>
      <c r="CV334">
        <f t="shared" si="284"/>
        <v>12.5</v>
      </c>
      <c r="CW334">
        <f t="shared" si="268"/>
        <v>0</v>
      </c>
      <c r="CX334">
        <f t="shared" si="269"/>
        <v>0</v>
      </c>
      <c r="CY334">
        <f t="shared" si="285"/>
        <v>13660.955</v>
      </c>
      <c r="CZ334">
        <f t="shared" si="286"/>
        <v>1951.5650000000001</v>
      </c>
      <c r="DC334" t="s">
        <v>3</v>
      </c>
      <c r="DD334" t="s">
        <v>3</v>
      </c>
      <c r="DE334" t="s">
        <v>3</v>
      </c>
      <c r="DF334" t="s">
        <v>3</v>
      </c>
      <c r="DG334" t="s">
        <v>3</v>
      </c>
      <c r="DH334" t="s">
        <v>3</v>
      </c>
      <c r="DI334" t="s">
        <v>3</v>
      </c>
      <c r="DJ334" t="s">
        <v>3</v>
      </c>
      <c r="DK334" t="s">
        <v>3</v>
      </c>
      <c r="DL334" t="s">
        <v>3</v>
      </c>
      <c r="DM334" t="s">
        <v>3</v>
      </c>
      <c r="DN334">
        <v>0</v>
      </c>
      <c r="DO334">
        <v>0</v>
      </c>
      <c r="DP334">
        <v>1</v>
      </c>
      <c r="DQ334">
        <v>1</v>
      </c>
      <c r="DU334">
        <v>16987630</v>
      </c>
      <c r="DV334" t="s">
        <v>94</v>
      </c>
      <c r="DW334" t="s">
        <v>94</v>
      </c>
      <c r="DX334">
        <v>10</v>
      </c>
      <c r="DZ334" t="s">
        <v>3</v>
      </c>
      <c r="EA334" t="s">
        <v>3</v>
      </c>
      <c r="EB334" t="s">
        <v>3</v>
      </c>
      <c r="EC334" t="s">
        <v>3</v>
      </c>
      <c r="EE334">
        <v>1441815344</v>
      </c>
      <c r="EF334">
        <v>1</v>
      </c>
      <c r="EG334" t="s">
        <v>22</v>
      </c>
      <c r="EH334">
        <v>0</v>
      </c>
      <c r="EI334" t="s">
        <v>3</v>
      </c>
      <c r="EJ334">
        <v>4</v>
      </c>
      <c r="EK334">
        <v>0</v>
      </c>
      <c r="EL334" t="s">
        <v>23</v>
      </c>
      <c r="EM334" t="s">
        <v>24</v>
      </c>
      <c r="EO334" t="s">
        <v>3</v>
      </c>
      <c r="EQ334">
        <v>0</v>
      </c>
      <c r="ER334">
        <v>8888.14</v>
      </c>
      <c r="ES334">
        <v>17.39</v>
      </c>
      <c r="ET334">
        <v>0</v>
      </c>
      <c r="EU334">
        <v>0</v>
      </c>
      <c r="EV334">
        <v>8870.75</v>
      </c>
      <c r="EW334">
        <v>12.5</v>
      </c>
      <c r="EX334">
        <v>0</v>
      </c>
      <c r="EY334">
        <v>0</v>
      </c>
      <c r="FQ334">
        <v>0</v>
      </c>
      <c r="FR334">
        <f t="shared" si="272"/>
        <v>0</v>
      </c>
      <c r="FS334">
        <v>0</v>
      </c>
      <c r="FX334">
        <v>70</v>
      </c>
      <c r="FY334">
        <v>10</v>
      </c>
      <c r="GA334" t="s">
        <v>3</v>
      </c>
      <c r="GD334">
        <v>0</v>
      </c>
      <c r="GF334">
        <v>-239360426</v>
      </c>
      <c r="GG334">
        <v>2</v>
      </c>
      <c r="GH334">
        <v>1</v>
      </c>
      <c r="GI334">
        <v>-2</v>
      </c>
      <c r="GJ334">
        <v>0</v>
      </c>
      <c r="GK334">
        <f>ROUND(R334*(R12)/100,2)</f>
        <v>0</v>
      </c>
      <c r="GL334">
        <f t="shared" si="273"/>
        <v>0</v>
      </c>
      <c r="GM334">
        <f t="shared" si="274"/>
        <v>35166.44</v>
      </c>
      <c r="GN334">
        <f t="shared" si="275"/>
        <v>0</v>
      </c>
      <c r="GO334">
        <f t="shared" si="276"/>
        <v>0</v>
      </c>
      <c r="GP334">
        <f t="shared" si="277"/>
        <v>35166.44</v>
      </c>
      <c r="GR334">
        <v>0</v>
      </c>
      <c r="GS334">
        <v>3</v>
      </c>
      <c r="GT334">
        <v>0</v>
      </c>
      <c r="GU334" t="s">
        <v>3</v>
      </c>
      <c r="GV334">
        <f t="shared" si="278"/>
        <v>0</v>
      </c>
      <c r="GW334">
        <v>1</v>
      </c>
      <c r="GX334">
        <f t="shared" si="279"/>
        <v>0</v>
      </c>
      <c r="HA334">
        <v>0</v>
      </c>
      <c r="HB334">
        <v>0</v>
      </c>
      <c r="HC334">
        <f t="shared" si="280"/>
        <v>0</v>
      </c>
      <c r="HE334" t="s">
        <v>3</v>
      </c>
      <c r="HF334" t="s">
        <v>3</v>
      </c>
      <c r="HM334" t="s">
        <v>3</v>
      </c>
      <c r="HN334" t="s">
        <v>3</v>
      </c>
      <c r="HO334" t="s">
        <v>3</v>
      </c>
      <c r="HP334" t="s">
        <v>3</v>
      </c>
      <c r="HQ334" t="s">
        <v>3</v>
      </c>
      <c r="IK334">
        <v>0</v>
      </c>
    </row>
    <row r="335" spans="1:245" x14ac:dyDescent="0.2">
      <c r="A335">
        <v>17</v>
      </c>
      <c r="B335">
        <v>1</v>
      </c>
      <c r="D335">
        <f>ROW(EtalonRes!A119)</f>
        <v>119</v>
      </c>
      <c r="E335" t="s">
        <v>248</v>
      </c>
      <c r="F335" t="s">
        <v>30</v>
      </c>
      <c r="G335" t="s">
        <v>249</v>
      </c>
      <c r="H335" t="s">
        <v>20</v>
      </c>
      <c r="I335">
        <v>115</v>
      </c>
      <c r="J335">
        <v>0</v>
      </c>
      <c r="K335">
        <v>115</v>
      </c>
      <c r="O335">
        <f t="shared" si="241"/>
        <v>32910.699999999997</v>
      </c>
      <c r="P335">
        <f t="shared" si="242"/>
        <v>0</v>
      </c>
      <c r="Q335">
        <f t="shared" si="243"/>
        <v>8990.7000000000007</v>
      </c>
      <c r="R335">
        <f t="shared" si="244"/>
        <v>5700.55</v>
      </c>
      <c r="S335">
        <f t="shared" si="245"/>
        <v>23920</v>
      </c>
      <c r="T335">
        <f t="shared" si="246"/>
        <v>0</v>
      </c>
      <c r="U335">
        <f t="shared" si="247"/>
        <v>42.55</v>
      </c>
      <c r="V335">
        <f t="shared" si="248"/>
        <v>0</v>
      </c>
      <c r="W335">
        <f t="shared" si="249"/>
        <v>0</v>
      </c>
      <c r="X335">
        <f t="shared" si="250"/>
        <v>16744</v>
      </c>
      <c r="Y335">
        <f t="shared" si="251"/>
        <v>2392</v>
      </c>
      <c r="AA335">
        <v>1472506909</v>
      </c>
      <c r="AB335">
        <f t="shared" si="252"/>
        <v>286.18</v>
      </c>
      <c r="AC335">
        <f t="shared" si="287"/>
        <v>0</v>
      </c>
      <c r="AD335">
        <f t="shared" si="288"/>
        <v>78.180000000000007</v>
      </c>
      <c r="AE335">
        <f t="shared" si="289"/>
        <v>49.57</v>
      </c>
      <c r="AF335">
        <f t="shared" si="289"/>
        <v>208</v>
      </c>
      <c r="AG335">
        <f t="shared" si="257"/>
        <v>0</v>
      </c>
      <c r="AH335">
        <f t="shared" si="290"/>
        <v>0.37</v>
      </c>
      <c r="AI335">
        <f t="shared" si="290"/>
        <v>0</v>
      </c>
      <c r="AJ335">
        <f t="shared" si="260"/>
        <v>0</v>
      </c>
      <c r="AK335">
        <v>286.18</v>
      </c>
      <c r="AL335">
        <v>0</v>
      </c>
      <c r="AM335">
        <v>78.180000000000007</v>
      </c>
      <c r="AN335">
        <v>49.57</v>
      </c>
      <c r="AO335">
        <v>208</v>
      </c>
      <c r="AP335">
        <v>0</v>
      </c>
      <c r="AQ335">
        <v>0.37</v>
      </c>
      <c r="AR335">
        <v>0</v>
      </c>
      <c r="AS335">
        <v>0</v>
      </c>
      <c r="AT335">
        <v>70</v>
      </c>
      <c r="AU335">
        <v>10</v>
      </c>
      <c r="AV335">
        <v>1</v>
      </c>
      <c r="AW335">
        <v>1</v>
      </c>
      <c r="AZ335">
        <v>1</v>
      </c>
      <c r="BA335">
        <v>1</v>
      </c>
      <c r="BB335">
        <v>1</v>
      </c>
      <c r="BC335">
        <v>1</v>
      </c>
      <c r="BD335" t="s">
        <v>3</v>
      </c>
      <c r="BE335" t="s">
        <v>3</v>
      </c>
      <c r="BF335" t="s">
        <v>3</v>
      </c>
      <c r="BG335" t="s">
        <v>3</v>
      </c>
      <c r="BH335">
        <v>0</v>
      </c>
      <c r="BI335">
        <v>4</v>
      </c>
      <c r="BJ335" t="s">
        <v>32</v>
      </c>
      <c r="BM335">
        <v>0</v>
      </c>
      <c r="BN335">
        <v>0</v>
      </c>
      <c r="BO335" t="s">
        <v>3</v>
      </c>
      <c r="BP335">
        <v>0</v>
      </c>
      <c r="BQ335">
        <v>1</v>
      </c>
      <c r="BR335">
        <v>0</v>
      </c>
      <c r="BS335">
        <v>1</v>
      </c>
      <c r="BT335">
        <v>1</v>
      </c>
      <c r="BU335">
        <v>1</v>
      </c>
      <c r="BV335">
        <v>1</v>
      </c>
      <c r="BW335">
        <v>1</v>
      </c>
      <c r="BX335">
        <v>1</v>
      </c>
      <c r="BY335" t="s">
        <v>3</v>
      </c>
      <c r="BZ335">
        <v>70</v>
      </c>
      <c r="CA335">
        <v>10</v>
      </c>
      <c r="CB335" t="s">
        <v>3</v>
      </c>
      <c r="CE335">
        <v>0</v>
      </c>
      <c r="CF335">
        <v>0</v>
      </c>
      <c r="CG335">
        <v>0</v>
      </c>
      <c r="CM335">
        <v>0</v>
      </c>
      <c r="CN335" t="s">
        <v>3</v>
      </c>
      <c r="CO335">
        <v>0</v>
      </c>
      <c r="CP335">
        <f t="shared" si="261"/>
        <v>32910.699999999997</v>
      </c>
      <c r="CQ335">
        <f t="shared" si="281"/>
        <v>0</v>
      </c>
      <c r="CR335">
        <f t="shared" si="291"/>
        <v>78.180000000000007</v>
      </c>
      <c r="CS335">
        <f t="shared" si="282"/>
        <v>49.57</v>
      </c>
      <c r="CT335">
        <f t="shared" si="283"/>
        <v>208</v>
      </c>
      <c r="CU335">
        <f t="shared" si="266"/>
        <v>0</v>
      </c>
      <c r="CV335">
        <f t="shared" si="284"/>
        <v>0.37</v>
      </c>
      <c r="CW335">
        <f t="shared" si="268"/>
        <v>0</v>
      </c>
      <c r="CX335">
        <f t="shared" si="269"/>
        <v>0</v>
      </c>
      <c r="CY335">
        <f t="shared" si="285"/>
        <v>16744</v>
      </c>
      <c r="CZ335">
        <f t="shared" si="286"/>
        <v>2392</v>
      </c>
      <c r="DC335" t="s">
        <v>3</v>
      </c>
      <c r="DD335" t="s">
        <v>3</v>
      </c>
      <c r="DE335" t="s">
        <v>3</v>
      </c>
      <c r="DF335" t="s">
        <v>3</v>
      </c>
      <c r="DG335" t="s">
        <v>3</v>
      </c>
      <c r="DH335" t="s">
        <v>3</v>
      </c>
      <c r="DI335" t="s">
        <v>3</v>
      </c>
      <c r="DJ335" t="s">
        <v>3</v>
      </c>
      <c r="DK335" t="s">
        <v>3</v>
      </c>
      <c r="DL335" t="s">
        <v>3</v>
      </c>
      <c r="DM335" t="s">
        <v>3</v>
      </c>
      <c r="DN335">
        <v>0</v>
      </c>
      <c r="DO335">
        <v>0</v>
      </c>
      <c r="DP335">
        <v>1</v>
      </c>
      <c r="DQ335">
        <v>1</v>
      </c>
      <c r="DU335">
        <v>16987630</v>
      </c>
      <c r="DV335" t="s">
        <v>20</v>
      </c>
      <c r="DW335" t="s">
        <v>20</v>
      </c>
      <c r="DX335">
        <v>1</v>
      </c>
      <c r="DZ335" t="s">
        <v>3</v>
      </c>
      <c r="EA335" t="s">
        <v>3</v>
      </c>
      <c r="EB335" t="s">
        <v>3</v>
      </c>
      <c r="EC335" t="s">
        <v>3</v>
      </c>
      <c r="EE335">
        <v>1441815344</v>
      </c>
      <c r="EF335">
        <v>1</v>
      </c>
      <c r="EG335" t="s">
        <v>22</v>
      </c>
      <c r="EH335">
        <v>0</v>
      </c>
      <c r="EI335" t="s">
        <v>3</v>
      </c>
      <c r="EJ335">
        <v>4</v>
      </c>
      <c r="EK335">
        <v>0</v>
      </c>
      <c r="EL335" t="s">
        <v>23</v>
      </c>
      <c r="EM335" t="s">
        <v>24</v>
      </c>
      <c r="EO335" t="s">
        <v>3</v>
      </c>
      <c r="EQ335">
        <v>0</v>
      </c>
      <c r="ER335">
        <v>286.18</v>
      </c>
      <c r="ES335">
        <v>0</v>
      </c>
      <c r="ET335">
        <v>78.180000000000007</v>
      </c>
      <c r="EU335">
        <v>49.57</v>
      </c>
      <c r="EV335">
        <v>208</v>
      </c>
      <c r="EW335">
        <v>0.37</v>
      </c>
      <c r="EX335">
        <v>0</v>
      </c>
      <c r="EY335">
        <v>0</v>
      </c>
      <c r="FQ335">
        <v>0</v>
      </c>
      <c r="FR335">
        <f t="shared" si="272"/>
        <v>0</v>
      </c>
      <c r="FS335">
        <v>0</v>
      </c>
      <c r="FX335">
        <v>70</v>
      </c>
      <c r="FY335">
        <v>10</v>
      </c>
      <c r="GA335" t="s">
        <v>3</v>
      </c>
      <c r="GD335">
        <v>0</v>
      </c>
      <c r="GF335">
        <v>1541401140</v>
      </c>
      <c r="GG335">
        <v>2</v>
      </c>
      <c r="GH335">
        <v>1</v>
      </c>
      <c r="GI335">
        <v>-2</v>
      </c>
      <c r="GJ335">
        <v>0</v>
      </c>
      <c r="GK335">
        <f>ROUND(R335*(R12)/100,2)</f>
        <v>6156.59</v>
      </c>
      <c r="GL335">
        <f t="shared" si="273"/>
        <v>0</v>
      </c>
      <c r="GM335">
        <f t="shared" si="274"/>
        <v>58203.29</v>
      </c>
      <c r="GN335">
        <f t="shared" si="275"/>
        <v>0</v>
      </c>
      <c r="GO335">
        <f t="shared" si="276"/>
        <v>0</v>
      </c>
      <c r="GP335">
        <f t="shared" si="277"/>
        <v>58203.29</v>
      </c>
      <c r="GR335">
        <v>0</v>
      </c>
      <c r="GS335">
        <v>3</v>
      </c>
      <c r="GT335">
        <v>0</v>
      </c>
      <c r="GU335" t="s">
        <v>3</v>
      </c>
      <c r="GV335">
        <f t="shared" si="278"/>
        <v>0</v>
      </c>
      <c r="GW335">
        <v>1</v>
      </c>
      <c r="GX335">
        <f t="shared" si="279"/>
        <v>0</v>
      </c>
      <c r="HA335">
        <v>0</v>
      </c>
      <c r="HB335">
        <v>0</v>
      </c>
      <c r="HC335">
        <f t="shared" si="280"/>
        <v>0</v>
      </c>
      <c r="HE335" t="s">
        <v>3</v>
      </c>
      <c r="HF335" t="s">
        <v>3</v>
      </c>
      <c r="HM335" t="s">
        <v>3</v>
      </c>
      <c r="HN335" t="s">
        <v>3</v>
      </c>
      <c r="HO335" t="s">
        <v>3</v>
      </c>
      <c r="HP335" t="s">
        <v>3</v>
      </c>
      <c r="HQ335" t="s">
        <v>3</v>
      </c>
      <c r="IK335">
        <v>0</v>
      </c>
    </row>
    <row r="336" spans="1:245" x14ac:dyDescent="0.2">
      <c r="A336">
        <v>17</v>
      </c>
      <c r="B336">
        <v>1</v>
      </c>
      <c r="D336">
        <f>ROW(EtalonRes!A120)</f>
        <v>120</v>
      </c>
      <c r="E336" t="s">
        <v>250</v>
      </c>
      <c r="F336" t="s">
        <v>251</v>
      </c>
      <c r="G336" t="s">
        <v>252</v>
      </c>
      <c r="H336" t="s">
        <v>94</v>
      </c>
      <c r="I336">
        <f>ROUND((3+5+13)/10,9)</f>
        <v>2.1</v>
      </c>
      <c r="J336">
        <v>0</v>
      </c>
      <c r="K336">
        <f>ROUND((3+5+13)/10,9)</f>
        <v>2.1</v>
      </c>
      <c r="O336">
        <f t="shared" si="241"/>
        <v>2645.33</v>
      </c>
      <c r="P336">
        <f t="shared" si="242"/>
        <v>0</v>
      </c>
      <c r="Q336">
        <f t="shared" si="243"/>
        <v>0</v>
      </c>
      <c r="R336">
        <f t="shared" si="244"/>
        <v>0</v>
      </c>
      <c r="S336">
        <f t="shared" si="245"/>
        <v>2645.33</v>
      </c>
      <c r="T336">
        <f t="shared" si="246"/>
        <v>0</v>
      </c>
      <c r="U336">
        <f t="shared" si="247"/>
        <v>4.2840000000000007</v>
      </c>
      <c r="V336">
        <f t="shared" si="248"/>
        <v>0</v>
      </c>
      <c r="W336">
        <f t="shared" si="249"/>
        <v>0</v>
      </c>
      <c r="X336">
        <f t="shared" si="250"/>
        <v>1851.73</v>
      </c>
      <c r="Y336">
        <f t="shared" si="251"/>
        <v>264.52999999999997</v>
      </c>
      <c r="AA336">
        <v>1472506909</v>
      </c>
      <c r="AB336">
        <f t="shared" si="252"/>
        <v>1259.68</v>
      </c>
      <c r="AC336">
        <f t="shared" si="287"/>
        <v>0</v>
      </c>
      <c r="AD336">
        <f t="shared" si="288"/>
        <v>0</v>
      </c>
      <c r="AE336">
        <f t="shared" si="289"/>
        <v>0</v>
      </c>
      <c r="AF336">
        <f t="shared" si="289"/>
        <v>1259.68</v>
      </c>
      <c r="AG336">
        <f t="shared" si="257"/>
        <v>0</v>
      </c>
      <c r="AH336">
        <f t="shared" si="290"/>
        <v>2.04</v>
      </c>
      <c r="AI336">
        <f t="shared" si="290"/>
        <v>0</v>
      </c>
      <c r="AJ336">
        <f t="shared" si="260"/>
        <v>0</v>
      </c>
      <c r="AK336">
        <v>1259.68</v>
      </c>
      <c r="AL336">
        <v>0</v>
      </c>
      <c r="AM336">
        <v>0</v>
      </c>
      <c r="AN336">
        <v>0</v>
      </c>
      <c r="AO336">
        <v>1259.68</v>
      </c>
      <c r="AP336">
        <v>0</v>
      </c>
      <c r="AQ336">
        <v>2.04</v>
      </c>
      <c r="AR336">
        <v>0</v>
      </c>
      <c r="AS336">
        <v>0</v>
      </c>
      <c r="AT336">
        <v>70</v>
      </c>
      <c r="AU336">
        <v>10</v>
      </c>
      <c r="AV336">
        <v>1</v>
      </c>
      <c r="AW336">
        <v>1</v>
      </c>
      <c r="AZ336">
        <v>1</v>
      </c>
      <c r="BA336">
        <v>1</v>
      </c>
      <c r="BB336">
        <v>1</v>
      </c>
      <c r="BC336">
        <v>1</v>
      </c>
      <c r="BD336" t="s">
        <v>3</v>
      </c>
      <c r="BE336" t="s">
        <v>3</v>
      </c>
      <c r="BF336" t="s">
        <v>3</v>
      </c>
      <c r="BG336" t="s">
        <v>3</v>
      </c>
      <c r="BH336">
        <v>0</v>
      </c>
      <c r="BI336">
        <v>4</v>
      </c>
      <c r="BJ336" t="s">
        <v>253</v>
      </c>
      <c r="BM336">
        <v>0</v>
      </c>
      <c r="BN336">
        <v>0</v>
      </c>
      <c r="BO336" t="s">
        <v>3</v>
      </c>
      <c r="BP336">
        <v>0</v>
      </c>
      <c r="BQ336">
        <v>1</v>
      </c>
      <c r="BR336">
        <v>0</v>
      </c>
      <c r="BS336">
        <v>1</v>
      </c>
      <c r="BT336">
        <v>1</v>
      </c>
      <c r="BU336">
        <v>1</v>
      </c>
      <c r="BV336">
        <v>1</v>
      </c>
      <c r="BW336">
        <v>1</v>
      </c>
      <c r="BX336">
        <v>1</v>
      </c>
      <c r="BY336" t="s">
        <v>3</v>
      </c>
      <c r="BZ336">
        <v>70</v>
      </c>
      <c r="CA336">
        <v>10</v>
      </c>
      <c r="CB336" t="s">
        <v>3</v>
      </c>
      <c r="CE336">
        <v>0</v>
      </c>
      <c r="CF336">
        <v>0</v>
      </c>
      <c r="CG336">
        <v>0</v>
      </c>
      <c r="CM336">
        <v>0</v>
      </c>
      <c r="CN336" t="s">
        <v>3</v>
      </c>
      <c r="CO336">
        <v>0</v>
      </c>
      <c r="CP336">
        <f t="shared" si="261"/>
        <v>2645.33</v>
      </c>
      <c r="CQ336">
        <f t="shared" si="281"/>
        <v>0</v>
      </c>
      <c r="CR336">
        <f t="shared" si="291"/>
        <v>0</v>
      </c>
      <c r="CS336">
        <f t="shared" si="282"/>
        <v>0</v>
      </c>
      <c r="CT336">
        <f t="shared" si="283"/>
        <v>1259.68</v>
      </c>
      <c r="CU336">
        <f t="shared" si="266"/>
        <v>0</v>
      </c>
      <c r="CV336">
        <f t="shared" si="284"/>
        <v>2.04</v>
      </c>
      <c r="CW336">
        <f t="shared" si="268"/>
        <v>0</v>
      </c>
      <c r="CX336">
        <f t="shared" si="269"/>
        <v>0</v>
      </c>
      <c r="CY336">
        <f t="shared" si="285"/>
        <v>1851.731</v>
      </c>
      <c r="CZ336">
        <f t="shared" si="286"/>
        <v>264.53300000000002</v>
      </c>
      <c r="DC336" t="s">
        <v>3</v>
      </c>
      <c r="DD336" t="s">
        <v>3</v>
      </c>
      <c r="DE336" t="s">
        <v>3</v>
      </c>
      <c r="DF336" t="s">
        <v>3</v>
      </c>
      <c r="DG336" t="s">
        <v>3</v>
      </c>
      <c r="DH336" t="s">
        <v>3</v>
      </c>
      <c r="DI336" t="s">
        <v>3</v>
      </c>
      <c r="DJ336" t="s">
        <v>3</v>
      </c>
      <c r="DK336" t="s">
        <v>3</v>
      </c>
      <c r="DL336" t="s">
        <v>3</v>
      </c>
      <c r="DM336" t="s">
        <v>3</v>
      </c>
      <c r="DN336">
        <v>0</v>
      </c>
      <c r="DO336">
        <v>0</v>
      </c>
      <c r="DP336">
        <v>1</v>
      </c>
      <c r="DQ336">
        <v>1</v>
      </c>
      <c r="DU336">
        <v>16987630</v>
      </c>
      <c r="DV336" t="s">
        <v>94</v>
      </c>
      <c r="DW336" t="s">
        <v>94</v>
      </c>
      <c r="DX336">
        <v>10</v>
      </c>
      <c r="DZ336" t="s">
        <v>3</v>
      </c>
      <c r="EA336" t="s">
        <v>3</v>
      </c>
      <c r="EB336" t="s">
        <v>3</v>
      </c>
      <c r="EC336" t="s">
        <v>3</v>
      </c>
      <c r="EE336">
        <v>1441815344</v>
      </c>
      <c r="EF336">
        <v>1</v>
      </c>
      <c r="EG336" t="s">
        <v>22</v>
      </c>
      <c r="EH336">
        <v>0</v>
      </c>
      <c r="EI336" t="s">
        <v>3</v>
      </c>
      <c r="EJ336">
        <v>4</v>
      </c>
      <c r="EK336">
        <v>0</v>
      </c>
      <c r="EL336" t="s">
        <v>23</v>
      </c>
      <c r="EM336" t="s">
        <v>24</v>
      </c>
      <c r="EO336" t="s">
        <v>3</v>
      </c>
      <c r="EQ336">
        <v>0</v>
      </c>
      <c r="ER336">
        <v>1259.68</v>
      </c>
      <c r="ES336">
        <v>0</v>
      </c>
      <c r="ET336">
        <v>0</v>
      </c>
      <c r="EU336">
        <v>0</v>
      </c>
      <c r="EV336">
        <v>1259.68</v>
      </c>
      <c r="EW336">
        <v>2.04</v>
      </c>
      <c r="EX336">
        <v>0</v>
      </c>
      <c r="EY336">
        <v>0</v>
      </c>
      <c r="FQ336">
        <v>0</v>
      </c>
      <c r="FR336">
        <f t="shared" si="272"/>
        <v>0</v>
      </c>
      <c r="FS336">
        <v>0</v>
      </c>
      <c r="FX336">
        <v>70</v>
      </c>
      <c r="FY336">
        <v>10</v>
      </c>
      <c r="GA336" t="s">
        <v>3</v>
      </c>
      <c r="GD336">
        <v>0</v>
      </c>
      <c r="GF336">
        <v>-675599503</v>
      </c>
      <c r="GG336">
        <v>2</v>
      </c>
      <c r="GH336">
        <v>1</v>
      </c>
      <c r="GI336">
        <v>-2</v>
      </c>
      <c r="GJ336">
        <v>0</v>
      </c>
      <c r="GK336">
        <f>ROUND(R336*(R12)/100,2)</f>
        <v>0</v>
      </c>
      <c r="GL336">
        <f t="shared" si="273"/>
        <v>0</v>
      </c>
      <c r="GM336">
        <f t="shared" si="274"/>
        <v>4761.59</v>
      </c>
      <c r="GN336">
        <f t="shared" si="275"/>
        <v>0</v>
      </c>
      <c r="GO336">
        <f t="shared" si="276"/>
        <v>0</v>
      </c>
      <c r="GP336">
        <f t="shared" si="277"/>
        <v>4761.59</v>
      </c>
      <c r="GR336">
        <v>0</v>
      </c>
      <c r="GS336">
        <v>3</v>
      </c>
      <c r="GT336">
        <v>0</v>
      </c>
      <c r="GU336" t="s">
        <v>3</v>
      </c>
      <c r="GV336">
        <f t="shared" si="278"/>
        <v>0</v>
      </c>
      <c r="GW336">
        <v>1</v>
      </c>
      <c r="GX336">
        <f t="shared" si="279"/>
        <v>0</v>
      </c>
      <c r="HA336">
        <v>0</v>
      </c>
      <c r="HB336">
        <v>0</v>
      </c>
      <c r="HC336">
        <f t="shared" si="280"/>
        <v>0</v>
      </c>
      <c r="HE336" t="s">
        <v>3</v>
      </c>
      <c r="HF336" t="s">
        <v>3</v>
      </c>
      <c r="HM336" t="s">
        <v>3</v>
      </c>
      <c r="HN336" t="s">
        <v>3</v>
      </c>
      <c r="HO336" t="s">
        <v>3</v>
      </c>
      <c r="HP336" t="s">
        <v>3</v>
      </c>
      <c r="HQ336" t="s">
        <v>3</v>
      </c>
      <c r="IK336">
        <v>0</v>
      </c>
    </row>
    <row r="337" spans="1:245" x14ac:dyDescent="0.2">
      <c r="A337">
        <v>17</v>
      </c>
      <c r="B337">
        <v>1</v>
      </c>
      <c r="D337">
        <f>ROW(EtalonRes!A121)</f>
        <v>121</v>
      </c>
      <c r="E337" t="s">
        <v>254</v>
      </c>
      <c r="F337" t="s">
        <v>255</v>
      </c>
      <c r="G337" t="s">
        <v>256</v>
      </c>
      <c r="H337" t="s">
        <v>94</v>
      </c>
      <c r="I337">
        <f>ROUND(1/10,9)</f>
        <v>0.1</v>
      </c>
      <c r="J337">
        <v>0</v>
      </c>
      <c r="K337">
        <f>ROUND(1/10,9)</f>
        <v>0.1</v>
      </c>
      <c r="O337">
        <f t="shared" si="241"/>
        <v>143.88</v>
      </c>
      <c r="P337">
        <f t="shared" si="242"/>
        <v>0</v>
      </c>
      <c r="Q337">
        <f t="shared" si="243"/>
        <v>0</v>
      </c>
      <c r="R337">
        <f t="shared" si="244"/>
        <v>0</v>
      </c>
      <c r="S337">
        <f t="shared" si="245"/>
        <v>143.88</v>
      </c>
      <c r="T337">
        <f t="shared" si="246"/>
        <v>0</v>
      </c>
      <c r="U337">
        <f t="shared" si="247"/>
        <v>0.23300000000000001</v>
      </c>
      <c r="V337">
        <f t="shared" si="248"/>
        <v>0</v>
      </c>
      <c r="W337">
        <f t="shared" si="249"/>
        <v>0</v>
      </c>
      <c r="X337">
        <f t="shared" si="250"/>
        <v>100.72</v>
      </c>
      <c r="Y337">
        <f t="shared" si="251"/>
        <v>14.39</v>
      </c>
      <c r="AA337">
        <v>1472506909</v>
      </c>
      <c r="AB337">
        <f t="shared" si="252"/>
        <v>1438.75</v>
      </c>
      <c r="AC337">
        <f t="shared" si="287"/>
        <v>0</v>
      </c>
      <c r="AD337">
        <f t="shared" si="288"/>
        <v>0</v>
      </c>
      <c r="AE337">
        <f t="shared" si="289"/>
        <v>0</v>
      </c>
      <c r="AF337">
        <f t="shared" si="289"/>
        <v>1438.75</v>
      </c>
      <c r="AG337">
        <f t="shared" si="257"/>
        <v>0</v>
      </c>
      <c r="AH337">
        <f t="shared" si="290"/>
        <v>2.33</v>
      </c>
      <c r="AI337">
        <f t="shared" si="290"/>
        <v>0</v>
      </c>
      <c r="AJ337">
        <f t="shared" si="260"/>
        <v>0</v>
      </c>
      <c r="AK337">
        <v>1438.75</v>
      </c>
      <c r="AL337">
        <v>0</v>
      </c>
      <c r="AM337">
        <v>0</v>
      </c>
      <c r="AN337">
        <v>0</v>
      </c>
      <c r="AO337">
        <v>1438.75</v>
      </c>
      <c r="AP337">
        <v>0</v>
      </c>
      <c r="AQ337">
        <v>2.33</v>
      </c>
      <c r="AR337">
        <v>0</v>
      </c>
      <c r="AS337">
        <v>0</v>
      </c>
      <c r="AT337">
        <v>70</v>
      </c>
      <c r="AU337">
        <v>10</v>
      </c>
      <c r="AV337">
        <v>1</v>
      </c>
      <c r="AW337">
        <v>1</v>
      </c>
      <c r="AZ337">
        <v>1</v>
      </c>
      <c r="BA337">
        <v>1</v>
      </c>
      <c r="BB337">
        <v>1</v>
      </c>
      <c r="BC337">
        <v>1</v>
      </c>
      <c r="BD337" t="s">
        <v>3</v>
      </c>
      <c r="BE337" t="s">
        <v>3</v>
      </c>
      <c r="BF337" t="s">
        <v>3</v>
      </c>
      <c r="BG337" t="s">
        <v>3</v>
      </c>
      <c r="BH337">
        <v>0</v>
      </c>
      <c r="BI337">
        <v>4</v>
      </c>
      <c r="BJ337" t="s">
        <v>257</v>
      </c>
      <c r="BM337">
        <v>0</v>
      </c>
      <c r="BN337">
        <v>0</v>
      </c>
      <c r="BO337" t="s">
        <v>3</v>
      </c>
      <c r="BP337">
        <v>0</v>
      </c>
      <c r="BQ337">
        <v>1</v>
      </c>
      <c r="BR337">
        <v>0</v>
      </c>
      <c r="BS337">
        <v>1</v>
      </c>
      <c r="BT337">
        <v>1</v>
      </c>
      <c r="BU337">
        <v>1</v>
      </c>
      <c r="BV337">
        <v>1</v>
      </c>
      <c r="BW337">
        <v>1</v>
      </c>
      <c r="BX337">
        <v>1</v>
      </c>
      <c r="BY337" t="s">
        <v>3</v>
      </c>
      <c r="BZ337">
        <v>70</v>
      </c>
      <c r="CA337">
        <v>10</v>
      </c>
      <c r="CB337" t="s">
        <v>3</v>
      </c>
      <c r="CE337">
        <v>0</v>
      </c>
      <c r="CF337">
        <v>0</v>
      </c>
      <c r="CG337">
        <v>0</v>
      </c>
      <c r="CM337">
        <v>0</v>
      </c>
      <c r="CN337" t="s">
        <v>3</v>
      </c>
      <c r="CO337">
        <v>0</v>
      </c>
      <c r="CP337">
        <f t="shared" si="261"/>
        <v>143.88</v>
      </c>
      <c r="CQ337">
        <f t="shared" si="281"/>
        <v>0</v>
      </c>
      <c r="CR337">
        <f t="shared" si="291"/>
        <v>0</v>
      </c>
      <c r="CS337">
        <f t="shared" si="282"/>
        <v>0</v>
      </c>
      <c r="CT337">
        <f t="shared" si="283"/>
        <v>1438.75</v>
      </c>
      <c r="CU337">
        <f t="shared" si="266"/>
        <v>0</v>
      </c>
      <c r="CV337">
        <f t="shared" si="284"/>
        <v>2.33</v>
      </c>
      <c r="CW337">
        <f t="shared" si="268"/>
        <v>0</v>
      </c>
      <c r="CX337">
        <f t="shared" si="269"/>
        <v>0</v>
      </c>
      <c r="CY337">
        <f t="shared" si="285"/>
        <v>100.71600000000001</v>
      </c>
      <c r="CZ337">
        <f t="shared" si="286"/>
        <v>14.388</v>
      </c>
      <c r="DC337" t="s">
        <v>3</v>
      </c>
      <c r="DD337" t="s">
        <v>3</v>
      </c>
      <c r="DE337" t="s">
        <v>3</v>
      </c>
      <c r="DF337" t="s">
        <v>3</v>
      </c>
      <c r="DG337" t="s">
        <v>3</v>
      </c>
      <c r="DH337" t="s">
        <v>3</v>
      </c>
      <c r="DI337" t="s">
        <v>3</v>
      </c>
      <c r="DJ337" t="s">
        <v>3</v>
      </c>
      <c r="DK337" t="s">
        <v>3</v>
      </c>
      <c r="DL337" t="s">
        <v>3</v>
      </c>
      <c r="DM337" t="s">
        <v>3</v>
      </c>
      <c r="DN337">
        <v>0</v>
      </c>
      <c r="DO337">
        <v>0</v>
      </c>
      <c r="DP337">
        <v>1</v>
      </c>
      <c r="DQ337">
        <v>1</v>
      </c>
      <c r="DU337">
        <v>16987630</v>
      </c>
      <c r="DV337" t="s">
        <v>94</v>
      </c>
      <c r="DW337" t="s">
        <v>94</v>
      </c>
      <c r="DX337">
        <v>10</v>
      </c>
      <c r="DZ337" t="s">
        <v>3</v>
      </c>
      <c r="EA337" t="s">
        <v>3</v>
      </c>
      <c r="EB337" t="s">
        <v>3</v>
      </c>
      <c r="EC337" t="s">
        <v>3</v>
      </c>
      <c r="EE337">
        <v>1441815344</v>
      </c>
      <c r="EF337">
        <v>1</v>
      </c>
      <c r="EG337" t="s">
        <v>22</v>
      </c>
      <c r="EH337">
        <v>0</v>
      </c>
      <c r="EI337" t="s">
        <v>3</v>
      </c>
      <c r="EJ337">
        <v>4</v>
      </c>
      <c r="EK337">
        <v>0</v>
      </c>
      <c r="EL337" t="s">
        <v>23</v>
      </c>
      <c r="EM337" t="s">
        <v>24</v>
      </c>
      <c r="EO337" t="s">
        <v>3</v>
      </c>
      <c r="EQ337">
        <v>0</v>
      </c>
      <c r="ER337">
        <v>1438.75</v>
      </c>
      <c r="ES337">
        <v>0</v>
      </c>
      <c r="ET337">
        <v>0</v>
      </c>
      <c r="EU337">
        <v>0</v>
      </c>
      <c r="EV337">
        <v>1438.75</v>
      </c>
      <c r="EW337">
        <v>2.33</v>
      </c>
      <c r="EX337">
        <v>0</v>
      </c>
      <c r="EY337">
        <v>0</v>
      </c>
      <c r="FQ337">
        <v>0</v>
      </c>
      <c r="FR337">
        <f t="shared" si="272"/>
        <v>0</v>
      </c>
      <c r="FS337">
        <v>0</v>
      </c>
      <c r="FX337">
        <v>70</v>
      </c>
      <c r="FY337">
        <v>10</v>
      </c>
      <c r="GA337" t="s">
        <v>3</v>
      </c>
      <c r="GD337">
        <v>0</v>
      </c>
      <c r="GF337">
        <v>103333465</v>
      </c>
      <c r="GG337">
        <v>2</v>
      </c>
      <c r="GH337">
        <v>1</v>
      </c>
      <c r="GI337">
        <v>-2</v>
      </c>
      <c r="GJ337">
        <v>0</v>
      </c>
      <c r="GK337">
        <f>ROUND(R337*(R12)/100,2)</f>
        <v>0</v>
      </c>
      <c r="GL337">
        <f t="shared" si="273"/>
        <v>0</v>
      </c>
      <c r="GM337">
        <f t="shared" si="274"/>
        <v>258.99</v>
      </c>
      <c r="GN337">
        <f t="shared" si="275"/>
        <v>0</v>
      </c>
      <c r="GO337">
        <f t="shared" si="276"/>
        <v>0</v>
      </c>
      <c r="GP337">
        <f t="shared" si="277"/>
        <v>258.99</v>
      </c>
      <c r="GR337">
        <v>0</v>
      </c>
      <c r="GS337">
        <v>3</v>
      </c>
      <c r="GT337">
        <v>0</v>
      </c>
      <c r="GU337" t="s">
        <v>3</v>
      </c>
      <c r="GV337">
        <f t="shared" si="278"/>
        <v>0</v>
      </c>
      <c r="GW337">
        <v>1</v>
      </c>
      <c r="GX337">
        <f t="shared" si="279"/>
        <v>0</v>
      </c>
      <c r="HA337">
        <v>0</v>
      </c>
      <c r="HB337">
        <v>0</v>
      </c>
      <c r="HC337">
        <f t="shared" si="280"/>
        <v>0</v>
      </c>
      <c r="HE337" t="s">
        <v>3</v>
      </c>
      <c r="HF337" t="s">
        <v>3</v>
      </c>
      <c r="HM337" t="s">
        <v>3</v>
      </c>
      <c r="HN337" t="s">
        <v>3</v>
      </c>
      <c r="HO337" t="s">
        <v>3</v>
      </c>
      <c r="HP337" t="s">
        <v>3</v>
      </c>
      <c r="HQ337" t="s">
        <v>3</v>
      </c>
      <c r="IK337">
        <v>0</v>
      </c>
    </row>
    <row r="338" spans="1:245" x14ac:dyDescent="0.2">
      <c r="A338">
        <v>17</v>
      </c>
      <c r="B338">
        <v>1</v>
      </c>
      <c r="D338">
        <f>ROW(EtalonRes!A122)</f>
        <v>122</v>
      </c>
      <c r="E338" t="s">
        <v>258</v>
      </c>
      <c r="F338" t="s">
        <v>92</v>
      </c>
      <c r="G338" t="s">
        <v>259</v>
      </c>
      <c r="H338" t="s">
        <v>94</v>
      </c>
      <c r="I338">
        <f>ROUND((8+10+26+6)/10,9)</f>
        <v>5</v>
      </c>
      <c r="J338">
        <v>0</v>
      </c>
      <c r="K338">
        <f>ROUND((8+10+26+6)/10,9)</f>
        <v>5</v>
      </c>
      <c r="O338">
        <f t="shared" si="241"/>
        <v>1389.35</v>
      </c>
      <c r="P338">
        <f t="shared" si="242"/>
        <v>0</v>
      </c>
      <c r="Q338">
        <f t="shared" si="243"/>
        <v>0</v>
      </c>
      <c r="R338">
        <f t="shared" si="244"/>
        <v>0</v>
      </c>
      <c r="S338">
        <f t="shared" si="245"/>
        <v>1389.35</v>
      </c>
      <c r="T338">
        <f t="shared" si="246"/>
        <v>0</v>
      </c>
      <c r="U338">
        <f t="shared" si="247"/>
        <v>2.25</v>
      </c>
      <c r="V338">
        <f t="shared" si="248"/>
        <v>0</v>
      </c>
      <c r="W338">
        <f t="shared" si="249"/>
        <v>0</v>
      </c>
      <c r="X338">
        <f t="shared" si="250"/>
        <v>972.55</v>
      </c>
      <c r="Y338">
        <f t="shared" si="251"/>
        <v>138.94</v>
      </c>
      <c r="AA338">
        <v>1472506909</v>
      </c>
      <c r="AB338">
        <f t="shared" si="252"/>
        <v>277.87</v>
      </c>
      <c r="AC338">
        <f t="shared" si="287"/>
        <v>0</v>
      </c>
      <c r="AD338">
        <f t="shared" si="288"/>
        <v>0</v>
      </c>
      <c r="AE338">
        <f t="shared" si="289"/>
        <v>0</v>
      </c>
      <c r="AF338">
        <f t="shared" si="289"/>
        <v>277.87</v>
      </c>
      <c r="AG338">
        <f t="shared" si="257"/>
        <v>0</v>
      </c>
      <c r="AH338">
        <f t="shared" si="290"/>
        <v>0.45</v>
      </c>
      <c r="AI338">
        <f t="shared" si="290"/>
        <v>0</v>
      </c>
      <c r="AJ338">
        <f t="shared" si="260"/>
        <v>0</v>
      </c>
      <c r="AK338">
        <v>277.87</v>
      </c>
      <c r="AL338">
        <v>0</v>
      </c>
      <c r="AM338">
        <v>0</v>
      </c>
      <c r="AN338">
        <v>0</v>
      </c>
      <c r="AO338">
        <v>277.87</v>
      </c>
      <c r="AP338">
        <v>0</v>
      </c>
      <c r="AQ338">
        <v>0.45</v>
      </c>
      <c r="AR338">
        <v>0</v>
      </c>
      <c r="AS338">
        <v>0</v>
      </c>
      <c r="AT338">
        <v>70</v>
      </c>
      <c r="AU338">
        <v>10</v>
      </c>
      <c r="AV338">
        <v>1</v>
      </c>
      <c r="AW338">
        <v>1</v>
      </c>
      <c r="AZ338">
        <v>1</v>
      </c>
      <c r="BA338">
        <v>1</v>
      </c>
      <c r="BB338">
        <v>1</v>
      </c>
      <c r="BC338">
        <v>1</v>
      </c>
      <c r="BD338" t="s">
        <v>3</v>
      </c>
      <c r="BE338" t="s">
        <v>3</v>
      </c>
      <c r="BF338" t="s">
        <v>3</v>
      </c>
      <c r="BG338" t="s">
        <v>3</v>
      </c>
      <c r="BH338">
        <v>0</v>
      </c>
      <c r="BI338">
        <v>4</v>
      </c>
      <c r="BJ338" t="s">
        <v>95</v>
      </c>
      <c r="BM338">
        <v>0</v>
      </c>
      <c r="BN338">
        <v>0</v>
      </c>
      <c r="BO338" t="s">
        <v>3</v>
      </c>
      <c r="BP338">
        <v>0</v>
      </c>
      <c r="BQ338">
        <v>1</v>
      </c>
      <c r="BR338">
        <v>0</v>
      </c>
      <c r="BS338">
        <v>1</v>
      </c>
      <c r="BT338">
        <v>1</v>
      </c>
      <c r="BU338">
        <v>1</v>
      </c>
      <c r="BV338">
        <v>1</v>
      </c>
      <c r="BW338">
        <v>1</v>
      </c>
      <c r="BX338">
        <v>1</v>
      </c>
      <c r="BY338" t="s">
        <v>3</v>
      </c>
      <c r="BZ338">
        <v>70</v>
      </c>
      <c r="CA338">
        <v>10</v>
      </c>
      <c r="CB338" t="s">
        <v>3</v>
      </c>
      <c r="CE338">
        <v>0</v>
      </c>
      <c r="CF338">
        <v>0</v>
      </c>
      <c r="CG338">
        <v>0</v>
      </c>
      <c r="CM338">
        <v>0</v>
      </c>
      <c r="CN338" t="s">
        <v>3</v>
      </c>
      <c r="CO338">
        <v>0</v>
      </c>
      <c r="CP338">
        <f t="shared" si="261"/>
        <v>1389.35</v>
      </c>
      <c r="CQ338">
        <f t="shared" si="281"/>
        <v>0</v>
      </c>
      <c r="CR338">
        <f t="shared" si="291"/>
        <v>0</v>
      </c>
      <c r="CS338">
        <f t="shared" si="282"/>
        <v>0</v>
      </c>
      <c r="CT338">
        <f t="shared" si="283"/>
        <v>277.87</v>
      </c>
      <c r="CU338">
        <f t="shared" si="266"/>
        <v>0</v>
      </c>
      <c r="CV338">
        <f t="shared" si="284"/>
        <v>0.45</v>
      </c>
      <c r="CW338">
        <f t="shared" si="268"/>
        <v>0</v>
      </c>
      <c r="CX338">
        <f t="shared" si="269"/>
        <v>0</v>
      </c>
      <c r="CY338">
        <f t="shared" si="285"/>
        <v>972.54499999999996</v>
      </c>
      <c r="CZ338">
        <f t="shared" si="286"/>
        <v>138.935</v>
      </c>
      <c r="DC338" t="s">
        <v>3</v>
      </c>
      <c r="DD338" t="s">
        <v>3</v>
      </c>
      <c r="DE338" t="s">
        <v>3</v>
      </c>
      <c r="DF338" t="s">
        <v>3</v>
      </c>
      <c r="DG338" t="s">
        <v>3</v>
      </c>
      <c r="DH338" t="s">
        <v>3</v>
      </c>
      <c r="DI338" t="s">
        <v>3</v>
      </c>
      <c r="DJ338" t="s">
        <v>3</v>
      </c>
      <c r="DK338" t="s">
        <v>3</v>
      </c>
      <c r="DL338" t="s">
        <v>3</v>
      </c>
      <c r="DM338" t="s">
        <v>3</v>
      </c>
      <c r="DN338">
        <v>0</v>
      </c>
      <c r="DO338">
        <v>0</v>
      </c>
      <c r="DP338">
        <v>1</v>
      </c>
      <c r="DQ338">
        <v>1</v>
      </c>
      <c r="DU338">
        <v>16987630</v>
      </c>
      <c r="DV338" t="s">
        <v>94</v>
      </c>
      <c r="DW338" t="s">
        <v>94</v>
      </c>
      <c r="DX338">
        <v>10</v>
      </c>
      <c r="DZ338" t="s">
        <v>3</v>
      </c>
      <c r="EA338" t="s">
        <v>3</v>
      </c>
      <c r="EB338" t="s">
        <v>3</v>
      </c>
      <c r="EC338" t="s">
        <v>3</v>
      </c>
      <c r="EE338">
        <v>1441815344</v>
      </c>
      <c r="EF338">
        <v>1</v>
      </c>
      <c r="EG338" t="s">
        <v>22</v>
      </c>
      <c r="EH338">
        <v>0</v>
      </c>
      <c r="EI338" t="s">
        <v>3</v>
      </c>
      <c r="EJ338">
        <v>4</v>
      </c>
      <c r="EK338">
        <v>0</v>
      </c>
      <c r="EL338" t="s">
        <v>23</v>
      </c>
      <c r="EM338" t="s">
        <v>24</v>
      </c>
      <c r="EO338" t="s">
        <v>3</v>
      </c>
      <c r="EQ338">
        <v>0</v>
      </c>
      <c r="ER338">
        <v>277.87</v>
      </c>
      <c r="ES338">
        <v>0</v>
      </c>
      <c r="ET338">
        <v>0</v>
      </c>
      <c r="EU338">
        <v>0</v>
      </c>
      <c r="EV338">
        <v>277.87</v>
      </c>
      <c r="EW338">
        <v>0.45</v>
      </c>
      <c r="EX338">
        <v>0</v>
      </c>
      <c r="EY338">
        <v>0</v>
      </c>
      <c r="FQ338">
        <v>0</v>
      </c>
      <c r="FR338">
        <f t="shared" si="272"/>
        <v>0</v>
      </c>
      <c r="FS338">
        <v>0</v>
      </c>
      <c r="FX338">
        <v>70</v>
      </c>
      <c r="FY338">
        <v>10</v>
      </c>
      <c r="GA338" t="s">
        <v>3</v>
      </c>
      <c r="GD338">
        <v>0</v>
      </c>
      <c r="GF338">
        <v>-1034434226</v>
      </c>
      <c r="GG338">
        <v>2</v>
      </c>
      <c r="GH338">
        <v>1</v>
      </c>
      <c r="GI338">
        <v>-2</v>
      </c>
      <c r="GJ338">
        <v>0</v>
      </c>
      <c r="GK338">
        <f>ROUND(R338*(R12)/100,2)</f>
        <v>0</v>
      </c>
      <c r="GL338">
        <f t="shared" si="273"/>
        <v>0</v>
      </c>
      <c r="GM338">
        <f t="shared" si="274"/>
        <v>2500.84</v>
      </c>
      <c r="GN338">
        <f t="shared" si="275"/>
        <v>0</v>
      </c>
      <c r="GO338">
        <f t="shared" si="276"/>
        <v>0</v>
      </c>
      <c r="GP338">
        <f t="shared" si="277"/>
        <v>2500.84</v>
      </c>
      <c r="GR338">
        <v>0</v>
      </c>
      <c r="GS338">
        <v>3</v>
      </c>
      <c r="GT338">
        <v>0</v>
      </c>
      <c r="GU338" t="s">
        <v>3</v>
      </c>
      <c r="GV338">
        <f t="shared" si="278"/>
        <v>0</v>
      </c>
      <c r="GW338">
        <v>1</v>
      </c>
      <c r="GX338">
        <f t="shared" si="279"/>
        <v>0</v>
      </c>
      <c r="HA338">
        <v>0</v>
      </c>
      <c r="HB338">
        <v>0</v>
      </c>
      <c r="HC338">
        <f t="shared" si="280"/>
        <v>0</v>
      </c>
      <c r="HE338" t="s">
        <v>3</v>
      </c>
      <c r="HF338" t="s">
        <v>3</v>
      </c>
      <c r="HM338" t="s">
        <v>3</v>
      </c>
      <c r="HN338" t="s">
        <v>3</v>
      </c>
      <c r="HO338" t="s">
        <v>3</v>
      </c>
      <c r="HP338" t="s">
        <v>3</v>
      </c>
      <c r="HQ338" t="s">
        <v>3</v>
      </c>
      <c r="IK338">
        <v>0</v>
      </c>
    </row>
    <row r="339" spans="1:245" x14ac:dyDescent="0.2">
      <c r="A339">
        <v>17</v>
      </c>
      <c r="B339">
        <v>1</v>
      </c>
      <c r="D339">
        <f>ROW(EtalonRes!A123)</f>
        <v>123</v>
      </c>
      <c r="E339" t="s">
        <v>260</v>
      </c>
      <c r="F339" t="s">
        <v>97</v>
      </c>
      <c r="G339" t="s">
        <v>98</v>
      </c>
      <c r="H339" t="s">
        <v>94</v>
      </c>
      <c r="I339">
        <f>ROUND((2+4+2)/10,9)</f>
        <v>0.8</v>
      </c>
      <c r="J339">
        <v>0</v>
      </c>
      <c r="K339">
        <f>ROUND((2+4+2)/10,9)</f>
        <v>0.8</v>
      </c>
      <c r="O339">
        <f t="shared" si="241"/>
        <v>301.33999999999997</v>
      </c>
      <c r="P339">
        <f t="shared" si="242"/>
        <v>0</v>
      </c>
      <c r="Q339">
        <f t="shared" si="243"/>
        <v>0</v>
      </c>
      <c r="R339">
        <f t="shared" si="244"/>
        <v>0</v>
      </c>
      <c r="S339">
        <f t="shared" si="245"/>
        <v>301.33999999999997</v>
      </c>
      <c r="T339">
        <f t="shared" si="246"/>
        <v>0</v>
      </c>
      <c r="U339">
        <f t="shared" si="247"/>
        <v>0.48799999999999999</v>
      </c>
      <c r="V339">
        <f t="shared" si="248"/>
        <v>0</v>
      </c>
      <c r="W339">
        <f t="shared" si="249"/>
        <v>0</v>
      </c>
      <c r="X339">
        <f t="shared" si="250"/>
        <v>210.94</v>
      </c>
      <c r="Y339">
        <f t="shared" si="251"/>
        <v>30.13</v>
      </c>
      <c r="AA339">
        <v>1472506909</v>
      </c>
      <c r="AB339">
        <f t="shared" si="252"/>
        <v>376.67</v>
      </c>
      <c r="AC339">
        <f t="shared" si="287"/>
        <v>0</v>
      </c>
      <c r="AD339">
        <f t="shared" si="288"/>
        <v>0</v>
      </c>
      <c r="AE339">
        <f t="shared" si="289"/>
        <v>0</v>
      </c>
      <c r="AF339">
        <f t="shared" si="289"/>
        <v>376.67</v>
      </c>
      <c r="AG339">
        <f t="shared" si="257"/>
        <v>0</v>
      </c>
      <c r="AH339">
        <f t="shared" si="290"/>
        <v>0.61</v>
      </c>
      <c r="AI339">
        <f t="shared" si="290"/>
        <v>0</v>
      </c>
      <c r="AJ339">
        <f t="shared" si="260"/>
        <v>0</v>
      </c>
      <c r="AK339">
        <v>376.67</v>
      </c>
      <c r="AL339">
        <v>0</v>
      </c>
      <c r="AM339">
        <v>0</v>
      </c>
      <c r="AN339">
        <v>0</v>
      </c>
      <c r="AO339">
        <v>376.67</v>
      </c>
      <c r="AP339">
        <v>0</v>
      </c>
      <c r="AQ339">
        <v>0.61</v>
      </c>
      <c r="AR339">
        <v>0</v>
      </c>
      <c r="AS339">
        <v>0</v>
      </c>
      <c r="AT339">
        <v>70</v>
      </c>
      <c r="AU339">
        <v>10</v>
      </c>
      <c r="AV339">
        <v>1</v>
      </c>
      <c r="AW339">
        <v>1</v>
      </c>
      <c r="AZ339">
        <v>1</v>
      </c>
      <c r="BA339">
        <v>1</v>
      </c>
      <c r="BB339">
        <v>1</v>
      </c>
      <c r="BC339">
        <v>1</v>
      </c>
      <c r="BD339" t="s">
        <v>3</v>
      </c>
      <c r="BE339" t="s">
        <v>3</v>
      </c>
      <c r="BF339" t="s">
        <v>3</v>
      </c>
      <c r="BG339" t="s">
        <v>3</v>
      </c>
      <c r="BH339">
        <v>0</v>
      </c>
      <c r="BI339">
        <v>4</v>
      </c>
      <c r="BJ339" t="s">
        <v>99</v>
      </c>
      <c r="BM339">
        <v>0</v>
      </c>
      <c r="BN339">
        <v>0</v>
      </c>
      <c r="BO339" t="s">
        <v>3</v>
      </c>
      <c r="BP339">
        <v>0</v>
      </c>
      <c r="BQ339">
        <v>1</v>
      </c>
      <c r="BR339">
        <v>0</v>
      </c>
      <c r="BS339">
        <v>1</v>
      </c>
      <c r="BT339">
        <v>1</v>
      </c>
      <c r="BU339">
        <v>1</v>
      </c>
      <c r="BV339">
        <v>1</v>
      </c>
      <c r="BW339">
        <v>1</v>
      </c>
      <c r="BX339">
        <v>1</v>
      </c>
      <c r="BY339" t="s">
        <v>3</v>
      </c>
      <c r="BZ339">
        <v>70</v>
      </c>
      <c r="CA339">
        <v>10</v>
      </c>
      <c r="CB339" t="s">
        <v>3</v>
      </c>
      <c r="CE339">
        <v>0</v>
      </c>
      <c r="CF339">
        <v>0</v>
      </c>
      <c r="CG339">
        <v>0</v>
      </c>
      <c r="CM339">
        <v>0</v>
      </c>
      <c r="CN339" t="s">
        <v>3</v>
      </c>
      <c r="CO339">
        <v>0</v>
      </c>
      <c r="CP339">
        <f t="shared" si="261"/>
        <v>301.33999999999997</v>
      </c>
      <c r="CQ339">
        <f t="shared" si="281"/>
        <v>0</v>
      </c>
      <c r="CR339">
        <f t="shared" si="291"/>
        <v>0</v>
      </c>
      <c r="CS339">
        <f t="shared" si="282"/>
        <v>0</v>
      </c>
      <c r="CT339">
        <f t="shared" si="283"/>
        <v>376.67</v>
      </c>
      <c r="CU339">
        <f t="shared" si="266"/>
        <v>0</v>
      </c>
      <c r="CV339">
        <f t="shared" si="284"/>
        <v>0.61</v>
      </c>
      <c r="CW339">
        <f t="shared" si="268"/>
        <v>0</v>
      </c>
      <c r="CX339">
        <f t="shared" si="269"/>
        <v>0</v>
      </c>
      <c r="CY339">
        <f t="shared" si="285"/>
        <v>210.93799999999999</v>
      </c>
      <c r="CZ339">
        <f t="shared" si="286"/>
        <v>30.133999999999997</v>
      </c>
      <c r="DC339" t="s">
        <v>3</v>
      </c>
      <c r="DD339" t="s">
        <v>3</v>
      </c>
      <c r="DE339" t="s">
        <v>3</v>
      </c>
      <c r="DF339" t="s">
        <v>3</v>
      </c>
      <c r="DG339" t="s">
        <v>3</v>
      </c>
      <c r="DH339" t="s">
        <v>3</v>
      </c>
      <c r="DI339" t="s">
        <v>3</v>
      </c>
      <c r="DJ339" t="s">
        <v>3</v>
      </c>
      <c r="DK339" t="s">
        <v>3</v>
      </c>
      <c r="DL339" t="s">
        <v>3</v>
      </c>
      <c r="DM339" t="s">
        <v>3</v>
      </c>
      <c r="DN339">
        <v>0</v>
      </c>
      <c r="DO339">
        <v>0</v>
      </c>
      <c r="DP339">
        <v>1</v>
      </c>
      <c r="DQ339">
        <v>1</v>
      </c>
      <c r="DU339">
        <v>16987630</v>
      </c>
      <c r="DV339" t="s">
        <v>94</v>
      </c>
      <c r="DW339" t="s">
        <v>94</v>
      </c>
      <c r="DX339">
        <v>10</v>
      </c>
      <c r="DZ339" t="s">
        <v>3</v>
      </c>
      <c r="EA339" t="s">
        <v>3</v>
      </c>
      <c r="EB339" t="s">
        <v>3</v>
      </c>
      <c r="EC339" t="s">
        <v>3</v>
      </c>
      <c r="EE339">
        <v>1441815344</v>
      </c>
      <c r="EF339">
        <v>1</v>
      </c>
      <c r="EG339" t="s">
        <v>22</v>
      </c>
      <c r="EH339">
        <v>0</v>
      </c>
      <c r="EI339" t="s">
        <v>3</v>
      </c>
      <c r="EJ339">
        <v>4</v>
      </c>
      <c r="EK339">
        <v>0</v>
      </c>
      <c r="EL339" t="s">
        <v>23</v>
      </c>
      <c r="EM339" t="s">
        <v>24</v>
      </c>
      <c r="EO339" t="s">
        <v>3</v>
      </c>
      <c r="EQ339">
        <v>0</v>
      </c>
      <c r="ER339">
        <v>376.67</v>
      </c>
      <c r="ES339">
        <v>0</v>
      </c>
      <c r="ET339">
        <v>0</v>
      </c>
      <c r="EU339">
        <v>0</v>
      </c>
      <c r="EV339">
        <v>376.67</v>
      </c>
      <c r="EW339">
        <v>0.61</v>
      </c>
      <c r="EX339">
        <v>0</v>
      </c>
      <c r="EY339">
        <v>0</v>
      </c>
      <c r="FQ339">
        <v>0</v>
      </c>
      <c r="FR339">
        <f t="shared" si="272"/>
        <v>0</v>
      </c>
      <c r="FS339">
        <v>0</v>
      </c>
      <c r="FX339">
        <v>70</v>
      </c>
      <c r="FY339">
        <v>10</v>
      </c>
      <c r="GA339" t="s">
        <v>3</v>
      </c>
      <c r="GD339">
        <v>0</v>
      </c>
      <c r="GF339">
        <v>357408898</v>
      </c>
      <c r="GG339">
        <v>2</v>
      </c>
      <c r="GH339">
        <v>1</v>
      </c>
      <c r="GI339">
        <v>-2</v>
      </c>
      <c r="GJ339">
        <v>0</v>
      </c>
      <c r="GK339">
        <f>ROUND(R339*(R12)/100,2)</f>
        <v>0</v>
      </c>
      <c r="GL339">
        <f t="shared" si="273"/>
        <v>0</v>
      </c>
      <c r="GM339">
        <f t="shared" si="274"/>
        <v>542.41</v>
      </c>
      <c r="GN339">
        <f t="shared" si="275"/>
        <v>0</v>
      </c>
      <c r="GO339">
        <f t="shared" si="276"/>
        <v>0</v>
      </c>
      <c r="GP339">
        <f t="shared" si="277"/>
        <v>542.41</v>
      </c>
      <c r="GR339">
        <v>0</v>
      </c>
      <c r="GS339">
        <v>3</v>
      </c>
      <c r="GT339">
        <v>0</v>
      </c>
      <c r="GU339" t="s">
        <v>3</v>
      </c>
      <c r="GV339">
        <f t="shared" si="278"/>
        <v>0</v>
      </c>
      <c r="GW339">
        <v>1</v>
      </c>
      <c r="GX339">
        <f t="shared" si="279"/>
        <v>0</v>
      </c>
      <c r="HA339">
        <v>0</v>
      </c>
      <c r="HB339">
        <v>0</v>
      </c>
      <c r="HC339">
        <f t="shared" si="280"/>
        <v>0</v>
      </c>
      <c r="HE339" t="s">
        <v>3</v>
      </c>
      <c r="HF339" t="s">
        <v>3</v>
      </c>
      <c r="HM339" t="s">
        <v>3</v>
      </c>
      <c r="HN339" t="s">
        <v>3</v>
      </c>
      <c r="HO339" t="s">
        <v>3</v>
      </c>
      <c r="HP339" t="s">
        <v>3</v>
      </c>
      <c r="HQ339" t="s">
        <v>3</v>
      </c>
      <c r="IK339">
        <v>0</v>
      </c>
    </row>
    <row r="340" spans="1:245" x14ac:dyDescent="0.2">
      <c r="A340">
        <v>17</v>
      </c>
      <c r="B340">
        <v>1</v>
      </c>
      <c r="D340">
        <f>ROW(EtalonRes!A125)</f>
        <v>125</v>
      </c>
      <c r="E340" t="s">
        <v>261</v>
      </c>
      <c r="F340" t="s">
        <v>219</v>
      </c>
      <c r="G340" t="s">
        <v>220</v>
      </c>
      <c r="H340" t="s">
        <v>94</v>
      </c>
      <c r="I340">
        <f>ROUND(34/10,9)</f>
        <v>3.4</v>
      </c>
      <c r="J340">
        <v>0</v>
      </c>
      <c r="K340">
        <f>ROUND(34/10,9)</f>
        <v>3.4</v>
      </c>
      <c r="O340">
        <f t="shared" si="241"/>
        <v>3193.31</v>
      </c>
      <c r="P340">
        <f t="shared" si="242"/>
        <v>2.14</v>
      </c>
      <c r="Q340">
        <f t="shared" si="243"/>
        <v>0</v>
      </c>
      <c r="R340">
        <f t="shared" si="244"/>
        <v>0</v>
      </c>
      <c r="S340">
        <f t="shared" si="245"/>
        <v>3191.17</v>
      </c>
      <c r="T340">
        <f t="shared" si="246"/>
        <v>0</v>
      </c>
      <c r="U340">
        <f t="shared" si="247"/>
        <v>5.1680000000000001</v>
      </c>
      <c r="V340">
        <f t="shared" si="248"/>
        <v>0</v>
      </c>
      <c r="W340">
        <f t="shared" si="249"/>
        <v>0</v>
      </c>
      <c r="X340">
        <f t="shared" si="250"/>
        <v>2233.8200000000002</v>
      </c>
      <c r="Y340">
        <f t="shared" si="251"/>
        <v>319.12</v>
      </c>
      <c r="AA340">
        <v>1472506909</v>
      </c>
      <c r="AB340">
        <f t="shared" si="252"/>
        <v>939.21</v>
      </c>
      <c r="AC340">
        <f t="shared" si="287"/>
        <v>0.63</v>
      </c>
      <c r="AD340">
        <f t="shared" si="288"/>
        <v>0</v>
      </c>
      <c r="AE340">
        <f t="shared" si="289"/>
        <v>0</v>
      </c>
      <c r="AF340">
        <f t="shared" si="289"/>
        <v>938.58</v>
      </c>
      <c r="AG340">
        <f t="shared" si="257"/>
        <v>0</v>
      </c>
      <c r="AH340">
        <f t="shared" si="290"/>
        <v>1.52</v>
      </c>
      <c r="AI340">
        <f t="shared" si="290"/>
        <v>0</v>
      </c>
      <c r="AJ340">
        <f t="shared" si="260"/>
        <v>0</v>
      </c>
      <c r="AK340">
        <v>939.21</v>
      </c>
      <c r="AL340">
        <v>0.63</v>
      </c>
      <c r="AM340">
        <v>0</v>
      </c>
      <c r="AN340">
        <v>0</v>
      </c>
      <c r="AO340">
        <v>938.58</v>
      </c>
      <c r="AP340">
        <v>0</v>
      </c>
      <c r="AQ340">
        <v>1.52</v>
      </c>
      <c r="AR340">
        <v>0</v>
      </c>
      <c r="AS340">
        <v>0</v>
      </c>
      <c r="AT340">
        <v>70</v>
      </c>
      <c r="AU340">
        <v>10</v>
      </c>
      <c r="AV340">
        <v>1</v>
      </c>
      <c r="AW340">
        <v>1</v>
      </c>
      <c r="AZ340">
        <v>1</v>
      </c>
      <c r="BA340">
        <v>1</v>
      </c>
      <c r="BB340">
        <v>1</v>
      </c>
      <c r="BC340">
        <v>1</v>
      </c>
      <c r="BD340" t="s">
        <v>3</v>
      </c>
      <c r="BE340" t="s">
        <v>3</v>
      </c>
      <c r="BF340" t="s">
        <v>3</v>
      </c>
      <c r="BG340" t="s">
        <v>3</v>
      </c>
      <c r="BH340">
        <v>0</v>
      </c>
      <c r="BI340">
        <v>4</v>
      </c>
      <c r="BJ340" t="s">
        <v>221</v>
      </c>
      <c r="BM340">
        <v>0</v>
      </c>
      <c r="BN340">
        <v>0</v>
      </c>
      <c r="BO340" t="s">
        <v>3</v>
      </c>
      <c r="BP340">
        <v>0</v>
      </c>
      <c r="BQ340">
        <v>1</v>
      </c>
      <c r="BR340">
        <v>0</v>
      </c>
      <c r="BS340">
        <v>1</v>
      </c>
      <c r="BT340">
        <v>1</v>
      </c>
      <c r="BU340">
        <v>1</v>
      </c>
      <c r="BV340">
        <v>1</v>
      </c>
      <c r="BW340">
        <v>1</v>
      </c>
      <c r="BX340">
        <v>1</v>
      </c>
      <c r="BY340" t="s">
        <v>3</v>
      </c>
      <c r="BZ340">
        <v>70</v>
      </c>
      <c r="CA340">
        <v>10</v>
      </c>
      <c r="CB340" t="s">
        <v>3</v>
      </c>
      <c r="CE340">
        <v>0</v>
      </c>
      <c r="CF340">
        <v>0</v>
      </c>
      <c r="CG340">
        <v>0</v>
      </c>
      <c r="CM340">
        <v>0</v>
      </c>
      <c r="CN340" t="s">
        <v>3</v>
      </c>
      <c r="CO340">
        <v>0</v>
      </c>
      <c r="CP340">
        <f t="shared" si="261"/>
        <v>3193.31</v>
      </c>
      <c r="CQ340">
        <f t="shared" si="281"/>
        <v>0.63</v>
      </c>
      <c r="CR340">
        <f t="shared" si="291"/>
        <v>0</v>
      </c>
      <c r="CS340">
        <f t="shared" si="282"/>
        <v>0</v>
      </c>
      <c r="CT340">
        <f t="shared" si="283"/>
        <v>938.58</v>
      </c>
      <c r="CU340">
        <f t="shared" si="266"/>
        <v>0</v>
      </c>
      <c r="CV340">
        <f t="shared" si="284"/>
        <v>1.52</v>
      </c>
      <c r="CW340">
        <f t="shared" si="268"/>
        <v>0</v>
      </c>
      <c r="CX340">
        <f t="shared" si="269"/>
        <v>0</v>
      </c>
      <c r="CY340">
        <f t="shared" si="285"/>
        <v>2233.819</v>
      </c>
      <c r="CZ340">
        <f t="shared" si="286"/>
        <v>319.11700000000002</v>
      </c>
      <c r="DC340" t="s">
        <v>3</v>
      </c>
      <c r="DD340" t="s">
        <v>3</v>
      </c>
      <c r="DE340" t="s">
        <v>3</v>
      </c>
      <c r="DF340" t="s">
        <v>3</v>
      </c>
      <c r="DG340" t="s">
        <v>3</v>
      </c>
      <c r="DH340" t="s">
        <v>3</v>
      </c>
      <c r="DI340" t="s">
        <v>3</v>
      </c>
      <c r="DJ340" t="s">
        <v>3</v>
      </c>
      <c r="DK340" t="s">
        <v>3</v>
      </c>
      <c r="DL340" t="s">
        <v>3</v>
      </c>
      <c r="DM340" t="s">
        <v>3</v>
      </c>
      <c r="DN340">
        <v>0</v>
      </c>
      <c r="DO340">
        <v>0</v>
      </c>
      <c r="DP340">
        <v>1</v>
      </c>
      <c r="DQ340">
        <v>1</v>
      </c>
      <c r="DU340">
        <v>16987630</v>
      </c>
      <c r="DV340" t="s">
        <v>94</v>
      </c>
      <c r="DW340" t="s">
        <v>94</v>
      </c>
      <c r="DX340">
        <v>10</v>
      </c>
      <c r="DZ340" t="s">
        <v>3</v>
      </c>
      <c r="EA340" t="s">
        <v>3</v>
      </c>
      <c r="EB340" t="s">
        <v>3</v>
      </c>
      <c r="EC340" t="s">
        <v>3</v>
      </c>
      <c r="EE340">
        <v>1441815344</v>
      </c>
      <c r="EF340">
        <v>1</v>
      </c>
      <c r="EG340" t="s">
        <v>22</v>
      </c>
      <c r="EH340">
        <v>0</v>
      </c>
      <c r="EI340" t="s">
        <v>3</v>
      </c>
      <c r="EJ340">
        <v>4</v>
      </c>
      <c r="EK340">
        <v>0</v>
      </c>
      <c r="EL340" t="s">
        <v>23</v>
      </c>
      <c r="EM340" t="s">
        <v>24</v>
      </c>
      <c r="EO340" t="s">
        <v>3</v>
      </c>
      <c r="EQ340">
        <v>0</v>
      </c>
      <c r="ER340">
        <v>939.21</v>
      </c>
      <c r="ES340">
        <v>0.63</v>
      </c>
      <c r="ET340">
        <v>0</v>
      </c>
      <c r="EU340">
        <v>0</v>
      </c>
      <c r="EV340">
        <v>938.58</v>
      </c>
      <c r="EW340">
        <v>1.52</v>
      </c>
      <c r="EX340">
        <v>0</v>
      </c>
      <c r="EY340">
        <v>0</v>
      </c>
      <c r="FQ340">
        <v>0</v>
      </c>
      <c r="FR340">
        <f t="shared" si="272"/>
        <v>0</v>
      </c>
      <c r="FS340">
        <v>0</v>
      </c>
      <c r="FX340">
        <v>70</v>
      </c>
      <c r="FY340">
        <v>10</v>
      </c>
      <c r="GA340" t="s">
        <v>3</v>
      </c>
      <c r="GD340">
        <v>0</v>
      </c>
      <c r="GF340">
        <v>923339554</v>
      </c>
      <c r="GG340">
        <v>2</v>
      </c>
      <c r="GH340">
        <v>1</v>
      </c>
      <c r="GI340">
        <v>-2</v>
      </c>
      <c r="GJ340">
        <v>0</v>
      </c>
      <c r="GK340">
        <f>ROUND(R340*(R12)/100,2)</f>
        <v>0</v>
      </c>
      <c r="GL340">
        <f t="shared" si="273"/>
        <v>0</v>
      </c>
      <c r="GM340">
        <f t="shared" si="274"/>
        <v>5746.25</v>
      </c>
      <c r="GN340">
        <f t="shared" si="275"/>
        <v>0</v>
      </c>
      <c r="GO340">
        <f t="shared" si="276"/>
        <v>0</v>
      </c>
      <c r="GP340">
        <f t="shared" si="277"/>
        <v>5746.25</v>
      </c>
      <c r="GR340">
        <v>0</v>
      </c>
      <c r="GS340">
        <v>3</v>
      </c>
      <c r="GT340">
        <v>0</v>
      </c>
      <c r="GU340" t="s">
        <v>3</v>
      </c>
      <c r="GV340">
        <f t="shared" si="278"/>
        <v>0</v>
      </c>
      <c r="GW340">
        <v>1</v>
      </c>
      <c r="GX340">
        <f t="shared" si="279"/>
        <v>0</v>
      </c>
      <c r="HA340">
        <v>0</v>
      </c>
      <c r="HB340">
        <v>0</v>
      </c>
      <c r="HC340">
        <f t="shared" si="280"/>
        <v>0</v>
      </c>
      <c r="HE340" t="s">
        <v>3</v>
      </c>
      <c r="HF340" t="s">
        <v>3</v>
      </c>
      <c r="HM340" t="s">
        <v>3</v>
      </c>
      <c r="HN340" t="s">
        <v>3</v>
      </c>
      <c r="HO340" t="s">
        <v>3</v>
      </c>
      <c r="HP340" t="s">
        <v>3</v>
      </c>
      <c r="HQ340" t="s">
        <v>3</v>
      </c>
      <c r="IK340">
        <v>0</v>
      </c>
    </row>
    <row r="341" spans="1:245" x14ac:dyDescent="0.2">
      <c r="A341">
        <v>17</v>
      </c>
      <c r="B341">
        <v>1</v>
      </c>
      <c r="D341">
        <f>ROW(EtalonRes!A126)</f>
        <v>126</v>
      </c>
      <c r="E341" t="s">
        <v>3</v>
      </c>
      <c r="F341" t="s">
        <v>102</v>
      </c>
      <c r="G341" t="s">
        <v>103</v>
      </c>
      <c r="H341" t="s">
        <v>104</v>
      </c>
      <c r="I341">
        <f>ROUND((40+190+120+250+60+180+165+18+5)*0.25*0.1/100,9)</f>
        <v>0.25700000000000001</v>
      </c>
      <c r="J341">
        <v>0</v>
      </c>
      <c r="K341">
        <f>ROUND((40+190+120+250+60+180+165+18+5)*0.25*0.1/100,9)</f>
        <v>0.25700000000000001</v>
      </c>
      <c r="O341">
        <f t="shared" si="241"/>
        <v>520.12</v>
      </c>
      <c r="P341">
        <f t="shared" si="242"/>
        <v>0</v>
      </c>
      <c r="Q341">
        <f t="shared" si="243"/>
        <v>0</v>
      </c>
      <c r="R341">
        <f t="shared" si="244"/>
        <v>0</v>
      </c>
      <c r="S341">
        <f t="shared" si="245"/>
        <v>520.12</v>
      </c>
      <c r="T341">
        <f t="shared" si="246"/>
        <v>0</v>
      </c>
      <c r="U341">
        <f t="shared" si="247"/>
        <v>0.92520000000000002</v>
      </c>
      <c r="V341">
        <f t="shared" si="248"/>
        <v>0</v>
      </c>
      <c r="W341">
        <f t="shared" si="249"/>
        <v>0</v>
      </c>
      <c r="X341">
        <f t="shared" si="250"/>
        <v>364.08</v>
      </c>
      <c r="Y341">
        <f t="shared" si="251"/>
        <v>52.01</v>
      </c>
      <c r="AA341">
        <v>-1</v>
      </c>
      <c r="AB341">
        <f t="shared" si="252"/>
        <v>2023.8</v>
      </c>
      <c r="AC341">
        <f>ROUND(((ES341*4)),6)</f>
        <v>0</v>
      </c>
      <c r="AD341">
        <f>ROUND(((((ET341*4))-((EU341*4)))+AE341),6)</f>
        <v>0</v>
      </c>
      <c r="AE341">
        <f>ROUND(((EU341*4)),6)</f>
        <v>0</v>
      </c>
      <c r="AF341">
        <f>ROUND(((EV341*4)),6)</f>
        <v>2023.8</v>
      </c>
      <c r="AG341">
        <f t="shared" si="257"/>
        <v>0</v>
      </c>
      <c r="AH341">
        <f>((EW341*4))</f>
        <v>3.6</v>
      </c>
      <c r="AI341">
        <f>((EX341*4))</f>
        <v>0</v>
      </c>
      <c r="AJ341">
        <f t="shared" si="260"/>
        <v>0</v>
      </c>
      <c r="AK341">
        <v>505.95</v>
      </c>
      <c r="AL341">
        <v>0</v>
      </c>
      <c r="AM341">
        <v>0</v>
      </c>
      <c r="AN341">
        <v>0</v>
      </c>
      <c r="AO341">
        <v>505.95</v>
      </c>
      <c r="AP341">
        <v>0</v>
      </c>
      <c r="AQ341">
        <v>0.9</v>
      </c>
      <c r="AR341">
        <v>0</v>
      </c>
      <c r="AS341">
        <v>0</v>
      </c>
      <c r="AT341">
        <v>70</v>
      </c>
      <c r="AU341">
        <v>10</v>
      </c>
      <c r="AV341">
        <v>1</v>
      </c>
      <c r="AW341">
        <v>1</v>
      </c>
      <c r="AZ341">
        <v>1</v>
      </c>
      <c r="BA341">
        <v>1</v>
      </c>
      <c r="BB341">
        <v>1</v>
      </c>
      <c r="BC341">
        <v>1</v>
      </c>
      <c r="BD341" t="s">
        <v>3</v>
      </c>
      <c r="BE341" t="s">
        <v>3</v>
      </c>
      <c r="BF341" t="s">
        <v>3</v>
      </c>
      <c r="BG341" t="s">
        <v>3</v>
      </c>
      <c r="BH341">
        <v>0</v>
      </c>
      <c r="BI341">
        <v>4</v>
      </c>
      <c r="BJ341" t="s">
        <v>105</v>
      </c>
      <c r="BM341">
        <v>0</v>
      </c>
      <c r="BN341">
        <v>0</v>
      </c>
      <c r="BO341" t="s">
        <v>3</v>
      </c>
      <c r="BP341">
        <v>0</v>
      </c>
      <c r="BQ341">
        <v>1</v>
      </c>
      <c r="BR341">
        <v>0</v>
      </c>
      <c r="BS341">
        <v>1</v>
      </c>
      <c r="BT341">
        <v>1</v>
      </c>
      <c r="BU341">
        <v>1</v>
      </c>
      <c r="BV341">
        <v>1</v>
      </c>
      <c r="BW341">
        <v>1</v>
      </c>
      <c r="BX341">
        <v>1</v>
      </c>
      <c r="BY341" t="s">
        <v>3</v>
      </c>
      <c r="BZ341">
        <v>70</v>
      </c>
      <c r="CA341">
        <v>10</v>
      </c>
      <c r="CB341" t="s">
        <v>3</v>
      </c>
      <c r="CE341">
        <v>0</v>
      </c>
      <c r="CF341">
        <v>0</v>
      </c>
      <c r="CG341">
        <v>0</v>
      </c>
      <c r="CM341">
        <v>0</v>
      </c>
      <c r="CN341" t="s">
        <v>3</v>
      </c>
      <c r="CO341">
        <v>0</v>
      </c>
      <c r="CP341">
        <f t="shared" si="261"/>
        <v>520.12</v>
      </c>
      <c r="CQ341">
        <f t="shared" si="281"/>
        <v>0</v>
      </c>
      <c r="CR341">
        <f>(((((ET341*4))*BB341-((EU341*4))*BS341)+AE341*BS341)*AV341)</f>
        <v>0</v>
      </c>
      <c r="CS341">
        <f t="shared" si="282"/>
        <v>0</v>
      </c>
      <c r="CT341">
        <f t="shared" si="283"/>
        <v>2023.8</v>
      </c>
      <c r="CU341">
        <f t="shared" si="266"/>
        <v>0</v>
      </c>
      <c r="CV341">
        <f t="shared" si="284"/>
        <v>3.6</v>
      </c>
      <c r="CW341">
        <f t="shared" si="268"/>
        <v>0</v>
      </c>
      <c r="CX341">
        <f t="shared" si="269"/>
        <v>0</v>
      </c>
      <c r="CY341">
        <f t="shared" si="285"/>
        <v>364.084</v>
      </c>
      <c r="CZ341">
        <f t="shared" si="286"/>
        <v>52.012</v>
      </c>
      <c r="DC341" t="s">
        <v>3</v>
      </c>
      <c r="DD341" t="s">
        <v>106</v>
      </c>
      <c r="DE341" t="s">
        <v>106</v>
      </c>
      <c r="DF341" t="s">
        <v>106</v>
      </c>
      <c r="DG341" t="s">
        <v>106</v>
      </c>
      <c r="DH341" t="s">
        <v>3</v>
      </c>
      <c r="DI341" t="s">
        <v>106</v>
      </c>
      <c r="DJ341" t="s">
        <v>106</v>
      </c>
      <c r="DK341" t="s">
        <v>3</v>
      </c>
      <c r="DL341" t="s">
        <v>3</v>
      </c>
      <c r="DM341" t="s">
        <v>3</v>
      </c>
      <c r="DN341">
        <v>0</v>
      </c>
      <c r="DO341">
        <v>0</v>
      </c>
      <c r="DP341">
        <v>1</v>
      </c>
      <c r="DQ341">
        <v>1</v>
      </c>
      <c r="DU341">
        <v>1003</v>
      </c>
      <c r="DV341" t="s">
        <v>104</v>
      </c>
      <c r="DW341" t="s">
        <v>104</v>
      </c>
      <c r="DX341">
        <v>100</v>
      </c>
      <c r="DZ341" t="s">
        <v>3</v>
      </c>
      <c r="EA341" t="s">
        <v>3</v>
      </c>
      <c r="EB341" t="s">
        <v>3</v>
      </c>
      <c r="EC341" t="s">
        <v>3</v>
      </c>
      <c r="EE341">
        <v>1441815344</v>
      </c>
      <c r="EF341">
        <v>1</v>
      </c>
      <c r="EG341" t="s">
        <v>22</v>
      </c>
      <c r="EH341">
        <v>0</v>
      </c>
      <c r="EI341" t="s">
        <v>3</v>
      </c>
      <c r="EJ341">
        <v>4</v>
      </c>
      <c r="EK341">
        <v>0</v>
      </c>
      <c r="EL341" t="s">
        <v>23</v>
      </c>
      <c r="EM341" t="s">
        <v>24</v>
      </c>
      <c r="EO341" t="s">
        <v>3</v>
      </c>
      <c r="EQ341">
        <v>1024</v>
      </c>
      <c r="ER341">
        <v>505.95</v>
      </c>
      <c r="ES341">
        <v>0</v>
      </c>
      <c r="ET341">
        <v>0</v>
      </c>
      <c r="EU341">
        <v>0</v>
      </c>
      <c r="EV341">
        <v>505.95</v>
      </c>
      <c r="EW341">
        <v>0.9</v>
      </c>
      <c r="EX341">
        <v>0</v>
      </c>
      <c r="EY341">
        <v>0</v>
      </c>
      <c r="FQ341">
        <v>0</v>
      </c>
      <c r="FR341">
        <f t="shared" si="272"/>
        <v>0</v>
      </c>
      <c r="FS341">
        <v>0</v>
      </c>
      <c r="FX341">
        <v>70</v>
      </c>
      <c r="FY341">
        <v>10</v>
      </c>
      <c r="GA341" t="s">
        <v>3</v>
      </c>
      <c r="GD341">
        <v>0</v>
      </c>
      <c r="GF341">
        <v>-341239612</v>
      </c>
      <c r="GG341">
        <v>2</v>
      </c>
      <c r="GH341">
        <v>1</v>
      </c>
      <c r="GI341">
        <v>-2</v>
      </c>
      <c r="GJ341">
        <v>0</v>
      </c>
      <c r="GK341">
        <f>ROUND(R341*(R12)/100,2)</f>
        <v>0</v>
      </c>
      <c r="GL341">
        <f t="shared" si="273"/>
        <v>0</v>
      </c>
      <c r="GM341">
        <f t="shared" si="274"/>
        <v>936.21</v>
      </c>
      <c r="GN341">
        <f t="shared" si="275"/>
        <v>0</v>
      </c>
      <c r="GO341">
        <f t="shared" si="276"/>
        <v>0</v>
      </c>
      <c r="GP341">
        <f t="shared" si="277"/>
        <v>936.21</v>
      </c>
      <c r="GR341">
        <v>0</v>
      </c>
      <c r="GS341">
        <v>3</v>
      </c>
      <c r="GT341">
        <v>0</v>
      </c>
      <c r="GU341" t="s">
        <v>3</v>
      </c>
      <c r="GV341">
        <f t="shared" si="278"/>
        <v>0</v>
      </c>
      <c r="GW341">
        <v>1</v>
      </c>
      <c r="GX341">
        <f t="shared" si="279"/>
        <v>0</v>
      </c>
      <c r="HA341">
        <v>0</v>
      </c>
      <c r="HB341">
        <v>0</v>
      </c>
      <c r="HC341">
        <f t="shared" si="280"/>
        <v>0</v>
      </c>
      <c r="HE341" t="s">
        <v>3</v>
      </c>
      <c r="HF341" t="s">
        <v>3</v>
      </c>
      <c r="HM341" t="s">
        <v>3</v>
      </c>
      <c r="HN341" t="s">
        <v>3</v>
      </c>
      <c r="HO341" t="s">
        <v>3</v>
      </c>
      <c r="HP341" t="s">
        <v>3</v>
      </c>
      <c r="HQ341" t="s">
        <v>3</v>
      </c>
      <c r="IK341">
        <v>0</v>
      </c>
    </row>
    <row r="342" spans="1:245" x14ac:dyDescent="0.2">
      <c r="A342">
        <v>17</v>
      </c>
      <c r="B342">
        <v>1</v>
      </c>
      <c r="D342">
        <f>ROW(EtalonRes!A127)</f>
        <v>127</v>
      </c>
      <c r="E342" t="s">
        <v>3</v>
      </c>
      <c r="F342" t="s">
        <v>107</v>
      </c>
      <c r="G342" t="s">
        <v>108</v>
      </c>
      <c r="H342" t="s">
        <v>104</v>
      </c>
      <c r="I342">
        <f>ROUND((40+190+120+250+60+180+165+18+5)*0.75*0.1/100,9)</f>
        <v>0.77100000000000002</v>
      </c>
      <c r="J342">
        <v>0</v>
      </c>
      <c r="K342">
        <f>ROUND((40+190+120+250+60+180+165+18+5)*0.75*0.1/100,9)</f>
        <v>0.77100000000000002</v>
      </c>
      <c r="O342">
        <f t="shared" si="241"/>
        <v>4577.0600000000004</v>
      </c>
      <c r="P342">
        <f t="shared" si="242"/>
        <v>0</v>
      </c>
      <c r="Q342">
        <f t="shared" si="243"/>
        <v>0</v>
      </c>
      <c r="R342">
        <f t="shared" si="244"/>
        <v>0</v>
      </c>
      <c r="S342">
        <f t="shared" si="245"/>
        <v>4577.0600000000004</v>
      </c>
      <c r="T342">
        <f t="shared" si="246"/>
        <v>0</v>
      </c>
      <c r="U342">
        <f t="shared" si="247"/>
        <v>8.1417600000000014</v>
      </c>
      <c r="V342">
        <f t="shared" si="248"/>
        <v>0</v>
      </c>
      <c r="W342">
        <f t="shared" si="249"/>
        <v>0</v>
      </c>
      <c r="X342">
        <f t="shared" si="250"/>
        <v>3203.94</v>
      </c>
      <c r="Y342">
        <f t="shared" si="251"/>
        <v>457.71</v>
      </c>
      <c r="AA342">
        <v>-1</v>
      </c>
      <c r="AB342">
        <f t="shared" si="252"/>
        <v>5936.52</v>
      </c>
      <c r="AC342">
        <f>ROUND(((ES342*4)),6)</f>
        <v>0</v>
      </c>
      <c r="AD342">
        <f>ROUND(((((ET342*4))-((EU342*4)))+AE342),6)</f>
        <v>0</v>
      </c>
      <c r="AE342">
        <f>ROUND(((EU342*4)),6)</f>
        <v>0</v>
      </c>
      <c r="AF342">
        <f>ROUND(((EV342*4)),6)</f>
        <v>5936.52</v>
      </c>
      <c r="AG342">
        <f t="shared" si="257"/>
        <v>0</v>
      </c>
      <c r="AH342">
        <f>((EW342*4))</f>
        <v>10.56</v>
      </c>
      <c r="AI342">
        <f>((EX342*4))</f>
        <v>0</v>
      </c>
      <c r="AJ342">
        <f t="shared" si="260"/>
        <v>0</v>
      </c>
      <c r="AK342">
        <v>1484.13</v>
      </c>
      <c r="AL342">
        <v>0</v>
      </c>
      <c r="AM342">
        <v>0</v>
      </c>
      <c r="AN342">
        <v>0</v>
      </c>
      <c r="AO342">
        <v>1484.13</v>
      </c>
      <c r="AP342">
        <v>0</v>
      </c>
      <c r="AQ342">
        <v>2.64</v>
      </c>
      <c r="AR342">
        <v>0</v>
      </c>
      <c r="AS342">
        <v>0</v>
      </c>
      <c r="AT342">
        <v>70</v>
      </c>
      <c r="AU342">
        <v>10</v>
      </c>
      <c r="AV342">
        <v>1</v>
      </c>
      <c r="AW342">
        <v>1</v>
      </c>
      <c r="AZ342">
        <v>1</v>
      </c>
      <c r="BA342">
        <v>1</v>
      </c>
      <c r="BB342">
        <v>1</v>
      </c>
      <c r="BC342">
        <v>1</v>
      </c>
      <c r="BD342" t="s">
        <v>3</v>
      </c>
      <c r="BE342" t="s">
        <v>3</v>
      </c>
      <c r="BF342" t="s">
        <v>3</v>
      </c>
      <c r="BG342" t="s">
        <v>3</v>
      </c>
      <c r="BH342">
        <v>0</v>
      </c>
      <c r="BI342">
        <v>4</v>
      </c>
      <c r="BJ342" t="s">
        <v>109</v>
      </c>
      <c r="BM342">
        <v>0</v>
      </c>
      <c r="BN342">
        <v>0</v>
      </c>
      <c r="BO342" t="s">
        <v>3</v>
      </c>
      <c r="BP342">
        <v>0</v>
      </c>
      <c r="BQ342">
        <v>1</v>
      </c>
      <c r="BR342">
        <v>0</v>
      </c>
      <c r="BS342">
        <v>1</v>
      </c>
      <c r="BT342">
        <v>1</v>
      </c>
      <c r="BU342">
        <v>1</v>
      </c>
      <c r="BV342">
        <v>1</v>
      </c>
      <c r="BW342">
        <v>1</v>
      </c>
      <c r="BX342">
        <v>1</v>
      </c>
      <c r="BY342" t="s">
        <v>3</v>
      </c>
      <c r="BZ342">
        <v>70</v>
      </c>
      <c r="CA342">
        <v>10</v>
      </c>
      <c r="CB342" t="s">
        <v>3</v>
      </c>
      <c r="CE342">
        <v>0</v>
      </c>
      <c r="CF342">
        <v>0</v>
      </c>
      <c r="CG342">
        <v>0</v>
      </c>
      <c r="CM342">
        <v>0</v>
      </c>
      <c r="CN342" t="s">
        <v>3</v>
      </c>
      <c r="CO342">
        <v>0</v>
      </c>
      <c r="CP342">
        <f t="shared" si="261"/>
        <v>4577.0600000000004</v>
      </c>
      <c r="CQ342">
        <f t="shared" si="281"/>
        <v>0</v>
      </c>
      <c r="CR342">
        <f>(((((ET342*4))*BB342-((EU342*4))*BS342)+AE342*BS342)*AV342)</f>
        <v>0</v>
      </c>
      <c r="CS342">
        <f t="shared" si="282"/>
        <v>0</v>
      </c>
      <c r="CT342">
        <f t="shared" si="283"/>
        <v>5936.52</v>
      </c>
      <c r="CU342">
        <f t="shared" si="266"/>
        <v>0</v>
      </c>
      <c r="CV342">
        <f t="shared" si="284"/>
        <v>10.56</v>
      </c>
      <c r="CW342">
        <f t="shared" si="268"/>
        <v>0</v>
      </c>
      <c r="CX342">
        <f t="shared" si="269"/>
        <v>0</v>
      </c>
      <c r="CY342">
        <f t="shared" si="285"/>
        <v>3203.942</v>
      </c>
      <c r="CZ342">
        <f t="shared" si="286"/>
        <v>457.70600000000007</v>
      </c>
      <c r="DC342" t="s">
        <v>3</v>
      </c>
      <c r="DD342" t="s">
        <v>106</v>
      </c>
      <c r="DE342" t="s">
        <v>106</v>
      </c>
      <c r="DF342" t="s">
        <v>106</v>
      </c>
      <c r="DG342" t="s">
        <v>106</v>
      </c>
      <c r="DH342" t="s">
        <v>3</v>
      </c>
      <c r="DI342" t="s">
        <v>106</v>
      </c>
      <c r="DJ342" t="s">
        <v>106</v>
      </c>
      <c r="DK342" t="s">
        <v>3</v>
      </c>
      <c r="DL342" t="s">
        <v>3</v>
      </c>
      <c r="DM342" t="s">
        <v>3</v>
      </c>
      <c r="DN342">
        <v>0</v>
      </c>
      <c r="DO342">
        <v>0</v>
      </c>
      <c r="DP342">
        <v>1</v>
      </c>
      <c r="DQ342">
        <v>1</v>
      </c>
      <c r="DU342">
        <v>1003</v>
      </c>
      <c r="DV342" t="s">
        <v>104</v>
      </c>
      <c r="DW342" t="s">
        <v>104</v>
      </c>
      <c r="DX342">
        <v>100</v>
      </c>
      <c r="DZ342" t="s">
        <v>3</v>
      </c>
      <c r="EA342" t="s">
        <v>3</v>
      </c>
      <c r="EB342" t="s">
        <v>3</v>
      </c>
      <c r="EC342" t="s">
        <v>3</v>
      </c>
      <c r="EE342">
        <v>1441815344</v>
      </c>
      <c r="EF342">
        <v>1</v>
      </c>
      <c r="EG342" t="s">
        <v>22</v>
      </c>
      <c r="EH342">
        <v>0</v>
      </c>
      <c r="EI342" t="s">
        <v>3</v>
      </c>
      <c r="EJ342">
        <v>4</v>
      </c>
      <c r="EK342">
        <v>0</v>
      </c>
      <c r="EL342" t="s">
        <v>23</v>
      </c>
      <c r="EM342" t="s">
        <v>24</v>
      </c>
      <c r="EO342" t="s">
        <v>3</v>
      </c>
      <c r="EQ342">
        <v>1024</v>
      </c>
      <c r="ER342">
        <v>1484.13</v>
      </c>
      <c r="ES342">
        <v>0</v>
      </c>
      <c r="ET342">
        <v>0</v>
      </c>
      <c r="EU342">
        <v>0</v>
      </c>
      <c r="EV342">
        <v>1484.13</v>
      </c>
      <c r="EW342">
        <v>2.64</v>
      </c>
      <c r="EX342">
        <v>0</v>
      </c>
      <c r="EY342">
        <v>0</v>
      </c>
      <c r="FQ342">
        <v>0</v>
      </c>
      <c r="FR342">
        <f t="shared" si="272"/>
        <v>0</v>
      </c>
      <c r="FS342">
        <v>0</v>
      </c>
      <c r="FX342">
        <v>70</v>
      </c>
      <c r="FY342">
        <v>10</v>
      </c>
      <c r="GA342" t="s">
        <v>3</v>
      </c>
      <c r="GD342">
        <v>0</v>
      </c>
      <c r="GF342">
        <v>1802126441</v>
      </c>
      <c r="GG342">
        <v>2</v>
      </c>
      <c r="GH342">
        <v>1</v>
      </c>
      <c r="GI342">
        <v>-2</v>
      </c>
      <c r="GJ342">
        <v>0</v>
      </c>
      <c r="GK342">
        <f>ROUND(R342*(R12)/100,2)</f>
        <v>0</v>
      </c>
      <c r="GL342">
        <f t="shared" si="273"/>
        <v>0</v>
      </c>
      <c r="GM342">
        <f t="shared" si="274"/>
        <v>8238.7099999999991</v>
      </c>
      <c r="GN342">
        <f t="shared" si="275"/>
        <v>0</v>
      </c>
      <c r="GO342">
        <f t="shared" si="276"/>
        <v>0</v>
      </c>
      <c r="GP342">
        <f t="shared" si="277"/>
        <v>8238.7099999999991</v>
      </c>
      <c r="GR342">
        <v>0</v>
      </c>
      <c r="GS342">
        <v>3</v>
      </c>
      <c r="GT342">
        <v>0</v>
      </c>
      <c r="GU342" t="s">
        <v>3</v>
      </c>
      <c r="GV342">
        <f t="shared" si="278"/>
        <v>0</v>
      </c>
      <c r="GW342">
        <v>1</v>
      </c>
      <c r="GX342">
        <f t="shared" si="279"/>
        <v>0</v>
      </c>
      <c r="HA342">
        <v>0</v>
      </c>
      <c r="HB342">
        <v>0</v>
      </c>
      <c r="HC342">
        <f t="shared" si="280"/>
        <v>0</v>
      </c>
      <c r="HE342" t="s">
        <v>3</v>
      </c>
      <c r="HF342" t="s">
        <v>3</v>
      </c>
      <c r="HM342" t="s">
        <v>3</v>
      </c>
      <c r="HN342" t="s">
        <v>3</v>
      </c>
      <c r="HO342" t="s">
        <v>3</v>
      </c>
      <c r="HP342" t="s">
        <v>3</v>
      </c>
      <c r="HQ342" t="s">
        <v>3</v>
      </c>
      <c r="IK342">
        <v>0</v>
      </c>
    </row>
    <row r="343" spans="1:245" x14ac:dyDescent="0.2">
      <c r="A343">
        <v>17</v>
      </c>
      <c r="B343">
        <v>1</v>
      </c>
      <c r="D343">
        <f>ROW(EtalonRes!A133)</f>
        <v>133</v>
      </c>
      <c r="E343" t="s">
        <v>3</v>
      </c>
      <c r="F343" t="s">
        <v>262</v>
      </c>
      <c r="G343" t="s">
        <v>263</v>
      </c>
      <c r="H343" t="s">
        <v>104</v>
      </c>
      <c r="I343">
        <f>ROUND((40+190+120+250+60+180)/100,9)</f>
        <v>8.4</v>
      </c>
      <c r="J343">
        <v>0</v>
      </c>
      <c r="K343">
        <f>ROUND((40+190+120+250+60+180)/100,9)</f>
        <v>8.4</v>
      </c>
      <c r="O343">
        <f t="shared" si="241"/>
        <v>66583.86</v>
      </c>
      <c r="P343">
        <f t="shared" si="242"/>
        <v>589.92999999999995</v>
      </c>
      <c r="Q343">
        <f t="shared" si="243"/>
        <v>425.88</v>
      </c>
      <c r="R343">
        <f t="shared" si="244"/>
        <v>6.8</v>
      </c>
      <c r="S343">
        <f t="shared" si="245"/>
        <v>65568.05</v>
      </c>
      <c r="T343">
        <f t="shared" si="246"/>
        <v>0</v>
      </c>
      <c r="U343">
        <f t="shared" si="247"/>
        <v>89.376000000000005</v>
      </c>
      <c r="V343">
        <f t="shared" si="248"/>
        <v>0</v>
      </c>
      <c r="W343">
        <f t="shared" si="249"/>
        <v>0</v>
      </c>
      <c r="X343">
        <f t="shared" si="250"/>
        <v>45897.64</v>
      </c>
      <c r="Y343">
        <f t="shared" si="251"/>
        <v>6556.81</v>
      </c>
      <c r="AA343">
        <v>-1</v>
      </c>
      <c r="AB343">
        <f t="shared" si="252"/>
        <v>7926.65</v>
      </c>
      <c r="AC343">
        <f>ROUND((ES343),6)</f>
        <v>70.23</v>
      </c>
      <c r="AD343">
        <f>ROUND((((ET343)-(EU343))+AE343),6)</f>
        <v>50.7</v>
      </c>
      <c r="AE343">
        <f t="shared" ref="AE343:AF347" si="292">ROUND((EU343),6)</f>
        <v>0.81</v>
      </c>
      <c r="AF343">
        <f t="shared" si="292"/>
        <v>7805.72</v>
      </c>
      <c r="AG343">
        <f t="shared" si="257"/>
        <v>0</v>
      </c>
      <c r="AH343">
        <f t="shared" ref="AH343:AI347" si="293">(EW343)</f>
        <v>10.64</v>
      </c>
      <c r="AI343">
        <f t="shared" si="293"/>
        <v>0</v>
      </c>
      <c r="AJ343">
        <f t="shared" si="260"/>
        <v>0</v>
      </c>
      <c r="AK343">
        <v>7926.65</v>
      </c>
      <c r="AL343">
        <v>70.23</v>
      </c>
      <c r="AM343">
        <v>50.7</v>
      </c>
      <c r="AN343">
        <v>0.81</v>
      </c>
      <c r="AO343">
        <v>7805.72</v>
      </c>
      <c r="AP343">
        <v>0</v>
      </c>
      <c r="AQ343">
        <v>10.64</v>
      </c>
      <c r="AR343">
        <v>0</v>
      </c>
      <c r="AS343">
        <v>0</v>
      </c>
      <c r="AT343">
        <v>70</v>
      </c>
      <c r="AU343">
        <v>10</v>
      </c>
      <c r="AV343">
        <v>1</v>
      </c>
      <c r="AW343">
        <v>1</v>
      </c>
      <c r="AZ343">
        <v>1</v>
      </c>
      <c r="BA343">
        <v>1</v>
      </c>
      <c r="BB343">
        <v>1</v>
      </c>
      <c r="BC343">
        <v>1</v>
      </c>
      <c r="BD343" t="s">
        <v>3</v>
      </c>
      <c r="BE343" t="s">
        <v>3</v>
      </c>
      <c r="BF343" t="s">
        <v>3</v>
      </c>
      <c r="BG343" t="s">
        <v>3</v>
      </c>
      <c r="BH343">
        <v>0</v>
      </c>
      <c r="BI343">
        <v>4</v>
      </c>
      <c r="BJ343" t="s">
        <v>264</v>
      </c>
      <c r="BM343">
        <v>0</v>
      </c>
      <c r="BN343">
        <v>0</v>
      </c>
      <c r="BO343" t="s">
        <v>3</v>
      </c>
      <c r="BP343">
        <v>0</v>
      </c>
      <c r="BQ343">
        <v>1</v>
      </c>
      <c r="BR343">
        <v>0</v>
      </c>
      <c r="BS343">
        <v>1</v>
      </c>
      <c r="BT343">
        <v>1</v>
      </c>
      <c r="BU343">
        <v>1</v>
      </c>
      <c r="BV343">
        <v>1</v>
      </c>
      <c r="BW343">
        <v>1</v>
      </c>
      <c r="BX343">
        <v>1</v>
      </c>
      <c r="BY343" t="s">
        <v>3</v>
      </c>
      <c r="BZ343">
        <v>70</v>
      </c>
      <c r="CA343">
        <v>10</v>
      </c>
      <c r="CB343" t="s">
        <v>3</v>
      </c>
      <c r="CE343">
        <v>0</v>
      </c>
      <c r="CF343">
        <v>0</v>
      </c>
      <c r="CG343">
        <v>0</v>
      </c>
      <c r="CM343">
        <v>0</v>
      </c>
      <c r="CN343" t="s">
        <v>3</v>
      </c>
      <c r="CO343">
        <v>0</v>
      </c>
      <c r="CP343">
        <f t="shared" si="261"/>
        <v>66583.86</v>
      </c>
      <c r="CQ343">
        <f t="shared" si="281"/>
        <v>70.23</v>
      </c>
      <c r="CR343">
        <f>((((ET343)*BB343-(EU343)*BS343)+AE343*BS343)*AV343)</f>
        <v>50.7</v>
      </c>
      <c r="CS343">
        <f t="shared" si="282"/>
        <v>0.81</v>
      </c>
      <c r="CT343">
        <f t="shared" si="283"/>
        <v>7805.72</v>
      </c>
      <c r="CU343">
        <f t="shared" si="266"/>
        <v>0</v>
      </c>
      <c r="CV343">
        <f t="shared" si="284"/>
        <v>10.64</v>
      </c>
      <c r="CW343">
        <f t="shared" si="268"/>
        <v>0</v>
      </c>
      <c r="CX343">
        <f t="shared" si="269"/>
        <v>0</v>
      </c>
      <c r="CY343">
        <f t="shared" si="285"/>
        <v>45897.635000000002</v>
      </c>
      <c r="CZ343">
        <f t="shared" si="286"/>
        <v>6556.8050000000003</v>
      </c>
      <c r="DC343" t="s">
        <v>3</v>
      </c>
      <c r="DD343" t="s">
        <v>3</v>
      </c>
      <c r="DE343" t="s">
        <v>3</v>
      </c>
      <c r="DF343" t="s">
        <v>3</v>
      </c>
      <c r="DG343" t="s">
        <v>3</v>
      </c>
      <c r="DH343" t="s">
        <v>3</v>
      </c>
      <c r="DI343" t="s">
        <v>3</v>
      </c>
      <c r="DJ343" t="s">
        <v>3</v>
      </c>
      <c r="DK343" t="s">
        <v>3</v>
      </c>
      <c r="DL343" t="s">
        <v>3</v>
      </c>
      <c r="DM343" t="s">
        <v>3</v>
      </c>
      <c r="DN343">
        <v>0</v>
      </c>
      <c r="DO343">
        <v>0</v>
      </c>
      <c r="DP343">
        <v>1</v>
      </c>
      <c r="DQ343">
        <v>1</v>
      </c>
      <c r="DU343">
        <v>1003</v>
      </c>
      <c r="DV343" t="s">
        <v>104</v>
      </c>
      <c r="DW343" t="s">
        <v>104</v>
      </c>
      <c r="DX343">
        <v>100</v>
      </c>
      <c r="DZ343" t="s">
        <v>3</v>
      </c>
      <c r="EA343" t="s">
        <v>3</v>
      </c>
      <c r="EB343" t="s">
        <v>3</v>
      </c>
      <c r="EC343" t="s">
        <v>3</v>
      </c>
      <c r="EE343">
        <v>1441815344</v>
      </c>
      <c r="EF343">
        <v>1</v>
      </c>
      <c r="EG343" t="s">
        <v>22</v>
      </c>
      <c r="EH343">
        <v>0</v>
      </c>
      <c r="EI343" t="s">
        <v>3</v>
      </c>
      <c r="EJ343">
        <v>4</v>
      </c>
      <c r="EK343">
        <v>0</v>
      </c>
      <c r="EL343" t="s">
        <v>23</v>
      </c>
      <c r="EM343" t="s">
        <v>24</v>
      </c>
      <c r="EO343" t="s">
        <v>3</v>
      </c>
      <c r="EQ343">
        <v>1024</v>
      </c>
      <c r="ER343">
        <v>7926.65</v>
      </c>
      <c r="ES343">
        <v>70.23</v>
      </c>
      <c r="ET343">
        <v>50.7</v>
      </c>
      <c r="EU343">
        <v>0.81</v>
      </c>
      <c r="EV343">
        <v>7805.72</v>
      </c>
      <c r="EW343">
        <v>10.64</v>
      </c>
      <c r="EX343">
        <v>0</v>
      </c>
      <c r="EY343">
        <v>0</v>
      </c>
      <c r="FQ343">
        <v>0</v>
      </c>
      <c r="FR343">
        <f t="shared" si="272"/>
        <v>0</v>
      </c>
      <c r="FS343">
        <v>0</v>
      </c>
      <c r="FX343">
        <v>70</v>
      </c>
      <c r="FY343">
        <v>10</v>
      </c>
      <c r="GA343" t="s">
        <v>3</v>
      </c>
      <c r="GD343">
        <v>0</v>
      </c>
      <c r="GF343">
        <v>1087258960</v>
      </c>
      <c r="GG343">
        <v>2</v>
      </c>
      <c r="GH343">
        <v>1</v>
      </c>
      <c r="GI343">
        <v>-2</v>
      </c>
      <c r="GJ343">
        <v>0</v>
      </c>
      <c r="GK343">
        <f>ROUND(R343*(R12)/100,2)</f>
        <v>7.34</v>
      </c>
      <c r="GL343">
        <f t="shared" si="273"/>
        <v>0</v>
      </c>
      <c r="GM343">
        <f t="shared" si="274"/>
        <v>119045.65</v>
      </c>
      <c r="GN343">
        <f t="shared" si="275"/>
        <v>0</v>
      </c>
      <c r="GO343">
        <f t="shared" si="276"/>
        <v>0</v>
      </c>
      <c r="GP343">
        <f t="shared" si="277"/>
        <v>119045.65</v>
      </c>
      <c r="GR343">
        <v>0</v>
      </c>
      <c r="GS343">
        <v>3</v>
      </c>
      <c r="GT343">
        <v>0</v>
      </c>
      <c r="GU343" t="s">
        <v>3</v>
      </c>
      <c r="GV343">
        <f t="shared" si="278"/>
        <v>0</v>
      </c>
      <c r="GW343">
        <v>1</v>
      </c>
      <c r="GX343">
        <f t="shared" si="279"/>
        <v>0</v>
      </c>
      <c r="HA343">
        <v>0</v>
      </c>
      <c r="HB343">
        <v>0</v>
      </c>
      <c r="HC343">
        <f t="shared" si="280"/>
        <v>0</v>
      </c>
      <c r="HE343" t="s">
        <v>3</v>
      </c>
      <c r="HF343" t="s">
        <v>3</v>
      </c>
      <c r="HM343" t="s">
        <v>3</v>
      </c>
      <c r="HN343" t="s">
        <v>3</v>
      </c>
      <c r="HO343" t="s">
        <v>3</v>
      </c>
      <c r="HP343" t="s">
        <v>3</v>
      </c>
      <c r="HQ343" t="s">
        <v>3</v>
      </c>
      <c r="IK343">
        <v>0</v>
      </c>
    </row>
    <row r="344" spans="1:245" x14ac:dyDescent="0.2">
      <c r="A344">
        <v>17</v>
      </c>
      <c r="B344">
        <v>1</v>
      </c>
      <c r="D344">
        <f>ROW(EtalonRes!A139)</f>
        <v>139</v>
      </c>
      <c r="E344" t="s">
        <v>3</v>
      </c>
      <c r="F344" t="s">
        <v>265</v>
      </c>
      <c r="G344" t="s">
        <v>266</v>
      </c>
      <c r="H344" t="s">
        <v>104</v>
      </c>
      <c r="I344">
        <f>ROUND((165+18+5)/100,9)</f>
        <v>1.88</v>
      </c>
      <c r="J344">
        <v>0</v>
      </c>
      <c r="K344">
        <f>ROUND((165+18+5)/100,9)</f>
        <v>1.88</v>
      </c>
      <c r="O344">
        <f t="shared" si="241"/>
        <v>15190.61</v>
      </c>
      <c r="P344">
        <f t="shared" si="242"/>
        <v>420.54</v>
      </c>
      <c r="Q344">
        <f t="shared" si="243"/>
        <v>95.32</v>
      </c>
      <c r="R344">
        <f t="shared" si="244"/>
        <v>1.52</v>
      </c>
      <c r="S344">
        <f t="shared" si="245"/>
        <v>14674.75</v>
      </c>
      <c r="T344">
        <f t="shared" si="246"/>
        <v>0</v>
      </c>
      <c r="U344">
        <f t="shared" si="247"/>
        <v>20.0032</v>
      </c>
      <c r="V344">
        <f t="shared" si="248"/>
        <v>0</v>
      </c>
      <c r="W344">
        <f t="shared" si="249"/>
        <v>0</v>
      </c>
      <c r="X344">
        <f t="shared" si="250"/>
        <v>10272.33</v>
      </c>
      <c r="Y344">
        <f t="shared" si="251"/>
        <v>1467.48</v>
      </c>
      <c r="AA344">
        <v>-1</v>
      </c>
      <c r="AB344">
        <f t="shared" si="252"/>
        <v>8080.11</v>
      </c>
      <c r="AC344">
        <f>ROUND((ES344),6)</f>
        <v>223.69</v>
      </c>
      <c r="AD344">
        <f>ROUND((((ET344)-(EU344))+AE344),6)</f>
        <v>50.7</v>
      </c>
      <c r="AE344">
        <f t="shared" si="292"/>
        <v>0.81</v>
      </c>
      <c r="AF344">
        <f t="shared" si="292"/>
        <v>7805.72</v>
      </c>
      <c r="AG344">
        <f t="shared" si="257"/>
        <v>0</v>
      </c>
      <c r="AH344">
        <f t="shared" si="293"/>
        <v>10.64</v>
      </c>
      <c r="AI344">
        <f t="shared" si="293"/>
        <v>0</v>
      </c>
      <c r="AJ344">
        <f t="shared" si="260"/>
        <v>0</v>
      </c>
      <c r="AK344">
        <v>8080.11</v>
      </c>
      <c r="AL344">
        <v>223.69</v>
      </c>
      <c r="AM344">
        <v>50.7</v>
      </c>
      <c r="AN344">
        <v>0.81</v>
      </c>
      <c r="AO344">
        <v>7805.72</v>
      </c>
      <c r="AP344">
        <v>0</v>
      </c>
      <c r="AQ344">
        <v>10.64</v>
      </c>
      <c r="AR344">
        <v>0</v>
      </c>
      <c r="AS344">
        <v>0</v>
      </c>
      <c r="AT344">
        <v>70</v>
      </c>
      <c r="AU344">
        <v>10</v>
      </c>
      <c r="AV344">
        <v>1</v>
      </c>
      <c r="AW344">
        <v>1</v>
      </c>
      <c r="AZ344">
        <v>1</v>
      </c>
      <c r="BA344">
        <v>1</v>
      </c>
      <c r="BB344">
        <v>1</v>
      </c>
      <c r="BC344">
        <v>1</v>
      </c>
      <c r="BD344" t="s">
        <v>3</v>
      </c>
      <c r="BE344" t="s">
        <v>3</v>
      </c>
      <c r="BF344" t="s">
        <v>3</v>
      </c>
      <c r="BG344" t="s">
        <v>3</v>
      </c>
      <c r="BH344">
        <v>0</v>
      </c>
      <c r="BI344">
        <v>4</v>
      </c>
      <c r="BJ344" t="s">
        <v>267</v>
      </c>
      <c r="BM344">
        <v>0</v>
      </c>
      <c r="BN344">
        <v>0</v>
      </c>
      <c r="BO344" t="s">
        <v>3</v>
      </c>
      <c r="BP344">
        <v>0</v>
      </c>
      <c r="BQ344">
        <v>1</v>
      </c>
      <c r="BR344">
        <v>0</v>
      </c>
      <c r="BS344">
        <v>1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70</v>
      </c>
      <c r="CA344">
        <v>10</v>
      </c>
      <c r="CB344" t="s">
        <v>3</v>
      </c>
      <c r="CE344">
        <v>0</v>
      </c>
      <c r="CF344">
        <v>0</v>
      </c>
      <c r="CG344">
        <v>0</v>
      </c>
      <c r="CM344">
        <v>0</v>
      </c>
      <c r="CN344" t="s">
        <v>3</v>
      </c>
      <c r="CO344">
        <v>0</v>
      </c>
      <c r="CP344">
        <f t="shared" si="261"/>
        <v>15190.61</v>
      </c>
      <c r="CQ344">
        <f t="shared" si="281"/>
        <v>223.69</v>
      </c>
      <c r="CR344">
        <f>((((ET344)*BB344-(EU344)*BS344)+AE344*BS344)*AV344)</f>
        <v>50.7</v>
      </c>
      <c r="CS344">
        <f t="shared" si="282"/>
        <v>0.81</v>
      </c>
      <c r="CT344">
        <f t="shared" si="283"/>
        <v>7805.72</v>
      </c>
      <c r="CU344">
        <f t="shared" si="266"/>
        <v>0</v>
      </c>
      <c r="CV344">
        <f t="shared" si="284"/>
        <v>10.64</v>
      </c>
      <c r="CW344">
        <f t="shared" si="268"/>
        <v>0</v>
      </c>
      <c r="CX344">
        <f t="shared" si="269"/>
        <v>0</v>
      </c>
      <c r="CY344">
        <f t="shared" si="285"/>
        <v>10272.325000000001</v>
      </c>
      <c r="CZ344">
        <f t="shared" si="286"/>
        <v>1467.4749999999999</v>
      </c>
      <c r="DC344" t="s">
        <v>3</v>
      </c>
      <c r="DD344" t="s">
        <v>3</v>
      </c>
      <c r="DE344" t="s">
        <v>3</v>
      </c>
      <c r="DF344" t="s">
        <v>3</v>
      </c>
      <c r="DG344" t="s">
        <v>3</v>
      </c>
      <c r="DH344" t="s">
        <v>3</v>
      </c>
      <c r="DI344" t="s">
        <v>3</v>
      </c>
      <c r="DJ344" t="s">
        <v>3</v>
      </c>
      <c r="DK344" t="s">
        <v>3</v>
      </c>
      <c r="DL344" t="s">
        <v>3</v>
      </c>
      <c r="DM344" t="s">
        <v>3</v>
      </c>
      <c r="DN344">
        <v>0</v>
      </c>
      <c r="DO344">
        <v>0</v>
      </c>
      <c r="DP344">
        <v>1</v>
      </c>
      <c r="DQ344">
        <v>1</v>
      </c>
      <c r="DU344">
        <v>1003</v>
      </c>
      <c r="DV344" t="s">
        <v>104</v>
      </c>
      <c r="DW344" t="s">
        <v>104</v>
      </c>
      <c r="DX344">
        <v>100</v>
      </c>
      <c r="DZ344" t="s">
        <v>3</v>
      </c>
      <c r="EA344" t="s">
        <v>3</v>
      </c>
      <c r="EB344" t="s">
        <v>3</v>
      </c>
      <c r="EC344" t="s">
        <v>3</v>
      </c>
      <c r="EE344">
        <v>1441815344</v>
      </c>
      <c r="EF344">
        <v>1</v>
      </c>
      <c r="EG344" t="s">
        <v>22</v>
      </c>
      <c r="EH344">
        <v>0</v>
      </c>
      <c r="EI344" t="s">
        <v>3</v>
      </c>
      <c r="EJ344">
        <v>4</v>
      </c>
      <c r="EK344">
        <v>0</v>
      </c>
      <c r="EL344" t="s">
        <v>23</v>
      </c>
      <c r="EM344" t="s">
        <v>24</v>
      </c>
      <c r="EO344" t="s">
        <v>3</v>
      </c>
      <c r="EQ344">
        <v>1024</v>
      </c>
      <c r="ER344">
        <v>8080.11</v>
      </c>
      <c r="ES344">
        <v>223.69</v>
      </c>
      <c r="ET344">
        <v>50.7</v>
      </c>
      <c r="EU344">
        <v>0.81</v>
      </c>
      <c r="EV344">
        <v>7805.72</v>
      </c>
      <c r="EW344">
        <v>10.64</v>
      </c>
      <c r="EX344">
        <v>0</v>
      </c>
      <c r="EY344">
        <v>0</v>
      </c>
      <c r="FQ344">
        <v>0</v>
      </c>
      <c r="FR344">
        <f t="shared" si="272"/>
        <v>0</v>
      </c>
      <c r="FS344">
        <v>0</v>
      </c>
      <c r="FX344">
        <v>70</v>
      </c>
      <c r="FY344">
        <v>10</v>
      </c>
      <c r="GA344" t="s">
        <v>3</v>
      </c>
      <c r="GD344">
        <v>0</v>
      </c>
      <c r="GF344">
        <v>279930794</v>
      </c>
      <c r="GG344">
        <v>2</v>
      </c>
      <c r="GH344">
        <v>1</v>
      </c>
      <c r="GI344">
        <v>-2</v>
      </c>
      <c r="GJ344">
        <v>0</v>
      </c>
      <c r="GK344">
        <f>ROUND(R344*(R12)/100,2)</f>
        <v>1.64</v>
      </c>
      <c r="GL344">
        <f t="shared" si="273"/>
        <v>0</v>
      </c>
      <c r="GM344">
        <f t="shared" si="274"/>
        <v>26932.06</v>
      </c>
      <c r="GN344">
        <f t="shared" si="275"/>
        <v>0</v>
      </c>
      <c r="GO344">
        <f t="shared" si="276"/>
        <v>0</v>
      </c>
      <c r="GP344">
        <f t="shared" si="277"/>
        <v>26932.06</v>
      </c>
      <c r="GR344">
        <v>0</v>
      </c>
      <c r="GS344">
        <v>3</v>
      </c>
      <c r="GT344">
        <v>0</v>
      </c>
      <c r="GU344" t="s">
        <v>3</v>
      </c>
      <c r="GV344">
        <f t="shared" si="278"/>
        <v>0</v>
      </c>
      <c r="GW344">
        <v>1</v>
      </c>
      <c r="GX344">
        <f t="shared" si="279"/>
        <v>0</v>
      </c>
      <c r="HA344">
        <v>0</v>
      </c>
      <c r="HB344">
        <v>0</v>
      </c>
      <c r="HC344">
        <f t="shared" si="280"/>
        <v>0</v>
      </c>
      <c r="HE344" t="s">
        <v>3</v>
      </c>
      <c r="HF344" t="s">
        <v>3</v>
      </c>
      <c r="HM344" t="s">
        <v>3</v>
      </c>
      <c r="HN344" t="s">
        <v>3</v>
      </c>
      <c r="HO344" t="s">
        <v>3</v>
      </c>
      <c r="HP344" t="s">
        <v>3</v>
      </c>
      <c r="HQ344" t="s">
        <v>3</v>
      </c>
      <c r="IK344">
        <v>0</v>
      </c>
    </row>
    <row r="345" spans="1:245" x14ac:dyDescent="0.2">
      <c r="A345">
        <v>17</v>
      </c>
      <c r="B345">
        <v>1</v>
      </c>
      <c r="D345">
        <f>ROW(EtalonRes!A145)</f>
        <v>145</v>
      </c>
      <c r="E345" t="s">
        <v>3</v>
      </c>
      <c r="F345" t="s">
        <v>262</v>
      </c>
      <c r="G345" t="s">
        <v>263</v>
      </c>
      <c r="H345" t="s">
        <v>104</v>
      </c>
      <c r="I345">
        <f>ROUND(8050/100,9)</f>
        <v>80.5</v>
      </c>
      <c r="J345">
        <v>0</v>
      </c>
      <c r="K345">
        <f>ROUND(8050/100,9)</f>
        <v>80.5</v>
      </c>
      <c r="O345">
        <f t="shared" si="241"/>
        <v>638095.32999999996</v>
      </c>
      <c r="P345">
        <f t="shared" si="242"/>
        <v>5653.52</v>
      </c>
      <c r="Q345">
        <f t="shared" si="243"/>
        <v>4081.35</v>
      </c>
      <c r="R345">
        <f t="shared" si="244"/>
        <v>65.209999999999994</v>
      </c>
      <c r="S345">
        <f t="shared" si="245"/>
        <v>628360.46</v>
      </c>
      <c r="T345">
        <f t="shared" si="246"/>
        <v>0</v>
      </c>
      <c r="U345">
        <f t="shared" si="247"/>
        <v>856.5200000000001</v>
      </c>
      <c r="V345">
        <f t="shared" si="248"/>
        <v>0</v>
      </c>
      <c r="W345">
        <f t="shared" si="249"/>
        <v>0</v>
      </c>
      <c r="X345">
        <f t="shared" si="250"/>
        <v>439852.32</v>
      </c>
      <c r="Y345">
        <f t="shared" si="251"/>
        <v>62836.05</v>
      </c>
      <c r="AA345">
        <v>-1</v>
      </c>
      <c r="AB345">
        <f t="shared" si="252"/>
        <v>7926.65</v>
      </c>
      <c r="AC345">
        <f>ROUND((ES345),6)</f>
        <v>70.23</v>
      </c>
      <c r="AD345">
        <f>ROUND((((ET345)-(EU345))+AE345),6)</f>
        <v>50.7</v>
      </c>
      <c r="AE345">
        <f t="shared" si="292"/>
        <v>0.81</v>
      </c>
      <c r="AF345">
        <f t="shared" si="292"/>
        <v>7805.72</v>
      </c>
      <c r="AG345">
        <f t="shared" si="257"/>
        <v>0</v>
      </c>
      <c r="AH345">
        <f t="shared" si="293"/>
        <v>10.64</v>
      </c>
      <c r="AI345">
        <f t="shared" si="293"/>
        <v>0</v>
      </c>
      <c r="AJ345">
        <f t="shared" si="260"/>
        <v>0</v>
      </c>
      <c r="AK345">
        <v>7926.65</v>
      </c>
      <c r="AL345">
        <v>70.23</v>
      </c>
      <c r="AM345">
        <v>50.7</v>
      </c>
      <c r="AN345">
        <v>0.81</v>
      </c>
      <c r="AO345">
        <v>7805.72</v>
      </c>
      <c r="AP345">
        <v>0</v>
      </c>
      <c r="AQ345">
        <v>10.64</v>
      </c>
      <c r="AR345">
        <v>0</v>
      </c>
      <c r="AS345">
        <v>0</v>
      </c>
      <c r="AT345">
        <v>70</v>
      </c>
      <c r="AU345">
        <v>10</v>
      </c>
      <c r="AV345">
        <v>1</v>
      </c>
      <c r="AW345">
        <v>1</v>
      </c>
      <c r="AZ345">
        <v>1</v>
      </c>
      <c r="BA345">
        <v>1</v>
      </c>
      <c r="BB345">
        <v>1</v>
      </c>
      <c r="BC345">
        <v>1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4</v>
      </c>
      <c r="BJ345" t="s">
        <v>264</v>
      </c>
      <c r="BM345">
        <v>0</v>
      </c>
      <c r="BN345">
        <v>0</v>
      </c>
      <c r="BO345" t="s">
        <v>3</v>
      </c>
      <c r="BP345">
        <v>0</v>
      </c>
      <c r="BQ345">
        <v>1</v>
      </c>
      <c r="BR345">
        <v>0</v>
      </c>
      <c r="BS345">
        <v>1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70</v>
      </c>
      <c r="CA345">
        <v>10</v>
      </c>
      <c r="CB345" t="s">
        <v>3</v>
      </c>
      <c r="CE345">
        <v>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 t="shared" si="261"/>
        <v>638095.32999999996</v>
      </c>
      <c r="CQ345">
        <f t="shared" si="281"/>
        <v>70.23</v>
      </c>
      <c r="CR345">
        <f>((((ET345)*BB345-(EU345)*BS345)+AE345*BS345)*AV345)</f>
        <v>50.7</v>
      </c>
      <c r="CS345">
        <f t="shared" si="282"/>
        <v>0.81</v>
      </c>
      <c r="CT345">
        <f t="shared" si="283"/>
        <v>7805.72</v>
      </c>
      <c r="CU345">
        <f t="shared" si="266"/>
        <v>0</v>
      </c>
      <c r="CV345">
        <f t="shared" si="284"/>
        <v>10.64</v>
      </c>
      <c r="CW345">
        <f t="shared" si="268"/>
        <v>0</v>
      </c>
      <c r="CX345">
        <f t="shared" si="269"/>
        <v>0</v>
      </c>
      <c r="CY345">
        <f t="shared" si="285"/>
        <v>439852.32199999993</v>
      </c>
      <c r="CZ345">
        <f t="shared" si="286"/>
        <v>62836.045999999995</v>
      </c>
      <c r="DC345" t="s">
        <v>3</v>
      </c>
      <c r="DD345" t="s">
        <v>3</v>
      </c>
      <c r="DE345" t="s">
        <v>3</v>
      </c>
      <c r="DF345" t="s">
        <v>3</v>
      </c>
      <c r="DG345" t="s">
        <v>3</v>
      </c>
      <c r="DH345" t="s">
        <v>3</v>
      </c>
      <c r="DI345" t="s">
        <v>3</v>
      </c>
      <c r="DJ345" t="s">
        <v>3</v>
      </c>
      <c r="DK345" t="s">
        <v>3</v>
      </c>
      <c r="DL345" t="s">
        <v>3</v>
      </c>
      <c r="DM345" t="s">
        <v>3</v>
      </c>
      <c r="DN345">
        <v>0</v>
      </c>
      <c r="DO345">
        <v>0</v>
      </c>
      <c r="DP345">
        <v>1</v>
      </c>
      <c r="DQ345">
        <v>1</v>
      </c>
      <c r="DU345">
        <v>1003</v>
      </c>
      <c r="DV345" t="s">
        <v>104</v>
      </c>
      <c r="DW345" t="s">
        <v>104</v>
      </c>
      <c r="DX345">
        <v>100</v>
      </c>
      <c r="DZ345" t="s">
        <v>3</v>
      </c>
      <c r="EA345" t="s">
        <v>3</v>
      </c>
      <c r="EB345" t="s">
        <v>3</v>
      </c>
      <c r="EC345" t="s">
        <v>3</v>
      </c>
      <c r="EE345">
        <v>1441815344</v>
      </c>
      <c r="EF345">
        <v>1</v>
      </c>
      <c r="EG345" t="s">
        <v>22</v>
      </c>
      <c r="EH345">
        <v>0</v>
      </c>
      <c r="EI345" t="s">
        <v>3</v>
      </c>
      <c r="EJ345">
        <v>4</v>
      </c>
      <c r="EK345">
        <v>0</v>
      </c>
      <c r="EL345" t="s">
        <v>23</v>
      </c>
      <c r="EM345" t="s">
        <v>24</v>
      </c>
      <c r="EO345" t="s">
        <v>3</v>
      </c>
      <c r="EQ345">
        <v>1024</v>
      </c>
      <c r="ER345">
        <v>7926.65</v>
      </c>
      <c r="ES345">
        <v>70.23</v>
      </c>
      <c r="ET345">
        <v>50.7</v>
      </c>
      <c r="EU345">
        <v>0.81</v>
      </c>
      <c r="EV345">
        <v>7805.72</v>
      </c>
      <c r="EW345">
        <v>10.64</v>
      </c>
      <c r="EX345">
        <v>0</v>
      </c>
      <c r="EY345">
        <v>0</v>
      </c>
      <c r="FQ345">
        <v>0</v>
      </c>
      <c r="FR345">
        <f t="shared" si="272"/>
        <v>0</v>
      </c>
      <c r="FS345">
        <v>0</v>
      </c>
      <c r="FX345">
        <v>70</v>
      </c>
      <c r="FY345">
        <v>10</v>
      </c>
      <c r="GA345" t="s">
        <v>3</v>
      </c>
      <c r="GD345">
        <v>0</v>
      </c>
      <c r="GF345">
        <v>1087258960</v>
      </c>
      <c r="GG345">
        <v>2</v>
      </c>
      <c r="GH345">
        <v>1</v>
      </c>
      <c r="GI345">
        <v>-2</v>
      </c>
      <c r="GJ345">
        <v>0</v>
      </c>
      <c r="GK345">
        <f>ROUND(R345*(R12)/100,2)</f>
        <v>70.430000000000007</v>
      </c>
      <c r="GL345">
        <f t="shared" si="273"/>
        <v>0</v>
      </c>
      <c r="GM345">
        <f t="shared" si="274"/>
        <v>1140854.1299999999</v>
      </c>
      <c r="GN345">
        <f t="shared" si="275"/>
        <v>0</v>
      </c>
      <c r="GO345">
        <f t="shared" si="276"/>
        <v>0</v>
      </c>
      <c r="GP345">
        <f t="shared" si="277"/>
        <v>1140854.1299999999</v>
      </c>
      <c r="GR345">
        <v>0</v>
      </c>
      <c r="GS345">
        <v>3</v>
      </c>
      <c r="GT345">
        <v>0</v>
      </c>
      <c r="GU345" t="s">
        <v>3</v>
      </c>
      <c r="GV345">
        <f t="shared" si="278"/>
        <v>0</v>
      </c>
      <c r="GW345">
        <v>1</v>
      </c>
      <c r="GX345">
        <f t="shared" si="279"/>
        <v>0</v>
      </c>
      <c r="HA345">
        <v>0</v>
      </c>
      <c r="HB345">
        <v>0</v>
      </c>
      <c r="HC345">
        <f t="shared" si="280"/>
        <v>0</v>
      </c>
      <c r="HE345" t="s">
        <v>3</v>
      </c>
      <c r="HF345" t="s">
        <v>3</v>
      </c>
      <c r="HM345" t="s">
        <v>3</v>
      </c>
      <c r="HN345" t="s">
        <v>3</v>
      </c>
      <c r="HO345" t="s">
        <v>3</v>
      </c>
      <c r="HP345" t="s">
        <v>3</v>
      </c>
      <c r="HQ345" t="s">
        <v>3</v>
      </c>
      <c r="IK345">
        <v>0</v>
      </c>
    </row>
    <row r="346" spans="1:245" x14ac:dyDescent="0.2">
      <c r="A346">
        <v>17</v>
      </c>
      <c r="B346">
        <v>1</v>
      </c>
      <c r="D346">
        <f>ROW(EtalonRes!A148)</f>
        <v>148</v>
      </c>
      <c r="E346" t="s">
        <v>3</v>
      </c>
      <c r="F346" t="s">
        <v>268</v>
      </c>
      <c r="G346" t="s">
        <v>269</v>
      </c>
      <c r="H346" t="s">
        <v>104</v>
      </c>
      <c r="I346">
        <f>ROUND((165+18+5)/100,9)</f>
        <v>1.88</v>
      </c>
      <c r="J346">
        <v>0</v>
      </c>
      <c r="K346">
        <f>ROUND((165+18+5)/100,9)</f>
        <v>1.88</v>
      </c>
      <c r="O346">
        <f t="shared" si="241"/>
        <v>4716.9399999999996</v>
      </c>
      <c r="P346">
        <f t="shared" si="242"/>
        <v>381.26</v>
      </c>
      <c r="Q346">
        <f t="shared" si="243"/>
        <v>44.2</v>
      </c>
      <c r="R346">
        <f t="shared" si="244"/>
        <v>0.13</v>
      </c>
      <c r="S346">
        <f t="shared" si="245"/>
        <v>4291.4799999999996</v>
      </c>
      <c r="T346">
        <f t="shared" si="246"/>
        <v>0</v>
      </c>
      <c r="U346">
        <f t="shared" si="247"/>
        <v>6.4671999999999992</v>
      </c>
      <c r="V346">
        <f t="shared" si="248"/>
        <v>0</v>
      </c>
      <c r="W346">
        <f t="shared" si="249"/>
        <v>0</v>
      </c>
      <c r="X346">
        <f t="shared" si="250"/>
        <v>3004.04</v>
      </c>
      <c r="Y346">
        <f t="shared" si="251"/>
        <v>429.15</v>
      </c>
      <c r="AA346">
        <v>-1</v>
      </c>
      <c r="AB346">
        <f t="shared" si="252"/>
        <v>2509.0100000000002</v>
      </c>
      <c r="AC346">
        <f>ROUND((ES346),6)</f>
        <v>202.8</v>
      </c>
      <c r="AD346">
        <f>ROUND((((ET346)-(EU346))+AE346),6)</f>
        <v>23.51</v>
      </c>
      <c r="AE346">
        <f t="shared" si="292"/>
        <v>7.0000000000000007E-2</v>
      </c>
      <c r="AF346">
        <f t="shared" si="292"/>
        <v>2282.6999999999998</v>
      </c>
      <c r="AG346">
        <f t="shared" si="257"/>
        <v>0</v>
      </c>
      <c r="AH346">
        <f t="shared" si="293"/>
        <v>3.44</v>
      </c>
      <c r="AI346">
        <f t="shared" si="293"/>
        <v>0</v>
      </c>
      <c r="AJ346">
        <f t="shared" si="260"/>
        <v>0</v>
      </c>
      <c r="AK346">
        <v>2509.0100000000002</v>
      </c>
      <c r="AL346">
        <v>202.8</v>
      </c>
      <c r="AM346">
        <v>23.51</v>
      </c>
      <c r="AN346">
        <v>7.0000000000000007E-2</v>
      </c>
      <c r="AO346">
        <v>2282.6999999999998</v>
      </c>
      <c r="AP346">
        <v>0</v>
      </c>
      <c r="AQ346">
        <v>3.44</v>
      </c>
      <c r="AR346">
        <v>0</v>
      </c>
      <c r="AS346">
        <v>0</v>
      </c>
      <c r="AT346">
        <v>70</v>
      </c>
      <c r="AU346">
        <v>10</v>
      </c>
      <c r="AV346">
        <v>1</v>
      </c>
      <c r="AW346">
        <v>1</v>
      </c>
      <c r="AZ346">
        <v>1</v>
      </c>
      <c r="BA346">
        <v>1</v>
      </c>
      <c r="BB346">
        <v>1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4</v>
      </c>
      <c r="BJ346" t="s">
        <v>270</v>
      </c>
      <c r="BM346">
        <v>0</v>
      </c>
      <c r="BN346">
        <v>0</v>
      </c>
      <c r="BO346" t="s">
        <v>3</v>
      </c>
      <c r="BP346">
        <v>0</v>
      </c>
      <c r="BQ346">
        <v>1</v>
      </c>
      <c r="BR346">
        <v>0</v>
      </c>
      <c r="BS346">
        <v>1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70</v>
      </c>
      <c r="CA346">
        <v>10</v>
      </c>
      <c r="CB346" t="s">
        <v>3</v>
      </c>
      <c r="CE346">
        <v>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 t="shared" si="261"/>
        <v>4716.9399999999996</v>
      </c>
      <c r="CQ346">
        <f t="shared" si="281"/>
        <v>202.8</v>
      </c>
      <c r="CR346">
        <f>((((ET346)*BB346-(EU346)*BS346)+AE346*BS346)*AV346)</f>
        <v>23.51</v>
      </c>
      <c r="CS346">
        <f t="shared" si="282"/>
        <v>7.0000000000000007E-2</v>
      </c>
      <c r="CT346">
        <f t="shared" si="283"/>
        <v>2282.6999999999998</v>
      </c>
      <c r="CU346">
        <f t="shared" si="266"/>
        <v>0</v>
      </c>
      <c r="CV346">
        <f t="shared" si="284"/>
        <v>3.44</v>
      </c>
      <c r="CW346">
        <f t="shared" si="268"/>
        <v>0</v>
      </c>
      <c r="CX346">
        <f t="shared" si="269"/>
        <v>0</v>
      </c>
      <c r="CY346">
        <f t="shared" si="285"/>
        <v>3004.0359999999996</v>
      </c>
      <c r="CZ346">
        <f t="shared" si="286"/>
        <v>429.14799999999997</v>
      </c>
      <c r="DC346" t="s">
        <v>3</v>
      </c>
      <c r="DD346" t="s">
        <v>3</v>
      </c>
      <c r="DE346" t="s">
        <v>3</v>
      </c>
      <c r="DF346" t="s">
        <v>3</v>
      </c>
      <c r="DG346" t="s">
        <v>3</v>
      </c>
      <c r="DH346" t="s">
        <v>3</v>
      </c>
      <c r="DI346" t="s">
        <v>3</v>
      </c>
      <c r="DJ346" t="s">
        <v>3</v>
      </c>
      <c r="DK346" t="s">
        <v>3</v>
      </c>
      <c r="DL346" t="s">
        <v>3</v>
      </c>
      <c r="DM346" t="s">
        <v>3</v>
      </c>
      <c r="DN346">
        <v>0</v>
      </c>
      <c r="DO346">
        <v>0</v>
      </c>
      <c r="DP346">
        <v>1</v>
      </c>
      <c r="DQ346">
        <v>1</v>
      </c>
      <c r="DU346">
        <v>1003</v>
      </c>
      <c r="DV346" t="s">
        <v>104</v>
      </c>
      <c r="DW346" t="s">
        <v>104</v>
      </c>
      <c r="DX346">
        <v>100</v>
      </c>
      <c r="DZ346" t="s">
        <v>3</v>
      </c>
      <c r="EA346" t="s">
        <v>3</v>
      </c>
      <c r="EB346" t="s">
        <v>3</v>
      </c>
      <c r="EC346" t="s">
        <v>3</v>
      </c>
      <c r="EE346">
        <v>1441815344</v>
      </c>
      <c r="EF346">
        <v>1</v>
      </c>
      <c r="EG346" t="s">
        <v>22</v>
      </c>
      <c r="EH346">
        <v>0</v>
      </c>
      <c r="EI346" t="s">
        <v>3</v>
      </c>
      <c r="EJ346">
        <v>4</v>
      </c>
      <c r="EK346">
        <v>0</v>
      </c>
      <c r="EL346" t="s">
        <v>23</v>
      </c>
      <c r="EM346" t="s">
        <v>24</v>
      </c>
      <c r="EO346" t="s">
        <v>3</v>
      </c>
      <c r="EQ346">
        <v>1024</v>
      </c>
      <c r="ER346">
        <v>2509.0100000000002</v>
      </c>
      <c r="ES346">
        <v>202.8</v>
      </c>
      <c r="ET346">
        <v>23.51</v>
      </c>
      <c r="EU346">
        <v>7.0000000000000007E-2</v>
      </c>
      <c r="EV346">
        <v>2282.6999999999998</v>
      </c>
      <c r="EW346">
        <v>3.44</v>
      </c>
      <c r="EX346">
        <v>0</v>
      </c>
      <c r="EY346">
        <v>0</v>
      </c>
      <c r="FQ346">
        <v>0</v>
      </c>
      <c r="FR346">
        <f t="shared" si="272"/>
        <v>0</v>
      </c>
      <c r="FS346">
        <v>0</v>
      </c>
      <c r="FX346">
        <v>70</v>
      </c>
      <c r="FY346">
        <v>10</v>
      </c>
      <c r="GA346" t="s">
        <v>3</v>
      </c>
      <c r="GD346">
        <v>0</v>
      </c>
      <c r="GF346">
        <v>-1929809553</v>
      </c>
      <c r="GG346">
        <v>2</v>
      </c>
      <c r="GH346">
        <v>1</v>
      </c>
      <c r="GI346">
        <v>-2</v>
      </c>
      <c r="GJ346">
        <v>0</v>
      </c>
      <c r="GK346">
        <f>ROUND(R346*(R12)/100,2)</f>
        <v>0.14000000000000001</v>
      </c>
      <c r="GL346">
        <f t="shared" si="273"/>
        <v>0</v>
      </c>
      <c r="GM346">
        <f t="shared" si="274"/>
        <v>8150.27</v>
      </c>
      <c r="GN346">
        <f t="shared" si="275"/>
        <v>0</v>
      </c>
      <c r="GO346">
        <f t="shared" si="276"/>
        <v>0</v>
      </c>
      <c r="GP346">
        <f t="shared" si="277"/>
        <v>8150.27</v>
      </c>
      <c r="GR346">
        <v>0</v>
      </c>
      <c r="GS346">
        <v>3</v>
      </c>
      <c r="GT346">
        <v>0</v>
      </c>
      <c r="GU346" t="s">
        <v>3</v>
      </c>
      <c r="GV346">
        <f t="shared" si="278"/>
        <v>0</v>
      </c>
      <c r="GW346">
        <v>1</v>
      </c>
      <c r="GX346">
        <f t="shared" si="279"/>
        <v>0</v>
      </c>
      <c r="HA346">
        <v>0</v>
      </c>
      <c r="HB346">
        <v>0</v>
      </c>
      <c r="HC346">
        <f t="shared" si="280"/>
        <v>0</v>
      </c>
      <c r="HE346" t="s">
        <v>3</v>
      </c>
      <c r="HF346" t="s">
        <v>3</v>
      </c>
      <c r="HM346" t="s">
        <v>3</v>
      </c>
      <c r="HN346" t="s">
        <v>3</v>
      </c>
      <c r="HO346" t="s">
        <v>3</v>
      </c>
      <c r="HP346" t="s">
        <v>3</v>
      </c>
      <c r="HQ346" t="s">
        <v>3</v>
      </c>
      <c r="IK346">
        <v>0</v>
      </c>
    </row>
    <row r="347" spans="1:245" x14ac:dyDescent="0.2">
      <c r="A347">
        <v>17</v>
      </c>
      <c r="B347">
        <v>1</v>
      </c>
      <c r="D347">
        <f>ROW(EtalonRes!A151)</f>
        <v>151</v>
      </c>
      <c r="E347" t="s">
        <v>3</v>
      </c>
      <c r="F347" t="s">
        <v>271</v>
      </c>
      <c r="G347" t="s">
        <v>269</v>
      </c>
      <c r="H347" t="s">
        <v>104</v>
      </c>
      <c r="I347">
        <f>ROUND((40+190+120+250+60+180+8050)/100,9)</f>
        <v>88.9</v>
      </c>
      <c r="J347">
        <v>0</v>
      </c>
      <c r="K347">
        <f>ROUND((40+190+120+250+60+180+8050)/100,9)</f>
        <v>88.9</v>
      </c>
      <c r="O347">
        <f t="shared" si="241"/>
        <v>148751.94</v>
      </c>
      <c r="P347">
        <f t="shared" si="242"/>
        <v>5018.41</v>
      </c>
      <c r="Q347">
        <f t="shared" si="243"/>
        <v>973.46</v>
      </c>
      <c r="R347">
        <f t="shared" si="244"/>
        <v>2.67</v>
      </c>
      <c r="S347">
        <f t="shared" si="245"/>
        <v>142760.07</v>
      </c>
      <c r="T347">
        <f t="shared" si="246"/>
        <v>0</v>
      </c>
      <c r="U347">
        <f t="shared" si="247"/>
        <v>215.13800000000001</v>
      </c>
      <c r="V347">
        <f t="shared" si="248"/>
        <v>0</v>
      </c>
      <c r="W347">
        <f t="shared" si="249"/>
        <v>0</v>
      </c>
      <c r="X347">
        <f t="shared" si="250"/>
        <v>99932.05</v>
      </c>
      <c r="Y347">
        <f t="shared" si="251"/>
        <v>14276.01</v>
      </c>
      <c r="AA347">
        <v>-1</v>
      </c>
      <c r="AB347">
        <f t="shared" si="252"/>
        <v>1673.25</v>
      </c>
      <c r="AC347">
        <f>ROUND((ES347),6)</f>
        <v>56.45</v>
      </c>
      <c r="AD347">
        <f>ROUND((((ET347)-(EU347))+AE347),6)</f>
        <v>10.95</v>
      </c>
      <c r="AE347">
        <f t="shared" si="292"/>
        <v>0.03</v>
      </c>
      <c r="AF347">
        <f t="shared" si="292"/>
        <v>1605.85</v>
      </c>
      <c r="AG347">
        <f t="shared" si="257"/>
        <v>0</v>
      </c>
      <c r="AH347">
        <f t="shared" si="293"/>
        <v>2.42</v>
      </c>
      <c r="AI347">
        <f t="shared" si="293"/>
        <v>0</v>
      </c>
      <c r="AJ347">
        <f t="shared" si="260"/>
        <v>0</v>
      </c>
      <c r="AK347">
        <v>1673.25</v>
      </c>
      <c r="AL347">
        <v>56.45</v>
      </c>
      <c r="AM347">
        <v>10.95</v>
      </c>
      <c r="AN347">
        <v>0.03</v>
      </c>
      <c r="AO347">
        <v>1605.85</v>
      </c>
      <c r="AP347">
        <v>0</v>
      </c>
      <c r="AQ347">
        <v>2.42</v>
      </c>
      <c r="AR347">
        <v>0</v>
      </c>
      <c r="AS347">
        <v>0</v>
      </c>
      <c r="AT347">
        <v>70</v>
      </c>
      <c r="AU347">
        <v>10</v>
      </c>
      <c r="AV347">
        <v>1</v>
      </c>
      <c r="AW347">
        <v>1</v>
      </c>
      <c r="AZ347">
        <v>1</v>
      </c>
      <c r="BA347">
        <v>1</v>
      </c>
      <c r="BB347">
        <v>1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4</v>
      </c>
      <c r="BJ347" t="s">
        <v>272</v>
      </c>
      <c r="BM347">
        <v>0</v>
      </c>
      <c r="BN347">
        <v>0</v>
      </c>
      <c r="BO347" t="s">
        <v>3</v>
      </c>
      <c r="BP347">
        <v>0</v>
      </c>
      <c r="BQ347">
        <v>1</v>
      </c>
      <c r="BR347">
        <v>0</v>
      </c>
      <c r="BS347">
        <v>1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70</v>
      </c>
      <c r="CA347">
        <v>10</v>
      </c>
      <c r="CB347" t="s">
        <v>3</v>
      </c>
      <c r="CE347">
        <v>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 t="shared" si="261"/>
        <v>148751.94</v>
      </c>
      <c r="CQ347">
        <f t="shared" si="281"/>
        <v>56.45</v>
      </c>
      <c r="CR347">
        <f>((((ET347)*BB347-(EU347)*BS347)+AE347*BS347)*AV347)</f>
        <v>10.95</v>
      </c>
      <c r="CS347">
        <f t="shared" si="282"/>
        <v>0.03</v>
      </c>
      <c r="CT347">
        <f t="shared" si="283"/>
        <v>1605.85</v>
      </c>
      <c r="CU347">
        <f t="shared" si="266"/>
        <v>0</v>
      </c>
      <c r="CV347">
        <f t="shared" si="284"/>
        <v>2.42</v>
      </c>
      <c r="CW347">
        <f t="shared" si="268"/>
        <v>0</v>
      </c>
      <c r="CX347">
        <f t="shared" si="269"/>
        <v>0</v>
      </c>
      <c r="CY347">
        <f t="shared" si="285"/>
        <v>99932.048999999999</v>
      </c>
      <c r="CZ347">
        <f t="shared" si="286"/>
        <v>14276.007000000001</v>
      </c>
      <c r="DC347" t="s">
        <v>3</v>
      </c>
      <c r="DD347" t="s">
        <v>3</v>
      </c>
      <c r="DE347" t="s">
        <v>3</v>
      </c>
      <c r="DF347" t="s">
        <v>3</v>
      </c>
      <c r="DG347" t="s">
        <v>3</v>
      </c>
      <c r="DH347" t="s">
        <v>3</v>
      </c>
      <c r="DI347" t="s">
        <v>3</v>
      </c>
      <c r="DJ347" t="s">
        <v>3</v>
      </c>
      <c r="DK347" t="s">
        <v>3</v>
      </c>
      <c r="DL347" t="s">
        <v>3</v>
      </c>
      <c r="DM347" t="s">
        <v>3</v>
      </c>
      <c r="DN347">
        <v>0</v>
      </c>
      <c r="DO347">
        <v>0</v>
      </c>
      <c r="DP347">
        <v>1</v>
      </c>
      <c r="DQ347">
        <v>1</v>
      </c>
      <c r="DU347">
        <v>1003</v>
      </c>
      <c r="DV347" t="s">
        <v>104</v>
      </c>
      <c r="DW347" t="s">
        <v>104</v>
      </c>
      <c r="DX347">
        <v>100</v>
      </c>
      <c r="DZ347" t="s">
        <v>3</v>
      </c>
      <c r="EA347" t="s">
        <v>3</v>
      </c>
      <c r="EB347" t="s">
        <v>3</v>
      </c>
      <c r="EC347" t="s">
        <v>3</v>
      </c>
      <c r="EE347">
        <v>1441815344</v>
      </c>
      <c r="EF347">
        <v>1</v>
      </c>
      <c r="EG347" t="s">
        <v>22</v>
      </c>
      <c r="EH347">
        <v>0</v>
      </c>
      <c r="EI347" t="s">
        <v>3</v>
      </c>
      <c r="EJ347">
        <v>4</v>
      </c>
      <c r="EK347">
        <v>0</v>
      </c>
      <c r="EL347" t="s">
        <v>23</v>
      </c>
      <c r="EM347" t="s">
        <v>24</v>
      </c>
      <c r="EO347" t="s">
        <v>3</v>
      </c>
      <c r="EQ347">
        <v>1024</v>
      </c>
      <c r="ER347">
        <v>1673.25</v>
      </c>
      <c r="ES347">
        <v>56.45</v>
      </c>
      <c r="ET347">
        <v>10.95</v>
      </c>
      <c r="EU347">
        <v>0.03</v>
      </c>
      <c r="EV347">
        <v>1605.85</v>
      </c>
      <c r="EW347">
        <v>2.42</v>
      </c>
      <c r="EX347">
        <v>0</v>
      </c>
      <c r="EY347">
        <v>0</v>
      </c>
      <c r="FQ347">
        <v>0</v>
      </c>
      <c r="FR347">
        <f t="shared" si="272"/>
        <v>0</v>
      </c>
      <c r="FS347">
        <v>0</v>
      </c>
      <c r="FX347">
        <v>70</v>
      </c>
      <c r="FY347">
        <v>10</v>
      </c>
      <c r="GA347" t="s">
        <v>3</v>
      </c>
      <c r="GD347">
        <v>0</v>
      </c>
      <c r="GF347">
        <v>1036840386</v>
      </c>
      <c r="GG347">
        <v>2</v>
      </c>
      <c r="GH347">
        <v>1</v>
      </c>
      <c r="GI347">
        <v>-2</v>
      </c>
      <c r="GJ347">
        <v>0</v>
      </c>
      <c r="GK347">
        <f>ROUND(R347*(R12)/100,2)</f>
        <v>2.88</v>
      </c>
      <c r="GL347">
        <f t="shared" si="273"/>
        <v>0</v>
      </c>
      <c r="GM347">
        <f t="shared" si="274"/>
        <v>262962.88</v>
      </c>
      <c r="GN347">
        <f t="shared" si="275"/>
        <v>0</v>
      </c>
      <c r="GO347">
        <f t="shared" si="276"/>
        <v>0</v>
      </c>
      <c r="GP347">
        <f t="shared" si="277"/>
        <v>262962.88</v>
      </c>
      <c r="GR347">
        <v>0</v>
      </c>
      <c r="GS347">
        <v>3</v>
      </c>
      <c r="GT347">
        <v>0</v>
      </c>
      <c r="GU347" t="s">
        <v>3</v>
      </c>
      <c r="GV347">
        <f t="shared" si="278"/>
        <v>0</v>
      </c>
      <c r="GW347">
        <v>1</v>
      </c>
      <c r="GX347">
        <f t="shared" si="279"/>
        <v>0</v>
      </c>
      <c r="HA347">
        <v>0</v>
      </c>
      <c r="HB347">
        <v>0</v>
      </c>
      <c r="HC347">
        <f t="shared" si="280"/>
        <v>0</v>
      </c>
      <c r="HE347" t="s">
        <v>3</v>
      </c>
      <c r="HF347" t="s">
        <v>3</v>
      </c>
      <c r="HM347" t="s">
        <v>3</v>
      </c>
      <c r="HN347" t="s">
        <v>3</v>
      </c>
      <c r="HO347" t="s">
        <v>3</v>
      </c>
      <c r="HP347" t="s">
        <v>3</v>
      </c>
      <c r="HQ347" t="s">
        <v>3</v>
      </c>
      <c r="IK347">
        <v>0</v>
      </c>
    </row>
    <row r="349" spans="1:245" x14ac:dyDescent="0.2">
      <c r="A349" s="2">
        <v>51</v>
      </c>
      <c r="B349" s="2">
        <f>B315</f>
        <v>1</v>
      </c>
      <c r="C349" s="2">
        <f>A315</f>
        <v>5</v>
      </c>
      <c r="D349" s="2">
        <f>ROW(A315)</f>
        <v>315</v>
      </c>
      <c r="E349" s="2"/>
      <c r="F349" s="2" t="str">
        <f>IF(F315&lt;&gt;"",F315,"")</f>
        <v>Новый подраздел</v>
      </c>
      <c r="G349" s="2" t="str">
        <f>IF(G315&lt;&gt;"",G315,"")</f>
        <v>2.1 Отопление</v>
      </c>
      <c r="H349" s="2">
        <v>0</v>
      </c>
      <c r="I349" s="2"/>
      <c r="J349" s="2"/>
      <c r="K349" s="2"/>
      <c r="L349" s="2"/>
      <c r="M349" s="2"/>
      <c r="N349" s="2"/>
      <c r="O349" s="2">
        <f t="shared" ref="O349:T349" si="294">ROUND(AB349,2)</f>
        <v>165733.34</v>
      </c>
      <c r="P349" s="2">
        <f t="shared" si="294"/>
        <v>824.55</v>
      </c>
      <c r="Q349" s="2">
        <f t="shared" si="294"/>
        <v>14441.02</v>
      </c>
      <c r="R349" s="2">
        <f t="shared" si="294"/>
        <v>9135.49</v>
      </c>
      <c r="S349" s="2">
        <f t="shared" si="294"/>
        <v>150467.76999999999</v>
      </c>
      <c r="T349" s="2">
        <f t="shared" si="294"/>
        <v>0</v>
      </c>
      <c r="U349" s="2">
        <f>AH349</f>
        <v>244.28044</v>
      </c>
      <c r="V349" s="2">
        <f>AI349</f>
        <v>0</v>
      </c>
      <c r="W349" s="2">
        <f>ROUND(AJ349,2)</f>
        <v>0</v>
      </c>
      <c r="X349" s="2">
        <f>ROUND(AK349,2)</f>
        <v>105327.47</v>
      </c>
      <c r="Y349" s="2">
        <f>ROUND(AL349,2)</f>
        <v>15046.8</v>
      </c>
      <c r="Z349" s="2"/>
      <c r="AA349" s="2"/>
      <c r="AB349" s="2">
        <f>ROUND(SUMIF(AA319:AA347,"=1472506909",O319:O347),2)</f>
        <v>165733.34</v>
      </c>
      <c r="AC349" s="2">
        <f>ROUND(SUMIF(AA319:AA347,"=1472506909",P319:P347),2)</f>
        <v>824.55</v>
      </c>
      <c r="AD349" s="2">
        <f>ROUND(SUMIF(AA319:AA347,"=1472506909",Q319:Q347),2)</f>
        <v>14441.02</v>
      </c>
      <c r="AE349" s="2">
        <f>ROUND(SUMIF(AA319:AA347,"=1472506909",R319:R347),2)</f>
        <v>9135.49</v>
      </c>
      <c r="AF349" s="2">
        <f>ROUND(SUMIF(AA319:AA347,"=1472506909",S319:S347),2)</f>
        <v>150467.76999999999</v>
      </c>
      <c r="AG349" s="2">
        <f>ROUND(SUMIF(AA319:AA347,"=1472506909",T319:T347),2)</f>
        <v>0</v>
      </c>
      <c r="AH349" s="2">
        <f>SUMIF(AA319:AA347,"=1472506909",U319:U347)</f>
        <v>244.28044</v>
      </c>
      <c r="AI349" s="2">
        <f>SUMIF(AA319:AA347,"=1472506909",V319:V347)</f>
        <v>0</v>
      </c>
      <c r="AJ349" s="2">
        <f>ROUND(SUMIF(AA319:AA347,"=1472506909",W319:W347),2)</f>
        <v>0</v>
      </c>
      <c r="AK349" s="2">
        <f>ROUND(SUMIF(AA319:AA347,"=1472506909",X319:X347),2)</f>
        <v>105327.47</v>
      </c>
      <c r="AL349" s="2">
        <f>ROUND(SUMIF(AA319:AA347,"=1472506909",Y319:Y347),2)</f>
        <v>15046.8</v>
      </c>
      <c r="AM349" s="2"/>
      <c r="AN349" s="2"/>
      <c r="AO349" s="2">
        <f t="shared" ref="AO349:BD349" si="295">ROUND(BX349,2)</f>
        <v>0</v>
      </c>
      <c r="AP349" s="2">
        <f t="shared" si="295"/>
        <v>0</v>
      </c>
      <c r="AQ349" s="2">
        <f t="shared" si="295"/>
        <v>0</v>
      </c>
      <c r="AR349" s="2">
        <f t="shared" si="295"/>
        <v>295973.93</v>
      </c>
      <c r="AS349" s="2">
        <f t="shared" si="295"/>
        <v>0</v>
      </c>
      <c r="AT349" s="2">
        <f t="shared" si="295"/>
        <v>0</v>
      </c>
      <c r="AU349" s="2">
        <f t="shared" si="295"/>
        <v>295973.93</v>
      </c>
      <c r="AV349" s="2">
        <f t="shared" si="295"/>
        <v>824.55</v>
      </c>
      <c r="AW349" s="2">
        <f t="shared" si="295"/>
        <v>824.55</v>
      </c>
      <c r="AX349" s="2">
        <f t="shared" si="295"/>
        <v>0</v>
      </c>
      <c r="AY349" s="2">
        <f t="shared" si="295"/>
        <v>824.55</v>
      </c>
      <c r="AZ349" s="2">
        <f t="shared" si="295"/>
        <v>0</v>
      </c>
      <c r="BA349" s="2">
        <f t="shared" si="295"/>
        <v>0</v>
      </c>
      <c r="BB349" s="2">
        <f t="shared" si="295"/>
        <v>0</v>
      </c>
      <c r="BC349" s="2">
        <f t="shared" si="295"/>
        <v>0</v>
      </c>
      <c r="BD349" s="2">
        <f t="shared" si="295"/>
        <v>0</v>
      </c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>
        <f>ROUND(SUMIF(AA319:AA347,"=1472506909",FQ319:FQ347),2)</f>
        <v>0</v>
      </c>
      <c r="BY349" s="2">
        <f>ROUND(SUMIF(AA319:AA347,"=1472506909",FR319:FR347),2)</f>
        <v>0</v>
      </c>
      <c r="BZ349" s="2">
        <f>ROUND(SUMIF(AA319:AA347,"=1472506909",GL319:GL347),2)</f>
        <v>0</v>
      </c>
      <c r="CA349" s="2">
        <f>ROUND(SUMIF(AA319:AA347,"=1472506909",GM319:GM347),2)</f>
        <v>295973.93</v>
      </c>
      <c r="CB349" s="2">
        <f>ROUND(SUMIF(AA319:AA347,"=1472506909",GN319:GN347),2)</f>
        <v>0</v>
      </c>
      <c r="CC349" s="2">
        <f>ROUND(SUMIF(AA319:AA347,"=1472506909",GO319:GO347),2)</f>
        <v>0</v>
      </c>
      <c r="CD349" s="2">
        <f>ROUND(SUMIF(AA319:AA347,"=1472506909",GP319:GP347),2)</f>
        <v>295973.93</v>
      </c>
      <c r="CE349" s="2">
        <f>AC349-BX349</f>
        <v>824.55</v>
      </c>
      <c r="CF349" s="2">
        <f>AC349-BY349</f>
        <v>824.55</v>
      </c>
      <c r="CG349" s="2">
        <f>BX349-BZ349</f>
        <v>0</v>
      </c>
      <c r="CH349" s="2">
        <f>AC349-BX349-BY349+BZ349</f>
        <v>824.55</v>
      </c>
      <c r="CI349" s="2">
        <f>BY349-BZ349</f>
        <v>0</v>
      </c>
      <c r="CJ349" s="2">
        <f>ROUND(SUMIF(AA319:AA347,"=1472506909",GX319:GX347),2)</f>
        <v>0</v>
      </c>
      <c r="CK349" s="2">
        <f>ROUND(SUMIF(AA319:AA347,"=1472506909",GY319:GY347),2)</f>
        <v>0</v>
      </c>
      <c r="CL349" s="2">
        <f>ROUND(SUMIF(AA319:AA347,"=1472506909",GZ319:GZ347),2)</f>
        <v>0</v>
      </c>
      <c r="CM349" s="2">
        <f>ROUND(SUMIF(AA319:AA347,"=1472506909",HD319:HD347),2)</f>
        <v>0</v>
      </c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3"/>
      <c r="DH349" s="3"/>
      <c r="DI349" s="3"/>
      <c r="DJ349" s="3"/>
      <c r="DK349" s="3"/>
      <c r="DL349" s="3"/>
      <c r="DM349" s="3"/>
      <c r="DN349" s="3"/>
      <c r="DO349" s="3"/>
      <c r="DP349" s="3"/>
      <c r="DQ349" s="3"/>
      <c r="DR349" s="3"/>
      <c r="DS349" s="3"/>
      <c r="DT349" s="3"/>
      <c r="DU349" s="3"/>
      <c r="DV349" s="3"/>
      <c r="DW349" s="3"/>
      <c r="DX349" s="3"/>
      <c r="DY349" s="3"/>
      <c r="DZ349" s="3"/>
      <c r="EA349" s="3"/>
      <c r="EB349" s="3"/>
      <c r="EC349" s="3"/>
      <c r="ED349" s="3"/>
      <c r="EE349" s="3"/>
      <c r="EF349" s="3"/>
      <c r="EG349" s="3"/>
      <c r="EH349" s="3"/>
      <c r="EI349" s="3"/>
      <c r="EJ349" s="3"/>
      <c r="EK349" s="3"/>
      <c r="EL349" s="3"/>
      <c r="EM349" s="3"/>
      <c r="EN349" s="3"/>
      <c r="EO349" s="3"/>
      <c r="EP349" s="3"/>
      <c r="EQ349" s="3"/>
      <c r="ER349" s="3"/>
      <c r="ES349" s="3"/>
      <c r="ET349" s="3"/>
      <c r="EU349" s="3"/>
      <c r="EV349" s="3"/>
      <c r="EW349" s="3"/>
      <c r="EX349" s="3"/>
      <c r="EY349" s="3"/>
      <c r="EZ349" s="3"/>
      <c r="FA349" s="3"/>
      <c r="FB349" s="3"/>
      <c r="FC349" s="3"/>
      <c r="FD349" s="3"/>
      <c r="FE349" s="3"/>
      <c r="FF349" s="3"/>
      <c r="FG349" s="3"/>
      <c r="FH349" s="3"/>
      <c r="FI349" s="3"/>
      <c r="FJ349" s="3"/>
      <c r="FK349" s="3"/>
      <c r="FL349" s="3"/>
      <c r="FM349" s="3"/>
      <c r="FN349" s="3"/>
      <c r="FO349" s="3"/>
      <c r="FP349" s="3"/>
      <c r="FQ349" s="3"/>
      <c r="FR349" s="3"/>
      <c r="FS349" s="3"/>
      <c r="FT349" s="3"/>
      <c r="FU349" s="3"/>
      <c r="FV349" s="3"/>
      <c r="FW349" s="3"/>
      <c r="FX349" s="3"/>
      <c r="FY349" s="3"/>
      <c r="FZ349" s="3"/>
      <c r="GA349" s="3"/>
      <c r="GB349" s="3"/>
      <c r="GC349" s="3"/>
      <c r="GD349" s="3"/>
      <c r="GE349" s="3"/>
      <c r="GF349" s="3"/>
      <c r="GG349" s="3"/>
      <c r="GH349" s="3"/>
      <c r="GI349" s="3"/>
      <c r="GJ349" s="3"/>
      <c r="GK349" s="3"/>
      <c r="GL349" s="3"/>
      <c r="GM349" s="3"/>
      <c r="GN349" s="3"/>
      <c r="GO349" s="3"/>
      <c r="GP349" s="3"/>
      <c r="GQ349" s="3"/>
      <c r="GR349" s="3"/>
      <c r="GS349" s="3"/>
      <c r="GT349" s="3"/>
      <c r="GU349" s="3"/>
      <c r="GV349" s="3"/>
      <c r="GW349" s="3"/>
      <c r="GX349" s="3">
        <v>0</v>
      </c>
    </row>
    <row r="351" spans="1:245" x14ac:dyDescent="0.2">
      <c r="A351" s="4">
        <v>50</v>
      </c>
      <c r="B351" s="4">
        <v>0</v>
      </c>
      <c r="C351" s="4">
        <v>0</v>
      </c>
      <c r="D351" s="4">
        <v>1</v>
      </c>
      <c r="E351" s="4">
        <v>201</v>
      </c>
      <c r="F351" s="4">
        <f>ROUND(Source!O349,O351)</f>
        <v>165733.34</v>
      </c>
      <c r="G351" s="4" t="s">
        <v>36</v>
      </c>
      <c r="H351" s="4" t="s">
        <v>37</v>
      </c>
      <c r="I351" s="4"/>
      <c r="J351" s="4"/>
      <c r="K351" s="4">
        <v>201</v>
      </c>
      <c r="L351" s="4">
        <v>1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165733.34</v>
      </c>
      <c r="X351" s="4">
        <v>1</v>
      </c>
      <c r="Y351" s="4">
        <v>165733.34</v>
      </c>
      <c r="Z351" s="4"/>
      <c r="AA351" s="4"/>
      <c r="AB351" s="4"/>
    </row>
    <row r="352" spans="1:245" x14ac:dyDescent="0.2">
      <c r="A352" s="4">
        <v>50</v>
      </c>
      <c r="B352" s="4">
        <v>0</v>
      </c>
      <c r="C352" s="4">
        <v>0</v>
      </c>
      <c r="D352" s="4">
        <v>1</v>
      </c>
      <c r="E352" s="4">
        <v>202</v>
      </c>
      <c r="F352" s="4">
        <f>ROUND(Source!P349,O352)</f>
        <v>824.55</v>
      </c>
      <c r="G352" s="4" t="s">
        <v>38</v>
      </c>
      <c r="H352" s="4" t="s">
        <v>39</v>
      </c>
      <c r="I352" s="4"/>
      <c r="J352" s="4"/>
      <c r="K352" s="4">
        <v>202</v>
      </c>
      <c r="L352" s="4">
        <v>2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824.55</v>
      </c>
      <c r="X352" s="4">
        <v>1</v>
      </c>
      <c r="Y352" s="4">
        <v>824.55</v>
      </c>
      <c r="Z352" s="4"/>
      <c r="AA352" s="4"/>
      <c r="AB352" s="4"/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222</v>
      </c>
      <c r="F353" s="4">
        <f>ROUND(Source!AO349,O353)</f>
        <v>0</v>
      </c>
      <c r="G353" s="4" t="s">
        <v>40</v>
      </c>
      <c r="H353" s="4" t="s">
        <v>41</v>
      </c>
      <c r="I353" s="4"/>
      <c r="J353" s="4"/>
      <c r="K353" s="4">
        <v>222</v>
      </c>
      <c r="L353" s="4">
        <v>3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0</v>
      </c>
      <c r="X353" s="4">
        <v>1</v>
      </c>
      <c r="Y353" s="4">
        <v>0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225</v>
      </c>
      <c r="F354" s="4">
        <f>ROUND(Source!AV349,O354)</f>
        <v>824.55</v>
      </c>
      <c r="G354" s="4" t="s">
        <v>42</v>
      </c>
      <c r="H354" s="4" t="s">
        <v>43</v>
      </c>
      <c r="I354" s="4"/>
      <c r="J354" s="4"/>
      <c r="K354" s="4">
        <v>225</v>
      </c>
      <c r="L354" s="4">
        <v>4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824.55</v>
      </c>
      <c r="X354" s="4">
        <v>1</v>
      </c>
      <c r="Y354" s="4">
        <v>824.55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226</v>
      </c>
      <c r="F355" s="4">
        <f>ROUND(Source!AW349,O355)</f>
        <v>824.55</v>
      </c>
      <c r="G355" s="4" t="s">
        <v>44</v>
      </c>
      <c r="H355" s="4" t="s">
        <v>45</v>
      </c>
      <c r="I355" s="4"/>
      <c r="J355" s="4"/>
      <c r="K355" s="4">
        <v>226</v>
      </c>
      <c r="L355" s="4">
        <v>5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824.55</v>
      </c>
      <c r="X355" s="4">
        <v>1</v>
      </c>
      <c r="Y355" s="4">
        <v>824.55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227</v>
      </c>
      <c r="F356" s="4">
        <f>ROUND(Source!AX349,O356)</f>
        <v>0</v>
      </c>
      <c r="G356" s="4" t="s">
        <v>46</v>
      </c>
      <c r="H356" s="4" t="s">
        <v>47</v>
      </c>
      <c r="I356" s="4"/>
      <c r="J356" s="4"/>
      <c r="K356" s="4">
        <v>227</v>
      </c>
      <c r="L356" s="4">
        <v>6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0</v>
      </c>
      <c r="X356" s="4">
        <v>1</v>
      </c>
      <c r="Y356" s="4">
        <v>0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228</v>
      </c>
      <c r="F357" s="4">
        <f>ROUND(Source!AY349,O357)</f>
        <v>824.55</v>
      </c>
      <c r="G357" s="4" t="s">
        <v>48</v>
      </c>
      <c r="H357" s="4" t="s">
        <v>49</v>
      </c>
      <c r="I357" s="4"/>
      <c r="J357" s="4"/>
      <c r="K357" s="4">
        <v>228</v>
      </c>
      <c r="L357" s="4">
        <v>7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824.55</v>
      </c>
      <c r="X357" s="4">
        <v>1</v>
      </c>
      <c r="Y357" s="4">
        <v>824.55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216</v>
      </c>
      <c r="F358" s="4">
        <f>ROUND(Source!AP349,O358)</f>
        <v>0</v>
      </c>
      <c r="G358" s="4" t="s">
        <v>50</v>
      </c>
      <c r="H358" s="4" t="s">
        <v>51</v>
      </c>
      <c r="I358" s="4"/>
      <c r="J358" s="4"/>
      <c r="K358" s="4">
        <v>216</v>
      </c>
      <c r="L358" s="4">
        <v>8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223</v>
      </c>
      <c r="F359" s="4">
        <f>ROUND(Source!AQ349,O359)</f>
        <v>0</v>
      </c>
      <c r="G359" s="4" t="s">
        <v>52</v>
      </c>
      <c r="H359" s="4" t="s">
        <v>53</v>
      </c>
      <c r="I359" s="4"/>
      <c r="J359" s="4"/>
      <c r="K359" s="4">
        <v>223</v>
      </c>
      <c r="L359" s="4">
        <v>9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0</v>
      </c>
      <c r="X359" s="4">
        <v>1</v>
      </c>
      <c r="Y359" s="4">
        <v>0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229</v>
      </c>
      <c r="F360" s="4">
        <f>ROUND(Source!AZ349,O360)</f>
        <v>0</v>
      </c>
      <c r="G360" s="4" t="s">
        <v>54</v>
      </c>
      <c r="H360" s="4" t="s">
        <v>55</v>
      </c>
      <c r="I360" s="4"/>
      <c r="J360" s="4"/>
      <c r="K360" s="4">
        <v>229</v>
      </c>
      <c r="L360" s="4">
        <v>10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203</v>
      </c>
      <c r="F361" s="4">
        <f>ROUND(Source!Q349,O361)</f>
        <v>14441.02</v>
      </c>
      <c r="G361" s="4" t="s">
        <v>56</v>
      </c>
      <c r="H361" s="4" t="s">
        <v>57</v>
      </c>
      <c r="I361" s="4"/>
      <c r="J361" s="4"/>
      <c r="K361" s="4">
        <v>203</v>
      </c>
      <c r="L361" s="4">
        <v>11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14441.02</v>
      </c>
      <c r="X361" s="4">
        <v>1</v>
      </c>
      <c r="Y361" s="4">
        <v>14441.02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231</v>
      </c>
      <c r="F362" s="4">
        <f>ROUND(Source!BB349,O362)</f>
        <v>0</v>
      </c>
      <c r="G362" s="4" t="s">
        <v>58</v>
      </c>
      <c r="H362" s="4" t="s">
        <v>59</v>
      </c>
      <c r="I362" s="4"/>
      <c r="J362" s="4"/>
      <c r="K362" s="4">
        <v>231</v>
      </c>
      <c r="L362" s="4">
        <v>12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204</v>
      </c>
      <c r="F363" s="4">
        <f>ROUND(Source!R349,O363)</f>
        <v>9135.49</v>
      </c>
      <c r="G363" s="4" t="s">
        <v>60</v>
      </c>
      <c r="H363" s="4" t="s">
        <v>61</v>
      </c>
      <c r="I363" s="4"/>
      <c r="J363" s="4"/>
      <c r="K363" s="4">
        <v>204</v>
      </c>
      <c r="L363" s="4">
        <v>13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9135.49</v>
      </c>
      <c r="X363" s="4">
        <v>1</v>
      </c>
      <c r="Y363" s="4">
        <v>9135.49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205</v>
      </c>
      <c r="F364" s="4">
        <f>ROUND(Source!S349,O364)</f>
        <v>150467.76999999999</v>
      </c>
      <c r="G364" s="4" t="s">
        <v>62</v>
      </c>
      <c r="H364" s="4" t="s">
        <v>63</v>
      </c>
      <c r="I364" s="4"/>
      <c r="J364" s="4"/>
      <c r="K364" s="4">
        <v>205</v>
      </c>
      <c r="L364" s="4">
        <v>14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150467.76999999999</v>
      </c>
      <c r="X364" s="4">
        <v>1</v>
      </c>
      <c r="Y364" s="4">
        <v>150467.76999999999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232</v>
      </c>
      <c r="F365" s="4">
        <f>ROUND(Source!BC349,O365)</f>
        <v>0</v>
      </c>
      <c r="G365" s="4" t="s">
        <v>64</v>
      </c>
      <c r="H365" s="4" t="s">
        <v>65</v>
      </c>
      <c r="I365" s="4"/>
      <c r="J365" s="4"/>
      <c r="K365" s="4">
        <v>232</v>
      </c>
      <c r="L365" s="4">
        <v>15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0</v>
      </c>
      <c r="X365" s="4">
        <v>1</v>
      </c>
      <c r="Y365" s="4">
        <v>0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214</v>
      </c>
      <c r="F366" s="4">
        <f>ROUND(Source!AS349,O366)</f>
        <v>0</v>
      </c>
      <c r="G366" s="4" t="s">
        <v>66</v>
      </c>
      <c r="H366" s="4" t="s">
        <v>67</v>
      </c>
      <c r="I366" s="4"/>
      <c r="J366" s="4"/>
      <c r="K366" s="4">
        <v>214</v>
      </c>
      <c r="L366" s="4">
        <v>16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8" x14ac:dyDescent="0.2">
      <c r="A367" s="4">
        <v>50</v>
      </c>
      <c r="B367" s="4">
        <v>0</v>
      </c>
      <c r="C367" s="4">
        <v>0</v>
      </c>
      <c r="D367" s="4">
        <v>1</v>
      </c>
      <c r="E367" s="4">
        <v>215</v>
      </c>
      <c r="F367" s="4">
        <f>ROUND(Source!AT349,O367)</f>
        <v>0</v>
      </c>
      <c r="G367" s="4" t="s">
        <v>68</v>
      </c>
      <c r="H367" s="4" t="s">
        <v>69</v>
      </c>
      <c r="I367" s="4"/>
      <c r="J367" s="4"/>
      <c r="K367" s="4">
        <v>215</v>
      </c>
      <c r="L367" s="4">
        <v>17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8" x14ac:dyDescent="0.2">
      <c r="A368" s="4">
        <v>50</v>
      </c>
      <c r="B368" s="4">
        <v>0</v>
      </c>
      <c r="C368" s="4">
        <v>0</v>
      </c>
      <c r="D368" s="4">
        <v>1</v>
      </c>
      <c r="E368" s="4">
        <v>217</v>
      </c>
      <c r="F368" s="4">
        <f>ROUND(Source!AU349,O368)</f>
        <v>295973.93</v>
      </c>
      <c r="G368" s="4" t="s">
        <v>70</v>
      </c>
      <c r="H368" s="4" t="s">
        <v>71</v>
      </c>
      <c r="I368" s="4"/>
      <c r="J368" s="4"/>
      <c r="K368" s="4">
        <v>217</v>
      </c>
      <c r="L368" s="4">
        <v>18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295973.93</v>
      </c>
      <c r="X368" s="4">
        <v>1</v>
      </c>
      <c r="Y368" s="4">
        <v>295973.93</v>
      </c>
      <c r="Z368" s="4"/>
      <c r="AA368" s="4"/>
      <c r="AB368" s="4"/>
    </row>
    <row r="369" spans="1:245" x14ac:dyDescent="0.2">
      <c r="A369" s="4">
        <v>50</v>
      </c>
      <c r="B369" s="4">
        <v>0</v>
      </c>
      <c r="C369" s="4">
        <v>0</v>
      </c>
      <c r="D369" s="4">
        <v>1</v>
      </c>
      <c r="E369" s="4">
        <v>230</v>
      </c>
      <c r="F369" s="4">
        <f>ROUND(Source!BA349,O369)</f>
        <v>0</v>
      </c>
      <c r="G369" s="4" t="s">
        <v>72</v>
      </c>
      <c r="H369" s="4" t="s">
        <v>73</v>
      </c>
      <c r="I369" s="4"/>
      <c r="J369" s="4"/>
      <c r="K369" s="4">
        <v>230</v>
      </c>
      <c r="L369" s="4">
        <v>19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45" x14ac:dyDescent="0.2">
      <c r="A370" s="4">
        <v>50</v>
      </c>
      <c r="B370" s="4">
        <v>0</v>
      </c>
      <c r="C370" s="4">
        <v>0</v>
      </c>
      <c r="D370" s="4">
        <v>1</v>
      </c>
      <c r="E370" s="4">
        <v>206</v>
      </c>
      <c r="F370" s="4">
        <f>ROUND(Source!T349,O370)</f>
        <v>0</v>
      </c>
      <c r="G370" s="4" t="s">
        <v>74</v>
      </c>
      <c r="H370" s="4" t="s">
        <v>75</v>
      </c>
      <c r="I370" s="4"/>
      <c r="J370" s="4"/>
      <c r="K370" s="4">
        <v>206</v>
      </c>
      <c r="L370" s="4">
        <v>20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45" x14ac:dyDescent="0.2">
      <c r="A371" s="4">
        <v>50</v>
      </c>
      <c r="B371" s="4">
        <v>0</v>
      </c>
      <c r="C371" s="4">
        <v>0</v>
      </c>
      <c r="D371" s="4">
        <v>1</v>
      </c>
      <c r="E371" s="4">
        <v>207</v>
      </c>
      <c r="F371" s="4">
        <f>Source!U349</f>
        <v>244.28044</v>
      </c>
      <c r="G371" s="4" t="s">
        <v>76</v>
      </c>
      <c r="H371" s="4" t="s">
        <v>77</v>
      </c>
      <c r="I371" s="4"/>
      <c r="J371" s="4"/>
      <c r="K371" s="4">
        <v>207</v>
      </c>
      <c r="L371" s="4">
        <v>21</v>
      </c>
      <c r="M371" s="4">
        <v>3</v>
      </c>
      <c r="N371" s="4" t="s">
        <v>3</v>
      </c>
      <c r="O371" s="4">
        <v>-1</v>
      </c>
      <c r="P371" s="4"/>
      <c r="Q371" s="4"/>
      <c r="R371" s="4"/>
      <c r="S371" s="4"/>
      <c r="T371" s="4"/>
      <c r="U371" s="4"/>
      <c r="V371" s="4"/>
      <c r="W371" s="4">
        <v>244.28044</v>
      </c>
      <c r="X371" s="4">
        <v>1</v>
      </c>
      <c r="Y371" s="4">
        <v>244.28044</v>
      </c>
      <c r="Z371" s="4"/>
      <c r="AA371" s="4"/>
      <c r="AB371" s="4"/>
    </row>
    <row r="372" spans="1:245" x14ac:dyDescent="0.2">
      <c r="A372" s="4">
        <v>50</v>
      </c>
      <c r="B372" s="4">
        <v>0</v>
      </c>
      <c r="C372" s="4">
        <v>0</v>
      </c>
      <c r="D372" s="4">
        <v>1</v>
      </c>
      <c r="E372" s="4">
        <v>208</v>
      </c>
      <c r="F372" s="4">
        <f>Source!V349</f>
        <v>0</v>
      </c>
      <c r="G372" s="4" t="s">
        <v>78</v>
      </c>
      <c r="H372" s="4" t="s">
        <v>79</v>
      </c>
      <c r="I372" s="4"/>
      <c r="J372" s="4"/>
      <c r="K372" s="4">
        <v>208</v>
      </c>
      <c r="L372" s="4">
        <v>22</v>
      </c>
      <c r="M372" s="4">
        <v>3</v>
      </c>
      <c r="N372" s="4" t="s">
        <v>3</v>
      </c>
      <c r="O372" s="4">
        <v>-1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45" x14ac:dyDescent="0.2">
      <c r="A373" s="4">
        <v>50</v>
      </c>
      <c r="B373" s="4">
        <v>0</v>
      </c>
      <c r="C373" s="4">
        <v>0</v>
      </c>
      <c r="D373" s="4">
        <v>1</v>
      </c>
      <c r="E373" s="4">
        <v>209</v>
      </c>
      <c r="F373" s="4">
        <f>ROUND(Source!W349,O373)</f>
        <v>0</v>
      </c>
      <c r="G373" s="4" t="s">
        <v>80</v>
      </c>
      <c r="H373" s="4" t="s">
        <v>81</v>
      </c>
      <c r="I373" s="4"/>
      <c r="J373" s="4"/>
      <c r="K373" s="4">
        <v>209</v>
      </c>
      <c r="L373" s="4">
        <v>23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45" x14ac:dyDescent="0.2">
      <c r="A374" s="4">
        <v>50</v>
      </c>
      <c r="B374" s="4">
        <v>0</v>
      </c>
      <c r="C374" s="4">
        <v>0</v>
      </c>
      <c r="D374" s="4">
        <v>1</v>
      </c>
      <c r="E374" s="4">
        <v>233</v>
      </c>
      <c r="F374" s="4">
        <f>ROUND(Source!BD349,O374)</f>
        <v>0</v>
      </c>
      <c r="G374" s="4" t="s">
        <v>82</v>
      </c>
      <c r="H374" s="4" t="s">
        <v>83</v>
      </c>
      <c r="I374" s="4"/>
      <c r="J374" s="4"/>
      <c r="K374" s="4">
        <v>233</v>
      </c>
      <c r="L374" s="4">
        <v>24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45" x14ac:dyDescent="0.2">
      <c r="A375" s="4">
        <v>50</v>
      </c>
      <c r="B375" s="4">
        <v>0</v>
      </c>
      <c r="C375" s="4">
        <v>0</v>
      </c>
      <c r="D375" s="4">
        <v>1</v>
      </c>
      <c r="E375" s="4">
        <v>210</v>
      </c>
      <c r="F375" s="4">
        <f>ROUND(Source!X349,O375)</f>
        <v>105327.47</v>
      </c>
      <c r="G375" s="4" t="s">
        <v>84</v>
      </c>
      <c r="H375" s="4" t="s">
        <v>85</v>
      </c>
      <c r="I375" s="4"/>
      <c r="J375" s="4"/>
      <c r="K375" s="4">
        <v>210</v>
      </c>
      <c r="L375" s="4">
        <v>25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105327.47</v>
      </c>
      <c r="X375" s="4">
        <v>1</v>
      </c>
      <c r="Y375" s="4">
        <v>105327.47</v>
      </c>
      <c r="Z375" s="4"/>
      <c r="AA375" s="4"/>
      <c r="AB375" s="4"/>
    </row>
    <row r="376" spans="1:245" x14ac:dyDescent="0.2">
      <c r="A376" s="4">
        <v>50</v>
      </c>
      <c r="B376" s="4">
        <v>0</v>
      </c>
      <c r="C376" s="4">
        <v>0</v>
      </c>
      <c r="D376" s="4">
        <v>1</v>
      </c>
      <c r="E376" s="4">
        <v>211</v>
      </c>
      <c r="F376" s="4">
        <f>ROUND(Source!Y349,O376)</f>
        <v>15046.8</v>
      </c>
      <c r="G376" s="4" t="s">
        <v>86</v>
      </c>
      <c r="H376" s="4" t="s">
        <v>87</v>
      </c>
      <c r="I376" s="4"/>
      <c r="J376" s="4"/>
      <c r="K376" s="4">
        <v>211</v>
      </c>
      <c r="L376" s="4">
        <v>26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15046.8</v>
      </c>
      <c r="X376" s="4">
        <v>1</v>
      </c>
      <c r="Y376" s="4">
        <v>15046.8</v>
      </c>
      <c r="Z376" s="4"/>
      <c r="AA376" s="4"/>
      <c r="AB376" s="4"/>
    </row>
    <row r="377" spans="1:245" x14ac:dyDescent="0.2">
      <c r="A377" s="4">
        <v>50</v>
      </c>
      <c r="B377" s="4">
        <v>0</v>
      </c>
      <c r="C377" s="4">
        <v>0</v>
      </c>
      <c r="D377" s="4">
        <v>1</v>
      </c>
      <c r="E377" s="4">
        <v>224</v>
      </c>
      <c r="F377" s="4">
        <f>ROUND(Source!AR349,O377)</f>
        <v>295973.93</v>
      </c>
      <c r="G377" s="4" t="s">
        <v>88</v>
      </c>
      <c r="H377" s="4" t="s">
        <v>89</v>
      </c>
      <c r="I377" s="4"/>
      <c r="J377" s="4"/>
      <c r="K377" s="4">
        <v>224</v>
      </c>
      <c r="L377" s="4">
        <v>27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295973.93</v>
      </c>
      <c r="X377" s="4">
        <v>1</v>
      </c>
      <c r="Y377" s="4">
        <v>295973.93</v>
      </c>
      <c r="Z377" s="4"/>
      <c r="AA377" s="4"/>
      <c r="AB377" s="4"/>
    </row>
    <row r="379" spans="1:245" x14ac:dyDescent="0.2">
      <c r="A379" s="1">
        <v>5</v>
      </c>
      <c r="B379" s="1">
        <v>1</v>
      </c>
      <c r="C379" s="1"/>
      <c r="D379" s="1">
        <f>ROW(A445)</f>
        <v>445</v>
      </c>
      <c r="E379" s="1"/>
      <c r="F379" s="1" t="s">
        <v>15</v>
      </c>
      <c r="G379" s="1" t="s">
        <v>273</v>
      </c>
      <c r="H379" s="1" t="s">
        <v>3</v>
      </c>
      <c r="I379" s="1">
        <v>0</v>
      </c>
      <c r="J379" s="1"/>
      <c r="K379" s="1">
        <v>-1</v>
      </c>
      <c r="L379" s="1"/>
      <c r="M379" s="1" t="s">
        <v>3</v>
      </c>
      <c r="N379" s="1"/>
      <c r="O379" s="1"/>
      <c r="P379" s="1"/>
      <c r="Q379" s="1"/>
      <c r="R379" s="1"/>
      <c r="S379" s="1">
        <v>0</v>
      </c>
      <c r="T379" s="1"/>
      <c r="U379" s="1" t="s">
        <v>3</v>
      </c>
      <c r="V379" s="1">
        <v>0</v>
      </c>
      <c r="W379" s="1"/>
      <c r="X379" s="1"/>
      <c r="Y379" s="1"/>
      <c r="Z379" s="1"/>
      <c r="AA379" s="1"/>
      <c r="AB379" s="1" t="s">
        <v>3</v>
      </c>
      <c r="AC379" s="1" t="s">
        <v>3</v>
      </c>
      <c r="AD379" s="1" t="s">
        <v>3</v>
      </c>
      <c r="AE379" s="1" t="s">
        <v>3</v>
      </c>
      <c r="AF379" s="1" t="s">
        <v>3</v>
      </c>
      <c r="AG379" s="1" t="s">
        <v>3</v>
      </c>
      <c r="AH379" s="1"/>
      <c r="AI379" s="1"/>
      <c r="AJ379" s="1"/>
      <c r="AK379" s="1"/>
      <c r="AL379" s="1"/>
      <c r="AM379" s="1"/>
      <c r="AN379" s="1"/>
      <c r="AO379" s="1"/>
      <c r="AP379" s="1" t="s">
        <v>3</v>
      </c>
      <c r="AQ379" s="1" t="s">
        <v>3</v>
      </c>
      <c r="AR379" s="1" t="s">
        <v>3</v>
      </c>
      <c r="AS379" s="1"/>
      <c r="AT379" s="1"/>
      <c r="AU379" s="1"/>
      <c r="AV379" s="1"/>
      <c r="AW379" s="1"/>
      <c r="AX379" s="1"/>
      <c r="AY379" s="1"/>
      <c r="AZ379" s="1" t="s">
        <v>3</v>
      </c>
      <c r="BA379" s="1"/>
      <c r="BB379" s="1" t="s">
        <v>3</v>
      </c>
      <c r="BC379" s="1" t="s">
        <v>3</v>
      </c>
      <c r="BD379" s="1" t="s">
        <v>3</v>
      </c>
      <c r="BE379" s="1" t="s">
        <v>3</v>
      </c>
      <c r="BF379" s="1" t="s">
        <v>3</v>
      </c>
      <c r="BG379" s="1" t="s">
        <v>3</v>
      </c>
      <c r="BH379" s="1" t="s">
        <v>3</v>
      </c>
      <c r="BI379" s="1" t="s">
        <v>3</v>
      </c>
      <c r="BJ379" s="1" t="s">
        <v>3</v>
      </c>
      <c r="BK379" s="1" t="s">
        <v>3</v>
      </c>
      <c r="BL379" s="1" t="s">
        <v>3</v>
      </c>
      <c r="BM379" s="1" t="s">
        <v>3</v>
      </c>
      <c r="BN379" s="1" t="s">
        <v>3</v>
      </c>
      <c r="BO379" s="1" t="s">
        <v>3</v>
      </c>
      <c r="BP379" s="1" t="s">
        <v>3</v>
      </c>
      <c r="BQ379" s="1"/>
      <c r="BR379" s="1"/>
      <c r="BS379" s="1"/>
      <c r="BT379" s="1"/>
      <c r="BU379" s="1"/>
      <c r="BV379" s="1"/>
      <c r="BW379" s="1"/>
      <c r="BX379" s="1">
        <v>0</v>
      </c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>
        <v>0</v>
      </c>
    </row>
    <row r="381" spans="1:245" x14ac:dyDescent="0.2">
      <c r="A381" s="2">
        <v>52</v>
      </c>
      <c r="B381" s="2">
        <f t="shared" ref="B381:G381" si="296">B445</f>
        <v>1</v>
      </c>
      <c r="C381" s="2">
        <f t="shared" si="296"/>
        <v>5</v>
      </c>
      <c r="D381" s="2">
        <f t="shared" si="296"/>
        <v>379</v>
      </c>
      <c r="E381" s="2">
        <f t="shared" si="296"/>
        <v>0</v>
      </c>
      <c r="F381" s="2" t="str">
        <f t="shared" si="296"/>
        <v>Новый подраздел</v>
      </c>
      <c r="G381" s="2" t="str">
        <f t="shared" si="296"/>
        <v>2.2 Автоматизированный узел управления системой отопления и вентиляции воздуха</v>
      </c>
      <c r="H381" s="2"/>
      <c r="I381" s="2"/>
      <c r="J381" s="2"/>
      <c r="K381" s="2"/>
      <c r="L381" s="2"/>
      <c r="M381" s="2"/>
      <c r="N381" s="2"/>
      <c r="O381" s="2">
        <f t="shared" ref="O381:AT381" si="297">O445</f>
        <v>44473.49</v>
      </c>
      <c r="P381" s="2">
        <f t="shared" si="297"/>
        <v>2879.05</v>
      </c>
      <c r="Q381" s="2">
        <f t="shared" si="297"/>
        <v>1407.24</v>
      </c>
      <c r="R381" s="2">
        <f t="shared" si="297"/>
        <v>892.28</v>
      </c>
      <c r="S381" s="2">
        <f t="shared" si="297"/>
        <v>40187.199999999997</v>
      </c>
      <c r="T381" s="2">
        <f t="shared" si="297"/>
        <v>0</v>
      </c>
      <c r="U381" s="2">
        <f t="shared" si="297"/>
        <v>58.637999999999984</v>
      </c>
      <c r="V381" s="2">
        <f t="shared" si="297"/>
        <v>0</v>
      </c>
      <c r="W381" s="2">
        <f t="shared" si="297"/>
        <v>0</v>
      </c>
      <c r="X381" s="2">
        <f t="shared" si="297"/>
        <v>28131.06</v>
      </c>
      <c r="Y381" s="2">
        <f t="shared" si="297"/>
        <v>4018.72</v>
      </c>
      <c r="Z381" s="2">
        <f t="shared" si="297"/>
        <v>0</v>
      </c>
      <c r="AA381" s="2">
        <f t="shared" si="297"/>
        <v>0</v>
      </c>
      <c r="AB381" s="2">
        <f t="shared" si="297"/>
        <v>44473.49</v>
      </c>
      <c r="AC381" s="2">
        <f t="shared" si="297"/>
        <v>2879.05</v>
      </c>
      <c r="AD381" s="2">
        <f t="shared" si="297"/>
        <v>1407.24</v>
      </c>
      <c r="AE381" s="2">
        <f t="shared" si="297"/>
        <v>892.28</v>
      </c>
      <c r="AF381" s="2">
        <f t="shared" si="297"/>
        <v>40187.199999999997</v>
      </c>
      <c r="AG381" s="2">
        <f t="shared" si="297"/>
        <v>0</v>
      </c>
      <c r="AH381" s="2">
        <f t="shared" si="297"/>
        <v>58.637999999999984</v>
      </c>
      <c r="AI381" s="2">
        <f t="shared" si="297"/>
        <v>0</v>
      </c>
      <c r="AJ381" s="2">
        <f t="shared" si="297"/>
        <v>0</v>
      </c>
      <c r="AK381" s="2">
        <f t="shared" si="297"/>
        <v>28131.06</v>
      </c>
      <c r="AL381" s="2">
        <f t="shared" si="297"/>
        <v>4018.72</v>
      </c>
      <c r="AM381" s="2">
        <f t="shared" si="297"/>
        <v>0</v>
      </c>
      <c r="AN381" s="2">
        <f t="shared" si="297"/>
        <v>0</v>
      </c>
      <c r="AO381" s="2">
        <f t="shared" si="297"/>
        <v>0</v>
      </c>
      <c r="AP381" s="2">
        <f t="shared" si="297"/>
        <v>0</v>
      </c>
      <c r="AQ381" s="2">
        <f t="shared" si="297"/>
        <v>0</v>
      </c>
      <c r="AR381" s="2">
        <f t="shared" si="297"/>
        <v>77586.929999999993</v>
      </c>
      <c r="AS381" s="2">
        <f t="shared" si="297"/>
        <v>0</v>
      </c>
      <c r="AT381" s="2">
        <f t="shared" si="297"/>
        <v>0</v>
      </c>
      <c r="AU381" s="2">
        <f t="shared" ref="AU381:BZ381" si="298">AU445</f>
        <v>77586.929999999993</v>
      </c>
      <c r="AV381" s="2">
        <f t="shared" si="298"/>
        <v>2879.05</v>
      </c>
      <c r="AW381" s="2">
        <f t="shared" si="298"/>
        <v>2879.05</v>
      </c>
      <c r="AX381" s="2">
        <f t="shared" si="298"/>
        <v>0</v>
      </c>
      <c r="AY381" s="2">
        <f t="shared" si="298"/>
        <v>2879.05</v>
      </c>
      <c r="AZ381" s="2">
        <f t="shared" si="298"/>
        <v>0</v>
      </c>
      <c r="BA381" s="2">
        <f t="shared" si="298"/>
        <v>0</v>
      </c>
      <c r="BB381" s="2">
        <f t="shared" si="298"/>
        <v>0</v>
      </c>
      <c r="BC381" s="2">
        <f t="shared" si="298"/>
        <v>0</v>
      </c>
      <c r="BD381" s="2">
        <f t="shared" si="298"/>
        <v>0</v>
      </c>
      <c r="BE381" s="2">
        <f t="shared" si="298"/>
        <v>0</v>
      </c>
      <c r="BF381" s="2">
        <f t="shared" si="298"/>
        <v>0</v>
      </c>
      <c r="BG381" s="2">
        <f t="shared" si="298"/>
        <v>0</v>
      </c>
      <c r="BH381" s="2">
        <f t="shared" si="298"/>
        <v>0</v>
      </c>
      <c r="BI381" s="2">
        <f t="shared" si="298"/>
        <v>0</v>
      </c>
      <c r="BJ381" s="2">
        <f t="shared" si="298"/>
        <v>0</v>
      </c>
      <c r="BK381" s="2">
        <f t="shared" si="298"/>
        <v>0</v>
      </c>
      <c r="BL381" s="2">
        <f t="shared" si="298"/>
        <v>0</v>
      </c>
      <c r="BM381" s="2">
        <f t="shared" si="298"/>
        <v>0</v>
      </c>
      <c r="BN381" s="2">
        <f t="shared" si="298"/>
        <v>0</v>
      </c>
      <c r="BO381" s="2">
        <f t="shared" si="298"/>
        <v>0</v>
      </c>
      <c r="BP381" s="2">
        <f t="shared" si="298"/>
        <v>0</v>
      </c>
      <c r="BQ381" s="2">
        <f t="shared" si="298"/>
        <v>0</v>
      </c>
      <c r="BR381" s="2">
        <f t="shared" si="298"/>
        <v>0</v>
      </c>
      <c r="BS381" s="2">
        <f t="shared" si="298"/>
        <v>0</v>
      </c>
      <c r="BT381" s="2">
        <f t="shared" si="298"/>
        <v>0</v>
      </c>
      <c r="BU381" s="2">
        <f t="shared" si="298"/>
        <v>0</v>
      </c>
      <c r="BV381" s="2">
        <f t="shared" si="298"/>
        <v>0</v>
      </c>
      <c r="BW381" s="2">
        <f t="shared" si="298"/>
        <v>0</v>
      </c>
      <c r="BX381" s="2">
        <f t="shared" si="298"/>
        <v>0</v>
      </c>
      <c r="BY381" s="2">
        <f t="shared" si="298"/>
        <v>0</v>
      </c>
      <c r="BZ381" s="2">
        <f t="shared" si="298"/>
        <v>0</v>
      </c>
      <c r="CA381" s="2">
        <f t="shared" ref="CA381:DF381" si="299">CA445</f>
        <v>77586.929999999993</v>
      </c>
      <c r="CB381" s="2">
        <f t="shared" si="299"/>
        <v>0</v>
      </c>
      <c r="CC381" s="2">
        <f t="shared" si="299"/>
        <v>0</v>
      </c>
      <c r="CD381" s="2">
        <f t="shared" si="299"/>
        <v>77586.929999999993</v>
      </c>
      <c r="CE381" s="2">
        <f t="shared" si="299"/>
        <v>2879.05</v>
      </c>
      <c r="CF381" s="2">
        <f t="shared" si="299"/>
        <v>2879.05</v>
      </c>
      <c r="CG381" s="2">
        <f t="shared" si="299"/>
        <v>0</v>
      </c>
      <c r="CH381" s="2">
        <f t="shared" si="299"/>
        <v>2879.05</v>
      </c>
      <c r="CI381" s="2">
        <f t="shared" si="299"/>
        <v>0</v>
      </c>
      <c r="CJ381" s="2">
        <f t="shared" si="299"/>
        <v>0</v>
      </c>
      <c r="CK381" s="2">
        <f t="shared" si="299"/>
        <v>0</v>
      </c>
      <c r="CL381" s="2">
        <f t="shared" si="299"/>
        <v>0</v>
      </c>
      <c r="CM381" s="2">
        <f t="shared" si="299"/>
        <v>0</v>
      </c>
      <c r="CN381" s="2">
        <f t="shared" si="299"/>
        <v>0</v>
      </c>
      <c r="CO381" s="2">
        <f t="shared" si="299"/>
        <v>0</v>
      </c>
      <c r="CP381" s="2">
        <f t="shared" si="299"/>
        <v>0</v>
      </c>
      <c r="CQ381" s="2">
        <f t="shared" si="299"/>
        <v>0</v>
      </c>
      <c r="CR381" s="2">
        <f t="shared" si="299"/>
        <v>0</v>
      </c>
      <c r="CS381" s="2">
        <f t="shared" si="299"/>
        <v>0</v>
      </c>
      <c r="CT381" s="2">
        <f t="shared" si="299"/>
        <v>0</v>
      </c>
      <c r="CU381" s="2">
        <f t="shared" si="299"/>
        <v>0</v>
      </c>
      <c r="CV381" s="2">
        <f t="shared" si="299"/>
        <v>0</v>
      </c>
      <c r="CW381" s="2">
        <f t="shared" si="299"/>
        <v>0</v>
      </c>
      <c r="CX381" s="2">
        <f t="shared" si="299"/>
        <v>0</v>
      </c>
      <c r="CY381" s="2">
        <f t="shared" si="299"/>
        <v>0</v>
      </c>
      <c r="CZ381" s="2">
        <f t="shared" si="299"/>
        <v>0</v>
      </c>
      <c r="DA381" s="2">
        <f t="shared" si="299"/>
        <v>0</v>
      </c>
      <c r="DB381" s="2">
        <f t="shared" si="299"/>
        <v>0</v>
      </c>
      <c r="DC381" s="2">
        <f t="shared" si="299"/>
        <v>0</v>
      </c>
      <c r="DD381" s="2">
        <f t="shared" si="299"/>
        <v>0</v>
      </c>
      <c r="DE381" s="2">
        <f t="shared" si="299"/>
        <v>0</v>
      </c>
      <c r="DF381" s="2">
        <f t="shared" si="299"/>
        <v>0</v>
      </c>
      <c r="DG381" s="3">
        <f t="shared" ref="DG381:EL381" si="300">DG445</f>
        <v>0</v>
      </c>
      <c r="DH381" s="3">
        <f t="shared" si="300"/>
        <v>0</v>
      </c>
      <c r="DI381" s="3">
        <f t="shared" si="300"/>
        <v>0</v>
      </c>
      <c r="DJ381" s="3">
        <f t="shared" si="300"/>
        <v>0</v>
      </c>
      <c r="DK381" s="3">
        <f t="shared" si="300"/>
        <v>0</v>
      </c>
      <c r="DL381" s="3">
        <f t="shared" si="300"/>
        <v>0</v>
      </c>
      <c r="DM381" s="3">
        <f t="shared" si="300"/>
        <v>0</v>
      </c>
      <c r="DN381" s="3">
        <f t="shared" si="300"/>
        <v>0</v>
      </c>
      <c r="DO381" s="3">
        <f t="shared" si="300"/>
        <v>0</v>
      </c>
      <c r="DP381" s="3">
        <f t="shared" si="300"/>
        <v>0</v>
      </c>
      <c r="DQ381" s="3">
        <f t="shared" si="300"/>
        <v>0</v>
      </c>
      <c r="DR381" s="3">
        <f t="shared" si="300"/>
        <v>0</v>
      </c>
      <c r="DS381" s="3">
        <f t="shared" si="300"/>
        <v>0</v>
      </c>
      <c r="DT381" s="3">
        <f t="shared" si="300"/>
        <v>0</v>
      </c>
      <c r="DU381" s="3">
        <f t="shared" si="300"/>
        <v>0</v>
      </c>
      <c r="DV381" s="3">
        <f t="shared" si="300"/>
        <v>0</v>
      </c>
      <c r="DW381" s="3">
        <f t="shared" si="300"/>
        <v>0</v>
      </c>
      <c r="DX381" s="3">
        <f t="shared" si="300"/>
        <v>0</v>
      </c>
      <c r="DY381" s="3">
        <f t="shared" si="300"/>
        <v>0</v>
      </c>
      <c r="DZ381" s="3">
        <f t="shared" si="300"/>
        <v>0</v>
      </c>
      <c r="EA381" s="3">
        <f t="shared" si="300"/>
        <v>0</v>
      </c>
      <c r="EB381" s="3">
        <f t="shared" si="300"/>
        <v>0</v>
      </c>
      <c r="EC381" s="3">
        <f t="shared" si="300"/>
        <v>0</v>
      </c>
      <c r="ED381" s="3">
        <f t="shared" si="300"/>
        <v>0</v>
      </c>
      <c r="EE381" s="3">
        <f t="shared" si="300"/>
        <v>0</v>
      </c>
      <c r="EF381" s="3">
        <f t="shared" si="300"/>
        <v>0</v>
      </c>
      <c r="EG381" s="3">
        <f t="shared" si="300"/>
        <v>0</v>
      </c>
      <c r="EH381" s="3">
        <f t="shared" si="300"/>
        <v>0</v>
      </c>
      <c r="EI381" s="3">
        <f t="shared" si="300"/>
        <v>0</v>
      </c>
      <c r="EJ381" s="3">
        <f t="shared" si="300"/>
        <v>0</v>
      </c>
      <c r="EK381" s="3">
        <f t="shared" si="300"/>
        <v>0</v>
      </c>
      <c r="EL381" s="3">
        <f t="shared" si="300"/>
        <v>0</v>
      </c>
      <c r="EM381" s="3">
        <f t="shared" ref="EM381:FR381" si="301">EM445</f>
        <v>0</v>
      </c>
      <c r="EN381" s="3">
        <f t="shared" si="301"/>
        <v>0</v>
      </c>
      <c r="EO381" s="3">
        <f t="shared" si="301"/>
        <v>0</v>
      </c>
      <c r="EP381" s="3">
        <f t="shared" si="301"/>
        <v>0</v>
      </c>
      <c r="EQ381" s="3">
        <f t="shared" si="301"/>
        <v>0</v>
      </c>
      <c r="ER381" s="3">
        <f t="shared" si="301"/>
        <v>0</v>
      </c>
      <c r="ES381" s="3">
        <f t="shared" si="301"/>
        <v>0</v>
      </c>
      <c r="ET381" s="3">
        <f t="shared" si="301"/>
        <v>0</v>
      </c>
      <c r="EU381" s="3">
        <f t="shared" si="301"/>
        <v>0</v>
      </c>
      <c r="EV381" s="3">
        <f t="shared" si="301"/>
        <v>0</v>
      </c>
      <c r="EW381" s="3">
        <f t="shared" si="301"/>
        <v>0</v>
      </c>
      <c r="EX381" s="3">
        <f t="shared" si="301"/>
        <v>0</v>
      </c>
      <c r="EY381" s="3">
        <f t="shared" si="301"/>
        <v>0</v>
      </c>
      <c r="EZ381" s="3">
        <f t="shared" si="301"/>
        <v>0</v>
      </c>
      <c r="FA381" s="3">
        <f t="shared" si="301"/>
        <v>0</v>
      </c>
      <c r="FB381" s="3">
        <f t="shared" si="301"/>
        <v>0</v>
      </c>
      <c r="FC381" s="3">
        <f t="shared" si="301"/>
        <v>0</v>
      </c>
      <c r="FD381" s="3">
        <f t="shared" si="301"/>
        <v>0</v>
      </c>
      <c r="FE381" s="3">
        <f t="shared" si="301"/>
        <v>0</v>
      </c>
      <c r="FF381" s="3">
        <f t="shared" si="301"/>
        <v>0</v>
      </c>
      <c r="FG381" s="3">
        <f t="shared" si="301"/>
        <v>0</v>
      </c>
      <c r="FH381" s="3">
        <f t="shared" si="301"/>
        <v>0</v>
      </c>
      <c r="FI381" s="3">
        <f t="shared" si="301"/>
        <v>0</v>
      </c>
      <c r="FJ381" s="3">
        <f t="shared" si="301"/>
        <v>0</v>
      </c>
      <c r="FK381" s="3">
        <f t="shared" si="301"/>
        <v>0</v>
      </c>
      <c r="FL381" s="3">
        <f t="shared" si="301"/>
        <v>0</v>
      </c>
      <c r="FM381" s="3">
        <f t="shared" si="301"/>
        <v>0</v>
      </c>
      <c r="FN381" s="3">
        <f t="shared" si="301"/>
        <v>0</v>
      </c>
      <c r="FO381" s="3">
        <f t="shared" si="301"/>
        <v>0</v>
      </c>
      <c r="FP381" s="3">
        <f t="shared" si="301"/>
        <v>0</v>
      </c>
      <c r="FQ381" s="3">
        <f t="shared" si="301"/>
        <v>0</v>
      </c>
      <c r="FR381" s="3">
        <f t="shared" si="301"/>
        <v>0</v>
      </c>
      <c r="FS381" s="3">
        <f t="shared" ref="FS381:GX381" si="302">FS445</f>
        <v>0</v>
      </c>
      <c r="FT381" s="3">
        <f t="shared" si="302"/>
        <v>0</v>
      </c>
      <c r="FU381" s="3">
        <f t="shared" si="302"/>
        <v>0</v>
      </c>
      <c r="FV381" s="3">
        <f t="shared" si="302"/>
        <v>0</v>
      </c>
      <c r="FW381" s="3">
        <f t="shared" si="302"/>
        <v>0</v>
      </c>
      <c r="FX381" s="3">
        <f t="shared" si="302"/>
        <v>0</v>
      </c>
      <c r="FY381" s="3">
        <f t="shared" si="302"/>
        <v>0</v>
      </c>
      <c r="FZ381" s="3">
        <f t="shared" si="302"/>
        <v>0</v>
      </c>
      <c r="GA381" s="3">
        <f t="shared" si="302"/>
        <v>0</v>
      </c>
      <c r="GB381" s="3">
        <f t="shared" si="302"/>
        <v>0</v>
      </c>
      <c r="GC381" s="3">
        <f t="shared" si="302"/>
        <v>0</v>
      </c>
      <c r="GD381" s="3">
        <f t="shared" si="302"/>
        <v>0</v>
      </c>
      <c r="GE381" s="3">
        <f t="shared" si="302"/>
        <v>0</v>
      </c>
      <c r="GF381" s="3">
        <f t="shared" si="302"/>
        <v>0</v>
      </c>
      <c r="GG381" s="3">
        <f t="shared" si="302"/>
        <v>0</v>
      </c>
      <c r="GH381" s="3">
        <f t="shared" si="302"/>
        <v>0</v>
      </c>
      <c r="GI381" s="3">
        <f t="shared" si="302"/>
        <v>0</v>
      </c>
      <c r="GJ381" s="3">
        <f t="shared" si="302"/>
        <v>0</v>
      </c>
      <c r="GK381" s="3">
        <f t="shared" si="302"/>
        <v>0</v>
      </c>
      <c r="GL381" s="3">
        <f t="shared" si="302"/>
        <v>0</v>
      </c>
      <c r="GM381" s="3">
        <f t="shared" si="302"/>
        <v>0</v>
      </c>
      <c r="GN381" s="3">
        <f t="shared" si="302"/>
        <v>0</v>
      </c>
      <c r="GO381" s="3">
        <f t="shared" si="302"/>
        <v>0</v>
      </c>
      <c r="GP381" s="3">
        <f t="shared" si="302"/>
        <v>0</v>
      </c>
      <c r="GQ381" s="3">
        <f t="shared" si="302"/>
        <v>0</v>
      </c>
      <c r="GR381" s="3">
        <f t="shared" si="302"/>
        <v>0</v>
      </c>
      <c r="GS381" s="3">
        <f t="shared" si="302"/>
        <v>0</v>
      </c>
      <c r="GT381" s="3">
        <f t="shared" si="302"/>
        <v>0</v>
      </c>
      <c r="GU381" s="3">
        <f t="shared" si="302"/>
        <v>0</v>
      </c>
      <c r="GV381" s="3">
        <f t="shared" si="302"/>
        <v>0</v>
      </c>
      <c r="GW381" s="3">
        <f t="shared" si="302"/>
        <v>0</v>
      </c>
      <c r="GX381" s="3">
        <f t="shared" si="302"/>
        <v>0</v>
      </c>
    </row>
    <row r="383" spans="1:245" x14ac:dyDescent="0.2">
      <c r="A383">
        <v>19</v>
      </c>
      <c r="B383">
        <v>1</v>
      </c>
      <c r="F383" t="s">
        <v>3</v>
      </c>
      <c r="G383" t="s">
        <v>274</v>
      </c>
      <c r="H383" t="s">
        <v>3</v>
      </c>
      <c r="AA383">
        <v>1</v>
      </c>
      <c r="IK383">
        <v>0</v>
      </c>
    </row>
    <row r="384" spans="1:245" x14ac:dyDescent="0.2">
      <c r="A384">
        <v>17</v>
      </c>
      <c r="B384">
        <v>1</v>
      </c>
      <c r="D384">
        <f>ROW(EtalonRes!A153)</f>
        <v>153</v>
      </c>
      <c r="E384" t="s">
        <v>275</v>
      </c>
      <c r="F384" t="s">
        <v>30</v>
      </c>
      <c r="G384" t="s">
        <v>276</v>
      </c>
      <c r="H384" t="s">
        <v>20</v>
      </c>
      <c r="I384">
        <v>1</v>
      </c>
      <c r="J384">
        <v>0</v>
      </c>
      <c r="K384">
        <v>1</v>
      </c>
      <c r="O384">
        <f t="shared" ref="O384:O403" si="303">ROUND(CP384,2)</f>
        <v>572.36</v>
      </c>
      <c r="P384">
        <f t="shared" ref="P384:P403" si="304">ROUND(CQ384*I384,2)</f>
        <v>0</v>
      </c>
      <c r="Q384">
        <f t="shared" ref="Q384:Q403" si="305">ROUND(CR384*I384,2)</f>
        <v>156.36000000000001</v>
      </c>
      <c r="R384">
        <f t="shared" ref="R384:R403" si="306">ROUND(CS384*I384,2)</f>
        <v>99.14</v>
      </c>
      <c r="S384">
        <f t="shared" ref="S384:S403" si="307">ROUND(CT384*I384,2)</f>
        <v>416</v>
      </c>
      <c r="T384">
        <f t="shared" ref="T384:T403" si="308">ROUND(CU384*I384,2)</f>
        <v>0</v>
      </c>
      <c r="U384">
        <f t="shared" ref="U384:U403" si="309">CV384*I384</f>
        <v>0.74</v>
      </c>
      <c r="V384">
        <f t="shared" ref="V384:V403" si="310">CW384*I384</f>
        <v>0</v>
      </c>
      <c r="W384">
        <f t="shared" ref="W384:W403" si="311">ROUND(CX384*I384,2)</f>
        <v>0</v>
      </c>
      <c r="X384">
        <f t="shared" ref="X384:X403" si="312">ROUND(CY384,2)</f>
        <v>291.2</v>
      </c>
      <c r="Y384">
        <f t="shared" ref="Y384:Y403" si="313">ROUND(CZ384,2)</f>
        <v>41.6</v>
      </c>
      <c r="AA384">
        <v>1472506909</v>
      </c>
      <c r="AB384">
        <f t="shared" ref="AB384:AB403" si="314">ROUND((AC384+AD384+AF384),6)</f>
        <v>572.36</v>
      </c>
      <c r="AC384">
        <f>ROUND((ES384),6)</f>
        <v>0</v>
      </c>
      <c r="AD384">
        <f>ROUND(((((ET384*2))-((EU384*2)))+AE384),6)</f>
        <v>156.36000000000001</v>
      </c>
      <c r="AE384">
        <f>ROUND(((EU384*2)),6)</f>
        <v>99.14</v>
      </c>
      <c r="AF384">
        <f>ROUND(((EV384*2)),6)</f>
        <v>416</v>
      </c>
      <c r="AG384">
        <f t="shared" ref="AG384:AG403" si="315">ROUND((AP384),6)</f>
        <v>0</v>
      </c>
      <c r="AH384">
        <f>((EW384*2))</f>
        <v>0.74</v>
      </c>
      <c r="AI384">
        <f>((EX384*2))</f>
        <v>0</v>
      </c>
      <c r="AJ384">
        <f t="shared" ref="AJ384:AJ403" si="316">(AS384)</f>
        <v>0</v>
      </c>
      <c r="AK384">
        <v>286.18</v>
      </c>
      <c r="AL384">
        <v>0</v>
      </c>
      <c r="AM384">
        <v>78.180000000000007</v>
      </c>
      <c r="AN384">
        <v>49.57</v>
      </c>
      <c r="AO384">
        <v>208</v>
      </c>
      <c r="AP384">
        <v>0</v>
      </c>
      <c r="AQ384">
        <v>0.37</v>
      </c>
      <c r="AR384">
        <v>0</v>
      </c>
      <c r="AS384">
        <v>0</v>
      </c>
      <c r="AT384">
        <v>70</v>
      </c>
      <c r="AU384">
        <v>10</v>
      </c>
      <c r="AV384">
        <v>1</v>
      </c>
      <c r="AW384">
        <v>1</v>
      </c>
      <c r="AZ384">
        <v>1</v>
      </c>
      <c r="BA384">
        <v>1</v>
      </c>
      <c r="BB384">
        <v>1</v>
      </c>
      <c r="BC384">
        <v>1</v>
      </c>
      <c r="BD384" t="s">
        <v>3</v>
      </c>
      <c r="BE384" t="s">
        <v>3</v>
      </c>
      <c r="BF384" t="s">
        <v>3</v>
      </c>
      <c r="BG384" t="s">
        <v>3</v>
      </c>
      <c r="BH384">
        <v>0</v>
      </c>
      <c r="BI384">
        <v>4</v>
      </c>
      <c r="BJ384" t="s">
        <v>32</v>
      </c>
      <c r="BM384">
        <v>0</v>
      </c>
      <c r="BN384">
        <v>0</v>
      </c>
      <c r="BO384" t="s">
        <v>3</v>
      </c>
      <c r="BP384">
        <v>0</v>
      </c>
      <c r="BQ384">
        <v>1</v>
      </c>
      <c r="BR384">
        <v>0</v>
      </c>
      <c r="BS384">
        <v>1</v>
      </c>
      <c r="BT384">
        <v>1</v>
      </c>
      <c r="BU384">
        <v>1</v>
      </c>
      <c r="BV384">
        <v>1</v>
      </c>
      <c r="BW384">
        <v>1</v>
      </c>
      <c r="BX384">
        <v>1</v>
      </c>
      <c r="BY384" t="s">
        <v>3</v>
      </c>
      <c r="BZ384">
        <v>70</v>
      </c>
      <c r="CA384">
        <v>10</v>
      </c>
      <c r="CB384" t="s">
        <v>3</v>
      </c>
      <c r="CE384">
        <v>0</v>
      </c>
      <c r="CF384">
        <v>0</v>
      </c>
      <c r="CG384">
        <v>0</v>
      </c>
      <c r="CM384">
        <v>0</v>
      </c>
      <c r="CN384" t="s">
        <v>3</v>
      </c>
      <c r="CO384">
        <v>0</v>
      </c>
      <c r="CP384">
        <f t="shared" ref="CP384:CP403" si="317">(P384+Q384+S384)</f>
        <v>572.36</v>
      </c>
      <c r="CQ384">
        <f t="shared" ref="CQ384:CQ399" si="318">(AC384*BC384*AW384)</f>
        <v>0</v>
      </c>
      <c r="CR384">
        <f>(((((ET384*2))*BB384-((EU384*2))*BS384)+AE384*BS384)*AV384)</f>
        <v>156.36000000000001</v>
      </c>
      <c r="CS384">
        <f t="shared" ref="CS384:CS399" si="319">(AE384*BS384*AV384)</f>
        <v>99.14</v>
      </c>
      <c r="CT384">
        <f t="shared" ref="CT384:CT399" si="320">(AF384*BA384*AV384)</f>
        <v>416</v>
      </c>
      <c r="CU384">
        <f t="shared" ref="CU384:CU403" si="321">AG384</f>
        <v>0</v>
      </c>
      <c r="CV384">
        <f t="shared" ref="CV384:CV399" si="322">(AH384*AV384)</f>
        <v>0.74</v>
      </c>
      <c r="CW384">
        <f t="shared" ref="CW384:CW403" si="323">AI384</f>
        <v>0</v>
      </c>
      <c r="CX384">
        <f t="shared" ref="CX384:CX403" si="324">AJ384</f>
        <v>0</v>
      </c>
      <c r="CY384">
        <f t="shared" ref="CY384:CY399" si="325">((S384*BZ384)/100)</f>
        <v>291.2</v>
      </c>
      <c r="CZ384">
        <f t="shared" ref="CZ384:CZ399" si="326">((S384*CA384)/100)</f>
        <v>41.6</v>
      </c>
      <c r="DC384" t="s">
        <v>3</v>
      </c>
      <c r="DD384" t="s">
        <v>3</v>
      </c>
      <c r="DE384" t="s">
        <v>28</v>
      </c>
      <c r="DF384" t="s">
        <v>28</v>
      </c>
      <c r="DG384" t="s">
        <v>28</v>
      </c>
      <c r="DH384" t="s">
        <v>3</v>
      </c>
      <c r="DI384" t="s">
        <v>28</v>
      </c>
      <c r="DJ384" t="s">
        <v>28</v>
      </c>
      <c r="DK384" t="s">
        <v>3</v>
      </c>
      <c r="DL384" t="s">
        <v>3</v>
      </c>
      <c r="DM384" t="s">
        <v>3</v>
      </c>
      <c r="DN384">
        <v>0</v>
      </c>
      <c r="DO384">
        <v>0</v>
      </c>
      <c r="DP384">
        <v>1</v>
      </c>
      <c r="DQ384">
        <v>1</v>
      </c>
      <c r="DU384">
        <v>16987630</v>
      </c>
      <c r="DV384" t="s">
        <v>20</v>
      </c>
      <c r="DW384" t="s">
        <v>20</v>
      </c>
      <c r="DX384">
        <v>1</v>
      </c>
      <c r="DZ384" t="s">
        <v>3</v>
      </c>
      <c r="EA384" t="s">
        <v>3</v>
      </c>
      <c r="EB384" t="s">
        <v>3</v>
      </c>
      <c r="EC384" t="s">
        <v>3</v>
      </c>
      <c r="EE384">
        <v>1441815344</v>
      </c>
      <c r="EF384">
        <v>1</v>
      </c>
      <c r="EG384" t="s">
        <v>22</v>
      </c>
      <c r="EH384">
        <v>0</v>
      </c>
      <c r="EI384" t="s">
        <v>3</v>
      </c>
      <c r="EJ384">
        <v>4</v>
      </c>
      <c r="EK384">
        <v>0</v>
      </c>
      <c r="EL384" t="s">
        <v>23</v>
      </c>
      <c r="EM384" t="s">
        <v>24</v>
      </c>
      <c r="EO384" t="s">
        <v>3</v>
      </c>
      <c r="EQ384">
        <v>0</v>
      </c>
      <c r="ER384">
        <v>286.18</v>
      </c>
      <c r="ES384">
        <v>0</v>
      </c>
      <c r="ET384">
        <v>78.180000000000007</v>
      </c>
      <c r="EU384">
        <v>49.57</v>
      </c>
      <c r="EV384">
        <v>208</v>
      </c>
      <c r="EW384">
        <v>0.37</v>
      </c>
      <c r="EX384">
        <v>0</v>
      </c>
      <c r="EY384">
        <v>0</v>
      </c>
      <c r="FQ384">
        <v>0</v>
      </c>
      <c r="FR384">
        <f t="shared" ref="FR384:FR403" si="327">ROUND(IF(BI384=3,GM384,0),2)</f>
        <v>0</v>
      </c>
      <c r="FS384">
        <v>0</v>
      </c>
      <c r="FX384">
        <v>70</v>
      </c>
      <c r="FY384">
        <v>10</v>
      </c>
      <c r="GA384" t="s">
        <v>3</v>
      </c>
      <c r="GD384">
        <v>0</v>
      </c>
      <c r="GF384">
        <v>-1203566170</v>
      </c>
      <c r="GG384">
        <v>2</v>
      </c>
      <c r="GH384">
        <v>1</v>
      </c>
      <c r="GI384">
        <v>-2</v>
      </c>
      <c r="GJ384">
        <v>0</v>
      </c>
      <c r="GK384">
        <f>ROUND(R384*(R12)/100,2)</f>
        <v>107.07</v>
      </c>
      <c r="GL384">
        <f t="shared" ref="GL384:GL403" si="328">ROUND(IF(AND(BH384=3,BI384=3,FS384&lt;&gt;0),P384,0),2)</f>
        <v>0</v>
      </c>
      <c r="GM384">
        <f t="shared" ref="GM384:GM403" si="329">ROUND(O384+X384+Y384+GK384,2)+GX384</f>
        <v>1012.23</v>
      </c>
      <c r="GN384">
        <f t="shared" ref="GN384:GN403" si="330">IF(OR(BI384=0,BI384=1),GM384-GX384,0)</f>
        <v>0</v>
      </c>
      <c r="GO384">
        <f t="shared" ref="GO384:GO403" si="331">IF(BI384=2,GM384-GX384,0)</f>
        <v>0</v>
      </c>
      <c r="GP384">
        <f t="shared" ref="GP384:GP403" si="332">IF(BI384=4,GM384-GX384,0)</f>
        <v>1012.23</v>
      </c>
      <c r="GR384">
        <v>0</v>
      </c>
      <c r="GS384">
        <v>3</v>
      </c>
      <c r="GT384">
        <v>0</v>
      </c>
      <c r="GU384" t="s">
        <v>3</v>
      </c>
      <c r="GV384">
        <f t="shared" ref="GV384:GV403" si="333">ROUND((GT384),6)</f>
        <v>0</v>
      </c>
      <c r="GW384">
        <v>1</v>
      </c>
      <c r="GX384">
        <f t="shared" ref="GX384:GX403" si="334">ROUND(HC384*I384,2)</f>
        <v>0</v>
      </c>
      <c r="HA384">
        <v>0</v>
      </c>
      <c r="HB384">
        <v>0</v>
      </c>
      <c r="HC384">
        <f t="shared" ref="HC384:HC403" si="335">GV384*GW384</f>
        <v>0</v>
      </c>
      <c r="HE384" t="s">
        <v>3</v>
      </c>
      <c r="HF384" t="s">
        <v>3</v>
      </c>
      <c r="HM384" t="s">
        <v>3</v>
      </c>
      <c r="HN384" t="s">
        <v>3</v>
      </c>
      <c r="HO384" t="s">
        <v>3</v>
      </c>
      <c r="HP384" t="s">
        <v>3</v>
      </c>
      <c r="HQ384" t="s">
        <v>3</v>
      </c>
      <c r="IK384">
        <v>0</v>
      </c>
    </row>
    <row r="385" spans="1:245" x14ac:dyDescent="0.2">
      <c r="A385">
        <v>17</v>
      </c>
      <c r="B385">
        <v>1</v>
      </c>
      <c r="D385">
        <f>ROW(EtalonRes!A154)</f>
        <v>154</v>
      </c>
      <c r="E385" t="s">
        <v>277</v>
      </c>
      <c r="F385" t="s">
        <v>278</v>
      </c>
      <c r="G385" t="s">
        <v>279</v>
      </c>
      <c r="H385" t="s">
        <v>20</v>
      </c>
      <c r="I385">
        <v>1</v>
      </c>
      <c r="J385">
        <v>0</v>
      </c>
      <c r="K385">
        <v>1</v>
      </c>
      <c r="O385">
        <f t="shared" si="303"/>
        <v>2687.48</v>
      </c>
      <c r="P385">
        <f t="shared" si="304"/>
        <v>0</v>
      </c>
      <c r="Q385">
        <f t="shared" si="305"/>
        <v>0</v>
      </c>
      <c r="R385">
        <f t="shared" si="306"/>
        <v>0</v>
      </c>
      <c r="S385">
        <f t="shared" si="307"/>
        <v>2687.48</v>
      </c>
      <c r="T385">
        <f t="shared" si="308"/>
        <v>0</v>
      </c>
      <c r="U385">
        <f t="shared" si="309"/>
        <v>3.24</v>
      </c>
      <c r="V385">
        <f t="shared" si="310"/>
        <v>0</v>
      </c>
      <c r="W385">
        <f t="shared" si="311"/>
        <v>0</v>
      </c>
      <c r="X385">
        <f t="shared" si="312"/>
        <v>1881.24</v>
      </c>
      <c r="Y385">
        <f t="shared" si="313"/>
        <v>268.75</v>
      </c>
      <c r="AA385">
        <v>1472506909</v>
      </c>
      <c r="AB385">
        <f t="shared" si="314"/>
        <v>2687.48</v>
      </c>
      <c r="AC385">
        <f>ROUND((ES385),6)</f>
        <v>0</v>
      </c>
      <c r="AD385">
        <f>ROUND((((ET385)-(EU385))+AE385),6)</f>
        <v>0</v>
      </c>
      <c r="AE385">
        <f>ROUND((EU385),6)</f>
        <v>0</v>
      </c>
      <c r="AF385">
        <f>ROUND(((EV385*2)),6)</f>
        <v>2687.48</v>
      </c>
      <c r="AG385">
        <f t="shared" si="315"/>
        <v>0</v>
      </c>
      <c r="AH385">
        <f>((EW385*2))</f>
        <v>3.24</v>
      </c>
      <c r="AI385">
        <f>(EX385)</f>
        <v>0</v>
      </c>
      <c r="AJ385">
        <f t="shared" si="316"/>
        <v>0</v>
      </c>
      <c r="AK385">
        <v>1343.74</v>
      </c>
      <c r="AL385">
        <v>0</v>
      </c>
      <c r="AM385">
        <v>0</v>
      </c>
      <c r="AN385">
        <v>0</v>
      </c>
      <c r="AO385">
        <v>1343.74</v>
      </c>
      <c r="AP385">
        <v>0</v>
      </c>
      <c r="AQ385">
        <v>1.62</v>
      </c>
      <c r="AR385">
        <v>0</v>
      </c>
      <c r="AS385">
        <v>0</v>
      </c>
      <c r="AT385">
        <v>70</v>
      </c>
      <c r="AU385">
        <v>10</v>
      </c>
      <c r="AV385">
        <v>1</v>
      </c>
      <c r="AW385">
        <v>1</v>
      </c>
      <c r="AZ385">
        <v>1</v>
      </c>
      <c r="BA385">
        <v>1</v>
      </c>
      <c r="BB385">
        <v>1</v>
      </c>
      <c r="BC385">
        <v>1</v>
      </c>
      <c r="BD385" t="s">
        <v>3</v>
      </c>
      <c r="BE385" t="s">
        <v>3</v>
      </c>
      <c r="BF385" t="s">
        <v>3</v>
      </c>
      <c r="BG385" t="s">
        <v>3</v>
      </c>
      <c r="BH385">
        <v>0</v>
      </c>
      <c r="BI385">
        <v>4</v>
      </c>
      <c r="BJ385" t="s">
        <v>280</v>
      </c>
      <c r="BM385">
        <v>0</v>
      </c>
      <c r="BN385">
        <v>0</v>
      </c>
      <c r="BO385" t="s">
        <v>3</v>
      </c>
      <c r="BP385">
        <v>0</v>
      </c>
      <c r="BQ385">
        <v>1</v>
      </c>
      <c r="BR385">
        <v>0</v>
      </c>
      <c r="BS385">
        <v>1</v>
      </c>
      <c r="BT385">
        <v>1</v>
      </c>
      <c r="BU385">
        <v>1</v>
      </c>
      <c r="BV385">
        <v>1</v>
      </c>
      <c r="BW385">
        <v>1</v>
      </c>
      <c r="BX385">
        <v>1</v>
      </c>
      <c r="BY385" t="s">
        <v>3</v>
      </c>
      <c r="BZ385">
        <v>70</v>
      </c>
      <c r="CA385">
        <v>10</v>
      </c>
      <c r="CB385" t="s">
        <v>3</v>
      </c>
      <c r="CE385">
        <v>0</v>
      </c>
      <c r="CF385">
        <v>0</v>
      </c>
      <c r="CG385">
        <v>0</v>
      </c>
      <c r="CM385">
        <v>0</v>
      </c>
      <c r="CN385" t="s">
        <v>3</v>
      </c>
      <c r="CO385">
        <v>0</v>
      </c>
      <c r="CP385">
        <f t="shared" si="317"/>
        <v>2687.48</v>
      </c>
      <c r="CQ385">
        <f t="shared" si="318"/>
        <v>0</v>
      </c>
      <c r="CR385">
        <f>((((ET385)*BB385-(EU385)*BS385)+AE385*BS385)*AV385)</f>
        <v>0</v>
      </c>
      <c r="CS385">
        <f t="shared" si="319"/>
        <v>0</v>
      </c>
      <c r="CT385">
        <f t="shared" si="320"/>
        <v>2687.48</v>
      </c>
      <c r="CU385">
        <f t="shared" si="321"/>
        <v>0</v>
      </c>
      <c r="CV385">
        <f t="shared" si="322"/>
        <v>3.24</v>
      </c>
      <c r="CW385">
        <f t="shared" si="323"/>
        <v>0</v>
      </c>
      <c r="CX385">
        <f t="shared" si="324"/>
        <v>0</v>
      </c>
      <c r="CY385">
        <f t="shared" si="325"/>
        <v>1881.2360000000001</v>
      </c>
      <c r="CZ385">
        <f t="shared" si="326"/>
        <v>268.74799999999999</v>
      </c>
      <c r="DC385" t="s">
        <v>3</v>
      </c>
      <c r="DD385" t="s">
        <v>3</v>
      </c>
      <c r="DE385" t="s">
        <v>3</v>
      </c>
      <c r="DF385" t="s">
        <v>3</v>
      </c>
      <c r="DG385" t="s">
        <v>28</v>
      </c>
      <c r="DH385" t="s">
        <v>3</v>
      </c>
      <c r="DI385" t="s">
        <v>28</v>
      </c>
      <c r="DJ385" t="s">
        <v>3</v>
      </c>
      <c r="DK385" t="s">
        <v>3</v>
      </c>
      <c r="DL385" t="s">
        <v>3</v>
      </c>
      <c r="DM385" t="s">
        <v>3</v>
      </c>
      <c r="DN385">
        <v>0</v>
      </c>
      <c r="DO385">
        <v>0</v>
      </c>
      <c r="DP385">
        <v>1</v>
      </c>
      <c r="DQ385">
        <v>1</v>
      </c>
      <c r="DU385">
        <v>16987630</v>
      </c>
      <c r="DV385" t="s">
        <v>20</v>
      </c>
      <c r="DW385" t="s">
        <v>20</v>
      </c>
      <c r="DX385">
        <v>1</v>
      </c>
      <c r="DZ385" t="s">
        <v>3</v>
      </c>
      <c r="EA385" t="s">
        <v>3</v>
      </c>
      <c r="EB385" t="s">
        <v>3</v>
      </c>
      <c r="EC385" t="s">
        <v>3</v>
      </c>
      <c r="EE385">
        <v>1441815344</v>
      </c>
      <c r="EF385">
        <v>1</v>
      </c>
      <c r="EG385" t="s">
        <v>22</v>
      </c>
      <c r="EH385">
        <v>0</v>
      </c>
      <c r="EI385" t="s">
        <v>3</v>
      </c>
      <c r="EJ385">
        <v>4</v>
      </c>
      <c r="EK385">
        <v>0</v>
      </c>
      <c r="EL385" t="s">
        <v>23</v>
      </c>
      <c r="EM385" t="s">
        <v>24</v>
      </c>
      <c r="EO385" t="s">
        <v>3</v>
      </c>
      <c r="EQ385">
        <v>0</v>
      </c>
      <c r="ER385">
        <v>1343.74</v>
      </c>
      <c r="ES385">
        <v>0</v>
      </c>
      <c r="ET385">
        <v>0</v>
      </c>
      <c r="EU385">
        <v>0</v>
      </c>
      <c r="EV385">
        <v>1343.74</v>
      </c>
      <c r="EW385">
        <v>1.62</v>
      </c>
      <c r="EX385">
        <v>0</v>
      </c>
      <c r="EY385">
        <v>0</v>
      </c>
      <c r="FQ385">
        <v>0</v>
      </c>
      <c r="FR385">
        <f t="shared" si="327"/>
        <v>0</v>
      </c>
      <c r="FS385">
        <v>0</v>
      </c>
      <c r="FX385">
        <v>70</v>
      </c>
      <c r="FY385">
        <v>10</v>
      </c>
      <c r="GA385" t="s">
        <v>3</v>
      </c>
      <c r="GD385">
        <v>0</v>
      </c>
      <c r="GF385">
        <v>1081179689</v>
      </c>
      <c r="GG385">
        <v>2</v>
      </c>
      <c r="GH385">
        <v>1</v>
      </c>
      <c r="GI385">
        <v>-2</v>
      </c>
      <c r="GJ385">
        <v>0</v>
      </c>
      <c r="GK385">
        <f>ROUND(R385*(R12)/100,2)</f>
        <v>0</v>
      </c>
      <c r="GL385">
        <f t="shared" si="328"/>
        <v>0</v>
      </c>
      <c r="GM385">
        <f t="shared" si="329"/>
        <v>4837.47</v>
      </c>
      <c r="GN385">
        <f t="shared" si="330"/>
        <v>0</v>
      </c>
      <c r="GO385">
        <f t="shared" si="331"/>
        <v>0</v>
      </c>
      <c r="GP385">
        <f t="shared" si="332"/>
        <v>4837.47</v>
      </c>
      <c r="GR385">
        <v>0</v>
      </c>
      <c r="GS385">
        <v>3</v>
      </c>
      <c r="GT385">
        <v>0</v>
      </c>
      <c r="GU385" t="s">
        <v>3</v>
      </c>
      <c r="GV385">
        <f t="shared" si="333"/>
        <v>0</v>
      </c>
      <c r="GW385">
        <v>1</v>
      </c>
      <c r="GX385">
        <f t="shared" si="334"/>
        <v>0</v>
      </c>
      <c r="HA385">
        <v>0</v>
      </c>
      <c r="HB385">
        <v>0</v>
      </c>
      <c r="HC385">
        <f t="shared" si="335"/>
        <v>0</v>
      </c>
      <c r="HE385" t="s">
        <v>3</v>
      </c>
      <c r="HF385" t="s">
        <v>3</v>
      </c>
      <c r="HM385" t="s">
        <v>3</v>
      </c>
      <c r="HN385" t="s">
        <v>3</v>
      </c>
      <c r="HO385" t="s">
        <v>3</v>
      </c>
      <c r="HP385" t="s">
        <v>3</v>
      </c>
      <c r="HQ385" t="s">
        <v>3</v>
      </c>
      <c r="IK385">
        <v>0</v>
      </c>
    </row>
    <row r="386" spans="1:245" x14ac:dyDescent="0.2">
      <c r="A386">
        <v>17</v>
      </c>
      <c r="B386">
        <v>1</v>
      </c>
      <c r="D386">
        <f>ROW(EtalonRes!A157)</f>
        <v>157</v>
      </c>
      <c r="E386" t="s">
        <v>281</v>
      </c>
      <c r="F386" t="s">
        <v>282</v>
      </c>
      <c r="G386" t="s">
        <v>283</v>
      </c>
      <c r="H386" t="s">
        <v>20</v>
      </c>
      <c r="I386">
        <v>1</v>
      </c>
      <c r="J386">
        <v>0</v>
      </c>
      <c r="K386">
        <v>1</v>
      </c>
      <c r="O386">
        <f t="shared" si="303"/>
        <v>1962.36</v>
      </c>
      <c r="P386">
        <f t="shared" si="304"/>
        <v>2.52</v>
      </c>
      <c r="Q386">
        <f t="shared" si="305"/>
        <v>781.8</v>
      </c>
      <c r="R386">
        <f t="shared" si="306"/>
        <v>495.72</v>
      </c>
      <c r="S386">
        <f t="shared" si="307"/>
        <v>1178.04</v>
      </c>
      <c r="T386">
        <f t="shared" si="308"/>
        <v>0</v>
      </c>
      <c r="U386">
        <f t="shared" si="309"/>
        <v>1.68</v>
      </c>
      <c r="V386">
        <f t="shared" si="310"/>
        <v>0</v>
      </c>
      <c r="W386">
        <f t="shared" si="311"/>
        <v>0</v>
      </c>
      <c r="X386">
        <f t="shared" si="312"/>
        <v>824.63</v>
      </c>
      <c r="Y386">
        <f t="shared" si="313"/>
        <v>117.8</v>
      </c>
      <c r="AA386">
        <v>1472506909</v>
      </c>
      <c r="AB386">
        <f t="shared" si="314"/>
        <v>1962.36</v>
      </c>
      <c r="AC386">
        <f>ROUND(((ES386*4)),6)</f>
        <v>2.52</v>
      </c>
      <c r="AD386">
        <f>ROUND(((((ET386*4))-((EU386*4)))+AE386),6)</f>
        <v>781.8</v>
      </c>
      <c r="AE386">
        <f>ROUND(((EU386*4)),6)</f>
        <v>495.72</v>
      </c>
      <c r="AF386">
        <f>ROUND(((EV386*4)),6)</f>
        <v>1178.04</v>
      </c>
      <c r="AG386">
        <f t="shared" si="315"/>
        <v>0</v>
      </c>
      <c r="AH386">
        <f>((EW386*4))</f>
        <v>1.68</v>
      </c>
      <c r="AI386">
        <f>((EX386*4))</f>
        <v>0</v>
      </c>
      <c r="AJ386">
        <f t="shared" si="316"/>
        <v>0</v>
      </c>
      <c r="AK386">
        <v>490.59</v>
      </c>
      <c r="AL386">
        <v>0.63</v>
      </c>
      <c r="AM386">
        <v>195.45</v>
      </c>
      <c r="AN386">
        <v>123.93</v>
      </c>
      <c r="AO386">
        <v>294.51</v>
      </c>
      <c r="AP386">
        <v>0</v>
      </c>
      <c r="AQ386">
        <v>0.42</v>
      </c>
      <c r="AR386">
        <v>0</v>
      </c>
      <c r="AS386">
        <v>0</v>
      </c>
      <c r="AT386">
        <v>70</v>
      </c>
      <c r="AU386">
        <v>10</v>
      </c>
      <c r="AV386">
        <v>1</v>
      </c>
      <c r="AW386">
        <v>1</v>
      </c>
      <c r="AZ386">
        <v>1</v>
      </c>
      <c r="BA386">
        <v>1</v>
      </c>
      <c r="BB386">
        <v>1</v>
      </c>
      <c r="BC386">
        <v>1</v>
      </c>
      <c r="BD386" t="s">
        <v>3</v>
      </c>
      <c r="BE386" t="s">
        <v>3</v>
      </c>
      <c r="BF386" t="s">
        <v>3</v>
      </c>
      <c r="BG386" t="s">
        <v>3</v>
      </c>
      <c r="BH386">
        <v>0</v>
      </c>
      <c r="BI386">
        <v>4</v>
      </c>
      <c r="BJ386" t="s">
        <v>284</v>
      </c>
      <c r="BM386">
        <v>0</v>
      </c>
      <c r="BN386">
        <v>0</v>
      </c>
      <c r="BO386" t="s">
        <v>3</v>
      </c>
      <c r="BP386">
        <v>0</v>
      </c>
      <c r="BQ386">
        <v>1</v>
      </c>
      <c r="BR386">
        <v>0</v>
      </c>
      <c r="BS386">
        <v>1</v>
      </c>
      <c r="BT386">
        <v>1</v>
      </c>
      <c r="BU386">
        <v>1</v>
      </c>
      <c r="BV386">
        <v>1</v>
      </c>
      <c r="BW386">
        <v>1</v>
      </c>
      <c r="BX386">
        <v>1</v>
      </c>
      <c r="BY386" t="s">
        <v>3</v>
      </c>
      <c r="BZ386">
        <v>70</v>
      </c>
      <c r="CA386">
        <v>10</v>
      </c>
      <c r="CB386" t="s">
        <v>3</v>
      </c>
      <c r="CE386">
        <v>0</v>
      </c>
      <c r="CF386">
        <v>0</v>
      </c>
      <c r="CG386">
        <v>0</v>
      </c>
      <c r="CM386">
        <v>0</v>
      </c>
      <c r="CN386" t="s">
        <v>3</v>
      </c>
      <c r="CO386">
        <v>0</v>
      </c>
      <c r="CP386">
        <f t="shared" si="317"/>
        <v>1962.36</v>
      </c>
      <c r="CQ386">
        <f t="shared" si="318"/>
        <v>2.52</v>
      </c>
      <c r="CR386">
        <f>(((((ET386*4))*BB386-((EU386*4))*BS386)+AE386*BS386)*AV386)</f>
        <v>781.8</v>
      </c>
      <c r="CS386">
        <f t="shared" si="319"/>
        <v>495.72</v>
      </c>
      <c r="CT386">
        <f t="shared" si="320"/>
        <v>1178.04</v>
      </c>
      <c r="CU386">
        <f t="shared" si="321"/>
        <v>0</v>
      </c>
      <c r="CV386">
        <f t="shared" si="322"/>
        <v>1.68</v>
      </c>
      <c r="CW386">
        <f t="shared" si="323"/>
        <v>0</v>
      </c>
      <c r="CX386">
        <f t="shared" si="324"/>
        <v>0</v>
      </c>
      <c r="CY386">
        <f t="shared" si="325"/>
        <v>824.62800000000004</v>
      </c>
      <c r="CZ386">
        <f t="shared" si="326"/>
        <v>117.804</v>
      </c>
      <c r="DC386" t="s">
        <v>3</v>
      </c>
      <c r="DD386" t="s">
        <v>106</v>
      </c>
      <c r="DE386" t="s">
        <v>106</v>
      </c>
      <c r="DF386" t="s">
        <v>106</v>
      </c>
      <c r="DG386" t="s">
        <v>106</v>
      </c>
      <c r="DH386" t="s">
        <v>3</v>
      </c>
      <c r="DI386" t="s">
        <v>106</v>
      </c>
      <c r="DJ386" t="s">
        <v>106</v>
      </c>
      <c r="DK386" t="s">
        <v>3</v>
      </c>
      <c r="DL386" t="s">
        <v>3</v>
      </c>
      <c r="DM386" t="s">
        <v>3</v>
      </c>
      <c r="DN386">
        <v>0</v>
      </c>
      <c r="DO386">
        <v>0</v>
      </c>
      <c r="DP386">
        <v>1</v>
      </c>
      <c r="DQ386">
        <v>1</v>
      </c>
      <c r="DU386">
        <v>16987630</v>
      </c>
      <c r="DV386" t="s">
        <v>20</v>
      </c>
      <c r="DW386" t="s">
        <v>20</v>
      </c>
      <c r="DX386">
        <v>1</v>
      </c>
      <c r="DZ386" t="s">
        <v>3</v>
      </c>
      <c r="EA386" t="s">
        <v>3</v>
      </c>
      <c r="EB386" t="s">
        <v>3</v>
      </c>
      <c r="EC386" t="s">
        <v>3</v>
      </c>
      <c r="EE386">
        <v>1441815344</v>
      </c>
      <c r="EF386">
        <v>1</v>
      </c>
      <c r="EG386" t="s">
        <v>22</v>
      </c>
      <c r="EH386">
        <v>0</v>
      </c>
      <c r="EI386" t="s">
        <v>3</v>
      </c>
      <c r="EJ386">
        <v>4</v>
      </c>
      <c r="EK386">
        <v>0</v>
      </c>
      <c r="EL386" t="s">
        <v>23</v>
      </c>
      <c r="EM386" t="s">
        <v>24</v>
      </c>
      <c r="EO386" t="s">
        <v>3</v>
      </c>
      <c r="EQ386">
        <v>0</v>
      </c>
      <c r="ER386">
        <v>490.59</v>
      </c>
      <c r="ES386">
        <v>0.63</v>
      </c>
      <c r="ET386">
        <v>195.45</v>
      </c>
      <c r="EU386">
        <v>123.93</v>
      </c>
      <c r="EV386">
        <v>294.51</v>
      </c>
      <c r="EW386">
        <v>0.42</v>
      </c>
      <c r="EX386">
        <v>0</v>
      </c>
      <c r="EY386">
        <v>0</v>
      </c>
      <c r="FQ386">
        <v>0</v>
      </c>
      <c r="FR386">
        <f t="shared" si="327"/>
        <v>0</v>
      </c>
      <c r="FS386">
        <v>0</v>
      </c>
      <c r="FX386">
        <v>70</v>
      </c>
      <c r="FY386">
        <v>10</v>
      </c>
      <c r="GA386" t="s">
        <v>3</v>
      </c>
      <c r="GD386">
        <v>0</v>
      </c>
      <c r="GF386">
        <v>-364815351</v>
      </c>
      <c r="GG386">
        <v>2</v>
      </c>
      <c r="GH386">
        <v>1</v>
      </c>
      <c r="GI386">
        <v>-2</v>
      </c>
      <c r="GJ386">
        <v>0</v>
      </c>
      <c r="GK386">
        <f>ROUND(R386*(R12)/100,2)</f>
        <v>535.38</v>
      </c>
      <c r="GL386">
        <f t="shared" si="328"/>
        <v>0</v>
      </c>
      <c r="GM386">
        <f t="shared" si="329"/>
        <v>3440.17</v>
      </c>
      <c r="GN386">
        <f t="shared" si="330"/>
        <v>0</v>
      </c>
      <c r="GO386">
        <f t="shared" si="331"/>
        <v>0</v>
      </c>
      <c r="GP386">
        <f t="shared" si="332"/>
        <v>3440.17</v>
      </c>
      <c r="GR386">
        <v>0</v>
      </c>
      <c r="GS386">
        <v>3</v>
      </c>
      <c r="GT386">
        <v>0</v>
      </c>
      <c r="GU386" t="s">
        <v>3</v>
      </c>
      <c r="GV386">
        <f t="shared" si="333"/>
        <v>0</v>
      </c>
      <c r="GW386">
        <v>1</v>
      </c>
      <c r="GX386">
        <f t="shared" si="334"/>
        <v>0</v>
      </c>
      <c r="HA386">
        <v>0</v>
      </c>
      <c r="HB386">
        <v>0</v>
      </c>
      <c r="HC386">
        <f t="shared" si="335"/>
        <v>0</v>
      </c>
      <c r="HE386" t="s">
        <v>3</v>
      </c>
      <c r="HF386" t="s">
        <v>3</v>
      </c>
      <c r="HM386" t="s">
        <v>3</v>
      </c>
      <c r="HN386" t="s">
        <v>3</v>
      </c>
      <c r="HO386" t="s">
        <v>3</v>
      </c>
      <c r="HP386" t="s">
        <v>3</v>
      </c>
      <c r="HQ386" t="s">
        <v>3</v>
      </c>
      <c r="IK386">
        <v>0</v>
      </c>
    </row>
    <row r="387" spans="1:245" x14ac:dyDescent="0.2">
      <c r="A387">
        <v>17</v>
      </c>
      <c r="B387">
        <v>1</v>
      </c>
      <c r="D387">
        <f>ROW(EtalonRes!A160)</f>
        <v>160</v>
      </c>
      <c r="E387" t="s">
        <v>285</v>
      </c>
      <c r="F387" t="s">
        <v>286</v>
      </c>
      <c r="G387" t="s">
        <v>287</v>
      </c>
      <c r="H387" t="s">
        <v>20</v>
      </c>
      <c r="I387">
        <v>1</v>
      </c>
      <c r="J387">
        <v>0</v>
      </c>
      <c r="K387">
        <v>1</v>
      </c>
      <c r="O387">
        <f t="shared" si="303"/>
        <v>1315.66</v>
      </c>
      <c r="P387">
        <f t="shared" si="304"/>
        <v>38.28</v>
      </c>
      <c r="Q387">
        <f t="shared" si="305"/>
        <v>0</v>
      </c>
      <c r="R387">
        <f t="shared" si="306"/>
        <v>0</v>
      </c>
      <c r="S387">
        <f t="shared" si="307"/>
        <v>1277.3800000000001</v>
      </c>
      <c r="T387">
        <f t="shared" si="308"/>
        <v>0</v>
      </c>
      <c r="U387">
        <f t="shared" si="309"/>
        <v>1.54</v>
      </c>
      <c r="V387">
        <f t="shared" si="310"/>
        <v>0</v>
      </c>
      <c r="W387">
        <f t="shared" si="311"/>
        <v>0</v>
      </c>
      <c r="X387">
        <f t="shared" si="312"/>
        <v>894.17</v>
      </c>
      <c r="Y387">
        <f t="shared" si="313"/>
        <v>127.74</v>
      </c>
      <c r="AA387">
        <v>1472506909</v>
      </c>
      <c r="AB387">
        <f t="shared" si="314"/>
        <v>1315.66</v>
      </c>
      <c r="AC387">
        <f>ROUND(((ES387*2)),6)</f>
        <v>38.28</v>
      </c>
      <c r="AD387">
        <f>ROUND(((((ET387*2))-((EU387*2)))+AE387),6)</f>
        <v>0</v>
      </c>
      <c r="AE387">
        <f>ROUND(((EU387*2)),6)</f>
        <v>0</v>
      </c>
      <c r="AF387">
        <f>ROUND(((EV387*2)),6)</f>
        <v>1277.3800000000001</v>
      </c>
      <c r="AG387">
        <f t="shared" si="315"/>
        <v>0</v>
      </c>
      <c r="AH387">
        <f>((EW387*2))</f>
        <v>1.54</v>
      </c>
      <c r="AI387">
        <f>((EX387*2))</f>
        <v>0</v>
      </c>
      <c r="AJ387">
        <f t="shared" si="316"/>
        <v>0</v>
      </c>
      <c r="AK387">
        <v>657.83</v>
      </c>
      <c r="AL387">
        <v>19.14</v>
      </c>
      <c r="AM387">
        <v>0</v>
      </c>
      <c r="AN387">
        <v>0</v>
      </c>
      <c r="AO387">
        <v>638.69000000000005</v>
      </c>
      <c r="AP387">
        <v>0</v>
      </c>
      <c r="AQ387">
        <v>0.77</v>
      </c>
      <c r="AR387">
        <v>0</v>
      </c>
      <c r="AS387">
        <v>0</v>
      </c>
      <c r="AT387">
        <v>70</v>
      </c>
      <c r="AU387">
        <v>10</v>
      </c>
      <c r="AV387">
        <v>1</v>
      </c>
      <c r="AW387">
        <v>1</v>
      </c>
      <c r="AZ387">
        <v>1</v>
      </c>
      <c r="BA387">
        <v>1</v>
      </c>
      <c r="BB387">
        <v>1</v>
      </c>
      <c r="BC387">
        <v>1</v>
      </c>
      <c r="BD387" t="s">
        <v>3</v>
      </c>
      <c r="BE387" t="s">
        <v>3</v>
      </c>
      <c r="BF387" t="s">
        <v>3</v>
      </c>
      <c r="BG387" t="s">
        <v>3</v>
      </c>
      <c r="BH387">
        <v>0</v>
      </c>
      <c r="BI387">
        <v>4</v>
      </c>
      <c r="BJ387" t="s">
        <v>288</v>
      </c>
      <c r="BM387">
        <v>0</v>
      </c>
      <c r="BN387">
        <v>0</v>
      </c>
      <c r="BO387" t="s">
        <v>3</v>
      </c>
      <c r="BP387">
        <v>0</v>
      </c>
      <c r="BQ387">
        <v>1</v>
      </c>
      <c r="BR387">
        <v>0</v>
      </c>
      <c r="BS387">
        <v>1</v>
      </c>
      <c r="BT387">
        <v>1</v>
      </c>
      <c r="BU387">
        <v>1</v>
      </c>
      <c r="BV387">
        <v>1</v>
      </c>
      <c r="BW387">
        <v>1</v>
      </c>
      <c r="BX387">
        <v>1</v>
      </c>
      <c r="BY387" t="s">
        <v>3</v>
      </c>
      <c r="BZ387">
        <v>70</v>
      </c>
      <c r="CA387">
        <v>10</v>
      </c>
      <c r="CB387" t="s">
        <v>3</v>
      </c>
      <c r="CE387">
        <v>0</v>
      </c>
      <c r="CF387">
        <v>0</v>
      </c>
      <c r="CG387">
        <v>0</v>
      </c>
      <c r="CM387">
        <v>0</v>
      </c>
      <c r="CN387" t="s">
        <v>3</v>
      </c>
      <c r="CO387">
        <v>0</v>
      </c>
      <c r="CP387">
        <f t="shared" si="317"/>
        <v>1315.66</v>
      </c>
      <c r="CQ387">
        <f t="shared" si="318"/>
        <v>38.28</v>
      </c>
      <c r="CR387">
        <f>(((((ET387*2))*BB387-((EU387*2))*BS387)+AE387*BS387)*AV387)</f>
        <v>0</v>
      </c>
      <c r="CS387">
        <f t="shared" si="319"/>
        <v>0</v>
      </c>
      <c r="CT387">
        <f t="shared" si="320"/>
        <v>1277.3800000000001</v>
      </c>
      <c r="CU387">
        <f t="shared" si="321"/>
        <v>0</v>
      </c>
      <c r="CV387">
        <f t="shared" si="322"/>
        <v>1.54</v>
      </c>
      <c r="CW387">
        <f t="shared" si="323"/>
        <v>0</v>
      </c>
      <c r="CX387">
        <f t="shared" si="324"/>
        <v>0</v>
      </c>
      <c r="CY387">
        <f t="shared" si="325"/>
        <v>894.16600000000005</v>
      </c>
      <c r="CZ387">
        <f t="shared" si="326"/>
        <v>127.73800000000001</v>
      </c>
      <c r="DC387" t="s">
        <v>3</v>
      </c>
      <c r="DD387" t="s">
        <v>28</v>
      </c>
      <c r="DE387" t="s">
        <v>28</v>
      </c>
      <c r="DF387" t="s">
        <v>28</v>
      </c>
      <c r="DG387" t="s">
        <v>28</v>
      </c>
      <c r="DH387" t="s">
        <v>3</v>
      </c>
      <c r="DI387" t="s">
        <v>28</v>
      </c>
      <c r="DJ387" t="s">
        <v>28</v>
      </c>
      <c r="DK387" t="s">
        <v>3</v>
      </c>
      <c r="DL387" t="s">
        <v>3</v>
      </c>
      <c r="DM387" t="s">
        <v>3</v>
      </c>
      <c r="DN387">
        <v>0</v>
      </c>
      <c r="DO387">
        <v>0</v>
      </c>
      <c r="DP387">
        <v>1</v>
      </c>
      <c r="DQ387">
        <v>1</v>
      </c>
      <c r="DU387">
        <v>16987630</v>
      </c>
      <c r="DV387" t="s">
        <v>20</v>
      </c>
      <c r="DW387" t="s">
        <v>20</v>
      </c>
      <c r="DX387">
        <v>1</v>
      </c>
      <c r="DZ387" t="s">
        <v>3</v>
      </c>
      <c r="EA387" t="s">
        <v>3</v>
      </c>
      <c r="EB387" t="s">
        <v>3</v>
      </c>
      <c r="EC387" t="s">
        <v>3</v>
      </c>
      <c r="EE387">
        <v>1441815344</v>
      </c>
      <c r="EF387">
        <v>1</v>
      </c>
      <c r="EG387" t="s">
        <v>22</v>
      </c>
      <c r="EH387">
        <v>0</v>
      </c>
      <c r="EI387" t="s">
        <v>3</v>
      </c>
      <c r="EJ387">
        <v>4</v>
      </c>
      <c r="EK387">
        <v>0</v>
      </c>
      <c r="EL387" t="s">
        <v>23</v>
      </c>
      <c r="EM387" t="s">
        <v>24</v>
      </c>
      <c r="EO387" t="s">
        <v>3</v>
      </c>
      <c r="EQ387">
        <v>0</v>
      </c>
      <c r="ER387">
        <v>657.83</v>
      </c>
      <c r="ES387">
        <v>19.14</v>
      </c>
      <c r="ET387">
        <v>0</v>
      </c>
      <c r="EU387">
        <v>0</v>
      </c>
      <c r="EV387">
        <v>638.69000000000005</v>
      </c>
      <c r="EW387">
        <v>0.77</v>
      </c>
      <c r="EX387">
        <v>0</v>
      </c>
      <c r="EY387">
        <v>0</v>
      </c>
      <c r="FQ387">
        <v>0</v>
      </c>
      <c r="FR387">
        <f t="shared" si="327"/>
        <v>0</v>
      </c>
      <c r="FS387">
        <v>0</v>
      </c>
      <c r="FX387">
        <v>70</v>
      </c>
      <c r="FY387">
        <v>10</v>
      </c>
      <c r="GA387" t="s">
        <v>3</v>
      </c>
      <c r="GD387">
        <v>0</v>
      </c>
      <c r="GF387">
        <v>-1045979742</v>
      </c>
      <c r="GG387">
        <v>2</v>
      </c>
      <c r="GH387">
        <v>1</v>
      </c>
      <c r="GI387">
        <v>-2</v>
      </c>
      <c r="GJ387">
        <v>0</v>
      </c>
      <c r="GK387">
        <f>ROUND(R387*(R12)/100,2)</f>
        <v>0</v>
      </c>
      <c r="GL387">
        <f t="shared" si="328"/>
        <v>0</v>
      </c>
      <c r="GM387">
        <f t="shared" si="329"/>
        <v>2337.5700000000002</v>
      </c>
      <c r="GN387">
        <f t="shared" si="330"/>
        <v>0</v>
      </c>
      <c r="GO387">
        <f t="shared" si="331"/>
        <v>0</v>
      </c>
      <c r="GP387">
        <f t="shared" si="332"/>
        <v>2337.5700000000002</v>
      </c>
      <c r="GR387">
        <v>0</v>
      </c>
      <c r="GS387">
        <v>3</v>
      </c>
      <c r="GT387">
        <v>0</v>
      </c>
      <c r="GU387" t="s">
        <v>3</v>
      </c>
      <c r="GV387">
        <f t="shared" si="333"/>
        <v>0</v>
      </c>
      <c r="GW387">
        <v>1</v>
      </c>
      <c r="GX387">
        <f t="shared" si="334"/>
        <v>0</v>
      </c>
      <c r="HA387">
        <v>0</v>
      </c>
      <c r="HB387">
        <v>0</v>
      </c>
      <c r="HC387">
        <f t="shared" si="335"/>
        <v>0</v>
      </c>
      <c r="HE387" t="s">
        <v>3</v>
      </c>
      <c r="HF387" t="s">
        <v>3</v>
      </c>
      <c r="HM387" t="s">
        <v>3</v>
      </c>
      <c r="HN387" t="s">
        <v>3</v>
      </c>
      <c r="HO387" t="s">
        <v>3</v>
      </c>
      <c r="HP387" t="s">
        <v>3</v>
      </c>
      <c r="HQ387" t="s">
        <v>3</v>
      </c>
      <c r="IK387">
        <v>0</v>
      </c>
    </row>
    <row r="388" spans="1:245" x14ac:dyDescent="0.2">
      <c r="A388">
        <v>17</v>
      </c>
      <c r="B388">
        <v>1</v>
      </c>
      <c r="D388">
        <f>ROW(EtalonRes!A163)</f>
        <v>163</v>
      </c>
      <c r="E388" t="s">
        <v>289</v>
      </c>
      <c r="F388" t="s">
        <v>290</v>
      </c>
      <c r="G388" t="s">
        <v>291</v>
      </c>
      <c r="H388" t="s">
        <v>20</v>
      </c>
      <c r="I388">
        <f>ROUND(1+1,9)</f>
        <v>2</v>
      </c>
      <c r="J388">
        <v>0</v>
      </c>
      <c r="K388">
        <f>ROUND(1+1,9)</f>
        <v>2</v>
      </c>
      <c r="O388">
        <f t="shared" si="303"/>
        <v>1155.24</v>
      </c>
      <c r="P388">
        <f t="shared" si="304"/>
        <v>76.56</v>
      </c>
      <c r="Q388">
        <f t="shared" si="305"/>
        <v>0</v>
      </c>
      <c r="R388">
        <f t="shared" si="306"/>
        <v>0</v>
      </c>
      <c r="S388">
        <f t="shared" si="307"/>
        <v>1078.68</v>
      </c>
      <c r="T388">
        <f t="shared" si="308"/>
        <v>0</v>
      </c>
      <c r="U388">
        <f t="shared" si="309"/>
        <v>1.52</v>
      </c>
      <c r="V388">
        <f t="shared" si="310"/>
        <v>0</v>
      </c>
      <c r="W388">
        <f t="shared" si="311"/>
        <v>0</v>
      </c>
      <c r="X388">
        <f t="shared" si="312"/>
        <v>755.08</v>
      </c>
      <c r="Y388">
        <f t="shared" si="313"/>
        <v>107.87</v>
      </c>
      <c r="AA388">
        <v>1472506909</v>
      </c>
      <c r="AB388">
        <f t="shared" si="314"/>
        <v>577.62</v>
      </c>
      <c r="AC388">
        <f>ROUND(((ES388*2)),6)</f>
        <v>38.28</v>
      </c>
      <c r="AD388">
        <f t="shared" ref="AD388:AD399" si="336">ROUND((((ET388)-(EU388))+AE388),6)</f>
        <v>0</v>
      </c>
      <c r="AE388">
        <f t="shared" ref="AE388:AE403" si="337">ROUND((EU388),6)</f>
        <v>0</v>
      </c>
      <c r="AF388">
        <f>ROUND(((EV388*2)),6)</f>
        <v>539.34</v>
      </c>
      <c r="AG388">
        <f t="shared" si="315"/>
        <v>0</v>
      </c>
      <c r="AH388">
        <f>((EW388*2))</f>
        <v>0.76</v>
      </c>
      <c r="AI388">
        <f t="shared" ref="AI388:AI403" si="338">(EX388)</f>
        <v>0</v>
      </c>
      <c r="AJ388">
        <f t="shared" si="316"/>
        <v>0</v>
      </c>
      <c r="AK388">
        <v>288.81</v>
      </c>
      <c r="AL388">
        <v>19.14</v>
      </c>
      <c r="AM388">
        <v>0</v>
      </c>
      <c r="AN388">
        <v>0</v>
      </c>
      <c r="AO388">
        <v>269.67</v>
      </c>
      <c r="AP388">
        <v>0</v>
      </c>
      <c r="AQ388">
        <v>0.38</v>
      </c>
      <c r="AR388">
        <v>0</v>
      </c>
      <c r="AS388">
        <v>0</v>
      </c>
      <c r="AT388">
        <v>70</v>
      </c>
      <c r="AU388">
        <v>10</v>
      </c>
      <c r="AV388">
        <v>1</v>
      </c>
      <c r="AW388">
        <v>1</v>
      </c>
      <c r="AZ388">
        <v>1</v>
      </c>
      <c r="BA388">
        <v>1</v>
      </c>
      <c r="BB388">
        <v>1</v>
      </c>
      <c r="BC388">
        <v>1</v>
      </c>
      <c r="BD388" t="s">
        <v>3</v>
      </c>
      <c r="BE388" t="s">
        <v>3</v>
      </c>
      <c r="BF388" t="s">
        <v>3</v>
      </c>
      <c r="BG388" t="s">
        <v>3</v>
      </c>
      <c r="BH388">
        <v>0</v>
      </c>
      <c r="BI388">
        <v>4</v>
      </c>
      <c r="BJ388" t="s">
        <v>292</v>
      </c>
      <c r="BM388">
        <v>0</v>
      </c>
      <c r="BN388">
        <v>0</v>
      </c>
      <c r="BO388" t="s">
        <v>3</v>
      </c>
      <c r="BP388">
        <v>0</v>
      </c>
      <c r="BQ388">
        <v>1</v>
      </c>
      <c r="BR388">
        <v>0</v>
      </c>
      <c r="BS388">
        <v>1</v>
      </c>
      <c r="BT388">
        <v>1</v>
      </c>
      <c r="BU388">
        <v>1</v>
      </c>
      <c r="BV388">
        <v>1</v>
      </c>
      <c r="BW388">
        <v>1</v>
      </c>
      <c r="BX388">
        <v>1</v>
      </c>
      <c r="BY388" t="s">
        <v>3</v>
      </c>
      <c r="BZ388">
        <v>70</v>
      </c>
      <c r="CA388">
        <v>10</v>
      </c>
      <c r="CB388" t="s">
        <v>3</v>
      </c>
      <c r="CE388">
        <v>0</v>
      </c>
      <c r="CF388">
        <v>0</v>
      </c>
      <c r="CG388">
        <v>0</v>
      </c>
      <c r="CM388">
        <v>0</v>
      </c>
      <c r="CN388" t="s">
        <v>3</v>
      </c>
      <c r="CO388">
        <v>0</v>
      </c>
      <c r="CP388">
        <f t="shared" si="317"/>
        <v>1155.24</v>
      </c>
      <c r="CQ388">
        <f t="shared" si="318"/>
        <v>38.28</v>
      </c>
      <c r="CR388">
        <f t="shared" ref="CR388:CR399" si="339">((((ET388)*BB388-(EU388)*BS388)+AE388*BS388)*AV388)</f>
        <v>0</v>
      </c>
      <c r="CS388">
        <f t="shared" si="319"/>
        <v>0</v>
      </c>
      <c r="CT388">
        <f t="shared" si="320"/>
        <v>539.34</v>
      </c>
      <c r="CU388">
        <f t="shared" si="321"/>
        <v>0</v>
      </c>
      <c r="CV388">
        <f t="shared" si="322"/>
        <v>0.76</v>
      </c>
      <c r="CW388">
        <f t="shared" si="323"/>
        <v>0</v>
      </c>
      <c r="CX388">
        <f t="shared" si="324"/>
        <v>0</v>
      </c>
      <c r="CY388">
        <f t="shared" si="325"/>
        <v>755.07600000000002</v>
      </c>
      <c r="CZ388">
        <f t="shared" si="326"/>
        <v>107.86800000000001</v>
      </c>
      <c r="DC388" t="s">
        <v>3</v>
      </c>
      <c r="DD388" t="s">
        <v>28</v>
      </c>
      <c r="DE388" t="s">
        <v>3</v>
      </c>
      <c r="DF388" t="s">
        <v>3</v>
      </c>
      <c r="DG388" t="s">
        <v>28</v>
      </c>
      <c r="DH388" t="s">
        <v>3</v>
      </c>
      <c r="DI388" t="s">
        <v>28</v>
      </c>
      <c r="DJ388" t="s">
        <v>3</v>
      </c>
      <c r="DK388" t="s">
        <v>3</v>
      </c>
      <c r="DL388" t="s">
        <v>3</v>
      </c>
      <c r="DM388" t="s">
        <v>3</v>
      </c>
      <c r="DN388">
        <v>0</v>
      </c>
      <c r="DO388">
        <v>0</v>
      </c>
      <c r="DP388">
        <v>1</v>
      </c>
      <c r="DQ388">
        <v>1</v>
      </c>
      <c r="DU388">
        <v>16987630</v>
      </c>
      <c r="DV388" t="s">
        <v>20</v>
      </c>
      <c r="DW388" t="s">
        <v>20</v>
      </c>
      <c r="DX388">
        <v>1</v>
      </c>
      <c r="DZ388" t="s">
        <v>3</v>
      </c>
      <c r="EA388" t="s">
        <v>3</v>
      </c>
      <c r="EB388" t="s">
        <v>3</v>
      </c>
      <c r="EC388" t="s">
        <v>3</v>
      </c>
      <c r="EE388">
        <v>1441815344</v>
      </c>
      <c r="EF388">
        <v>1</v>
      </c>
      <c r="EG388" t="s">
        <v>22</v>
      </c>
      <c r="EH388">
        <v>0</v>
      </c>
      <c r="EI388" t="s">
        <v>3</v>
      </c>
      <c r="EJ388">
        <v>4</v>
      </c>
      <c r="EK388">
        <v>0</v>
      </c>
      <c r="EL388" t="s">
        <v>23</v>
      </c>
      <c r="EM388" t="s">
        <v>24</v>
      </c>
      <c r="EO388" t="s">
        <v>3</v>
      </c>
      <c r="EQ388">
        <v>0</v>
      </c>
      <c r="ER388">
        <v>288.81</v>
      </c>
      <c r="ES388">
        <v>19.14</v>
      </c>
      <c r="ET388">
        <v>0</v>
      </c>
      <c r="EU388">
        <v>0</v>
      </c>
      <c r="EV388">
        <v>269.67</v>
      </c>
      <c r="EW388">
        <v>0.38</v>
      </c>
      <c r="EX388">
        <v>0</v>
      </c>
      <c r="EY388">
        <v>0</v>
      </c>
      <c r="FQ388">
        <v>0</v>
      </c>
      <c r="FR388">
        <f t="shared" si="327"/>
        <v>0</v>
      </c>
      <c r="FS388">
        <v>0</v>
      </c>
      <c r="FX388">
        <v>70</v>
      </c>
      <c r="FY388">
        <v>10</v>
      </c>
      <c r="GA388" t="s">
        <v>3</v>
      </c>
      <c r="GD388">
        <v>0</v>
      </c>
      <c r="GF388">
        <v>1498136171</v>
      </c>
      <c r="GG388">
        <v>2</v>
      </c>
      <c r="GH388">
        <v>1</v>
      </c>
      <c r="GI388">
        <v>-2</v>
      </c>
      <c r="GJ388">
        <v>0</v>
      </c>
      <c r="GK388">
        <f>ROUND(R388*(R12)/100,2)</f>
        <v>0</v>
      </c>
      <c r="GL388">
        <f t="shared" si="328"/>
        <v>0</v>
      </c>
      <c r="GM388">
        <f t="shared" si="329"/>
        <v>2018.19</v>
      </c>
      <c r="GN388">
        <f t="shared" si="330"/>
        <v>0</v>
      </c>
      <c r="GO388">
        <f t="shared" si="331"/>
        <v>0</v>
      </c>
      <c r="GP388">
        <f t="shared" si="332"/>
        <v>2018.19</v>
      </c>
      <c r="GR388">
        <v>0</v>
      </c>
      <c r="GS388">
        <v>3</v>
      </c>
      <c r="GT388">
        <v>0</v>
      </c>
      <c r="GU388" t="s">
        <v>3</v>
      </c>
      <c r="GV388">
        <f t="shared" si="333"/>
        <v>0</v>
      </c>
      <c r="GW388">
        <v>1</v>
      </c>
      <c r="GX388">
        <f t="shared" si="334"/>
        <v>0</v>
      </c>
      <c r="HA388">
        <v>0</v>
      </c>
      <c r="HB388">
        <v>0</v>
      </c>
      <c r="HC388">
        <f t="shared" si="335"/>
        <v>0</v>
      </c>
      <c r="HE388" t="s">
        <v>3</v>
      </c>
      <c r="HF388" t="s">
        <v>3</v>
      </c>
      <c r="HM388" t="s">
        <v>3</v>
      </c>
      <c r="HN388" t="s">
        <v>3</v>
      </c>
      <c r="HO388" t="s">
        <v>3</v>
      </c>
      <c r="HP388" t="s">
        <v>3</v>
      </c>
      <c r="HQ388" t="s">
        <v>3</v>
      </c>
      <c r="IK388">
        <v>0</v>
      </c>
    </row>
    <row r="389" spans="1:245" x14ac:dyDescent="0.2">
      <c r="A389">
        <v>17</v>
      </c>
      <c r="B389">
        <v>1</v>
      </c>
      <c r="D389">
        <f>ROW(EtalonRes!A166)</f>
        <v>166</v>
      </c>
      <c r="E389" t="s">
        <v>293</v>
      </c>
      <c r="F389" t="s">
        <v>294</v>
      </c>
      <c r="G389" t="s">
        <v>295</v>
      </c>
      <c r="H389" t="s">
        <v>20</v>
      </c>
      <c r="I389">
        <v>1</v>
      </c>
      <c r="J389">
        <v>0</v>
      </c>
      <c r="K389">
        <v>1</v>
      </c>
      <c r="O389">
        <f t="shared" si="303"/>
        <v>5502.7</v>
      </c>
      <c r="P389">
        <f t="shared" si="304"/>
        <v>9.94</v>
      </c>
      <c r="Q389">
        <f t="shared" si="305"/>
        <v>0</v>
      </c>
      <c r="R389">
        <f t="shared" si="306"/>
        <v>0</v>
      </c>
      <c r="S389">
        <f t="shared" si="307"/>
        <v>5492.76</v>
      </c>
      <c r="T389">
        <f t="shared" si="308"/>
        <v>0</v>
      </c>
      <c r="U389">
        <f t="shared" si="309"/>
        <v>7.74</v>
      </c>
      <c r="V389">
        <f t="shared" si="310"/>
        <v>0</v>
      </c>
      <c r="W389">
        <f t="shared" si="311"/>
        <v>0</v>
      </c>
      <c r="X389">
        <f t="shared" si="312"/>
        <v>3844.93</v>
      </c>
      <c r="Y389">
        <f t="shared" si="313"/>
        <v>549.28</v>
      </c>
      <c r="AA389">
        <v>1472506909</v>
      </c>
      <c r="AB389">
        <f t="shared" si="314"/>
        <v>5502.7</v>
      </c>
      <c r="AC389">
        <f>ROUND(((ES389*2)),6)</f>
        <v>9.94</v>
      </c>
      <c r="AD389">
        <f t="shared" si="336"/>
        <v>0</v>
      </c>
      <c r="AE389">
        <f t="shared" si="337"/>
        <v>0</v>
      </c>
      <c r="AF389">
        <f>ROUND(((EV389*2)),6)</f>
        <v>5492.76</v>
      </c>
      <c r="AG389">
        <f t="shared" si="315"/>
        <v>0</v>
      </c>
      <c r="AH389">
        <f>((EW389*2))</f>
        <v>7.74</v>
      </c>
      <c r="AI389">
        <f t="shared" si="338"/>
        <v>0</v>
      </c>
      <c r="AJ389">
        <f t="shared" si="316"/>
        <v>0</v>
      </c>
      <c r="AK389">
        <v>2751.35</v>
      </c>
      <c r="AL389">
        <v>4.97</v>
      </c>
      <c r="AM389">
        <v>0</v>
      </c>
      <c r="AN389">
        <v>0</v>
      </c>
      <c r="AO389">
        <v>2746.38</v>
      </c>
      <c r="AP389">
        <v>0</v>
      </c>
      <c r="AQ389">
        <v>3.87</v>
      </c>
      <c r="AR389">
        <v>0</v>
      </c>
      <c r="AS389">
        <v>0</v>
      </c>
      <c r="AT389">
        <v>70</v>
      </c>
      <c r="AU389">
        <v>10</v>
      </c>
      <c r="AV389">
        <v>1</v>
      </c>
      <c r="AW389">
        <v>1</v>
      </c>
      <c r="AZ389">
        <v>1</v>
      </c>
      <c r="BA389">
        <v>1</v>
      </c>
      <c r="BB389">
        <v>1</v>
      </c>
      <c r="BC389">
        <v>1</v>
      </c>
      <c r="BD389" t="s">
        <v>3</v>
      </c>
      <c r="BE389" t="s">
        <v>3</v>
      </c>
      <c r="BF389" t="s">
        <v>3</v>
      </c>
      <c r="BG389" t="s">
        <v>3</v>
      </c>
      <c r="BH389">
        <v>0</v>
      </c>
      <c r="BI389">
        <v>4</v>
      </c>
      <c r="BJ389" t="s">
        <v>296</v>
      </c>
      <c r="BM389">
        <v>0</v>
      </c>
      <c r="BN389">
        <v>0</v>
      </c>
      <c r="BO389" t="s">
        <v>3</v>
      </c>
      <c r="BP389">
        <v>0</v>
      </c>
      <c r="BQ389">
        <v>1</v>
      </c>
      <c r="BR389">
        <v>0</v>
      </c>
      <c r="BS389">
        <v>1</v>
      </c>
      <c r="BT389">
        <v>1</v>
      </c>
      <c r="BU389">
        <v>1</v>
      </c>
      <c r="BV389">
        <v>1</v>
      </c>
      <c r="BW389">
        <v>1</v>
      </c>
      <c r="BX389">
        <v>1</v>
      </c>
      <c r="BY389" t="s">
        <v>3</v>
      </c>
      <c r="BZ389">
        <v>70</v>
      </c>
      <c r="CA389">
        <v>10</v>
      </c>
      <c r="CB389" t="s">
        <v>3</v>
      </c>
      <c r="CE389">
        <v>0</v>
      </c>
      <c r="CF389">
        <v>0</v>
      </c>
      <c r="CG389">
        <v>0</v>
      </c>
      <c r="CM389">
        <v>0</v>
      </c>
      <c r="CN389" t="s">
        <v>3</v>
      </c>
      <c r="CO389">
        <v>0</v>
      </c>
      <c r="CP389">
        <f t="shared" si="317"/>
        <v>5502.7</v>
      </c>
      <c r="CQ389">
        <f t="shared" si="318"/>
        <v>9.94</v>
      </c>
      <c r="CR389">
        <f t="shared" si="339"/>
        <v>0</v>
      </c>
      <c r="CS389">
        <f t="shared" si="319"/>
        <v>0</v>
      </c>
      <c r="CT389">
        <f t="shared" si="320"/>
        <v>5492.76</v>
      </c>
      <c r="CU389">
        <f t="shared" si="321"/>
        <v>0</v>
      </c>
      <c r="CV389">
        <f t="shared" si="322"/>
        <v>7.74</v>
      </c>
      <c r="CW389">
        <f t="shared" si="323"/>
        <v>0</v>
      </c>
      <c r="CX389">
        <f t="shared" si="324"/>
        <v>0</v>
      </c>
      <c r="CY389">
        <f t="shared" si="325"/>
        <v>3844.9320000000002</v>
      </c>
      <c r="CZ389">
        <f t="shared" si="326"/>
        <v>549.27600000000007</v>
      </c>
      <c r="DC389" t="s">
        <v>3</v>
      </c>
      <c r="DD389" t="s">
        <v>28</v>
      </c>
      <c r="DE389" t="s">
        <v>3</v>
      </c>
      <c r="DF389" t="s">
        <v>3</v>
      </c>
      <c r="DG389" t="s">
        <v>28</v>
      </c>
      <c r="DH389" t="s">
        <v>3</v>
      </c>
      <c r="DI389" t="s">
        <v>28</v>
      </c>
      <c r="DJ389" t="s">
        <v>3</v>
      </c>
      <c r="DK389" t="s">
        <v>3</v>
      </c>
      <c r="DL389" t="s">
        <v>3</v>
      </c>
      <c r="DM389" t="s">
        <v>3</v>
      </c>
      <c r="DN389">
        <v>0</v>
      </c>
      <c r="DO389">
        <v>0</v>
      </c>
      <c r="DP389">
        <v>1</v>
      </c>
      <c r="DQ389">
        <v>1</v>
      </c>
      <c r="DU389">
        <v>16987630</v>
      </c>
      <c r="DV389" t="s">
        <v>20</v>
      </c>
      <c r="DW389" t="s">
        <v>20</v>
      </c>
      <c r="DX389">
        <v>1</v>
      </c>
      <c r="DZ389" t="s">
        <v>3</v>
      </c>
      <c r="EA389" t="s">
        <v>3</v>
      </c>
      <c r="EB389" t="s">
        <v>3</v>
      </c>
      <c r="EC389" t="s">
        <v>3</v>
      </c>
      <c r="EE389">
        <v>1441815344</v>
      </c>
      <c r="EF389">
        <v>1</v>
      </c>
      <c r="EG389" t="s">
        <v>22</v>
      </c>
      <c r="EH389">
        <v>0</v>
      </c>
      <c r="EI389" t="s">
        <v>3</v>
      </c>
      <c r="EJ389">
        <v>4</v>
      </c>
      <c r="EK389">
        <v>0</v>
      </c>
      <c r="EL389" t="s">
        <v>23</v>
      </c>
      <c r="EM389" t="s">
        <v>24</v>
      </c>
      <c r="EO389" t="s">
        <v>3</v>
      </c>
      <c r="EQ389">
        <v>0</v>
      </c>
      <c r="ER389">
        <v>2751.35</v>
      </c>
      <c r="ES389">
        <v>4.97</v>
      </c>
      <c r="ET389">
        <v>0</v>
      </c>
      <c r="EU389">
        <v>0</v>
      </c>
      <c r="EV389">
        <v>2746.38</v>
      </c>
      <c r="EW389">
        <v>3.87</v>
      </c>
      <c r="EX389">
        <v>0</v>
      </c>
      <c r="EY389">
        <v>0</v>
      </c>
      <c r="FQ389">
        <v>0</v>
      </c>
      <c r="FR389">
        <f t="shared" si="327"/>
        <v>0</v>
      </c>
      <c r="FS389">
        <v>0</v>
      </c>
      <c r="FX389">
        <v>70</v>
      </c>
      <c r="FY389">
        <v>10</v>
      </c>
      <c r="GA389" t="s">
        <v>3</v>
      </c>
      <c r="GD389">
        <v>0</v>
      </c>
      <c r="GF389">
        <v>1868171878</v>
      </c>
      <c r="GG389">
        <v>2</v>
      </c>
      <c r="GH389">
        <v>1</v>
      </c>
      <c r="GI389">
        <v>-2</v>
      </c>
      <c r="GJ389">
        <v>0</v>
      </c>
      <c r="GK389">
        <f>ROUND(R389*(R12)/100,2)</f>
        <v>0</v>
      </c>
      <c r="GL389">
        <f t="shared" si="328"/>
        <v>0</v>
      </c>
      <c r="GM389">
        <f t="shared" si="329"/>
        <v>9896.91</v>
      </c>
      <c r="GN389">
        <f t="shared" si="330"/>
        <v>0</v>
      </c>
      <c r="GO389">
        <f t="shared" si="331"/>
        <v>0</v>
      </c>
      <c r="GP389">
        <f t="shared" si="332"/>
        <v>9896.91</v>
      </c>
      <c r="GR389">
        <v>0</v>
      </c>
      <c r="GS389">
        <v>3</v>
      </c>
      <c r="GT389">
        <v>0</v>
      </c>
      <c r="GU389" t="s">
        <v>3</v>
      </c>
      <c r="GV389">
        <f t="shared" si="333"/>
        <v>0</v>
      </c>
      <c r="GW389">
        <v>1</v>
      </c>
      <c r="GX389">
        <f t="shared" si="334"/>
        <v>0</v>
      </c>
      <c r="HA389">
        <v>0</v>
      </c>
      <c r="HB389">
        <v>0</v>
      </c>
      <c r="HC389">
        <f t="shared" si="335"/>
        <v>0</v>
      </c>
      <c r="HE389" t="s">
        <v>3</v>
      </c>
      <c r="HF389" t="s">
        <v>3</v>
      </c>
      <c r="HM389" t="s">
        <v>3</v>
      </c>
      <c r="HN389" t="s">
        <v>3</v>
      </c>
      <c r="HO389" t="s">
        <v>3</v>
      </c>
      <c r="HP389" t="s">
        <v>3</v>
      </c>
      <c r="HQ389" t="s">
        <v>3</v>
      </c>
      <c r="IK389">
        <v>0</v>
      </c>
    </row>
    <row r="390" spans="1:245" x14ac:dyDescent="0.2">
      <c r="A390">
        <v>17</v>
      </c>
      <c r="B390">
        <v>1</v>
      </c>
      <c r="D390">
        <f>ROW(EtalonRes!A167)</f>
        <v>167</v>
      </c>
      <c r="E390" t="s">
        <v>297</v>
      </c>
      <c r="F390" t="s">
        <v>298</v>
      </c>
      <c r="G390" t="s">
        <v>299</v>
      </c>
      <c r="H390" t="s">
        <v>20</v>
      </c>
      <c r="I390">
        <v>3</v>
      </c>
      <c r="J390">
        <v>0</v>
      </c>
      <c r="K390">
        <v>3</v>
      </c>
      <c r="O390">
        <f t="shared" si="303"/>
        <v>2963.94</v>
      </c>
      <c r="P390">
        <f t="shared" si="304"/>
        <v>0</v>
      </c>
      <c r="Q390">
        <f t="shared" si="305"/>
        <v>0</v>
      </c>
      <c r="R390">
        <f t="shared" si="306"/>
        <v>0</v>
      </c>
      <c r="S390">
        <f t="shared" si="307"/>
        <v>2963.94</v>
      </c>
      <c r="T390">
        <f t="shared" si="308"/>
        <v>0</v>
      </c>
      <c r="U390">
        <f t="shared" si="309"/>
        <v>4.8000000000000007</v>
      </c>
      <c r="V390">
        <f t="shared" si="310"/>
        <v>0</v>
      </c>
      <c r="W390">
        <f t="shared" si="311"/>
        <v>0</v>
      </c>
      <c r="X390">
        <f t="shared" si="312"/>
        <v>2074.7600000000002</v>
      </c>
      <c r="Y390">
        <f t="shared" si="313"/>
        <v>296.39</v>
      </c>
      <c r="AA390">
        <v>1472506909</v>
      </c>
      <c r="AB390">
        <f t="shared" si="314"/>
        <v>987.98</v>
      </c>
      <c r="AC390">
        <f t="shared" ref="AC390:AC397" si="340">ROUND((ES390),6)</f>
        <v>0</v>
      </c>
      <c r="AD390">
        <f t="shared" si="336"/>
        <v>0</v>
      </c>
      <c r="AE390">
        <f t="shared" si="337"/>
        <v>0</v>
      </c>
      <c r="AF390">
        <f>ROUND(((EV390*2)),6)</f>
        <v>987.98</v>
      </c>
      <c r="AG390">
        <f t="shared" si="315"/>
        <v>0</v>
      </c>
      <c r="AH390">
        <f>((EW390*2))</f>
        <v>1.6</v>
      </c>
      <c r="AI390">
        <f t="shared" si="338"/>
        <v>0</v>
      </c>
      <c r="AJ390">
        <f t="shared" si="316"/>
        <v>0</v>
      </c>
      <c r="AK390">
        <v>493.99</v>
      </c>
      <c r="AL390">
        <v>0</v>
      </c>
      <c r="AM390">
        <v>0</v>
      </c>
      <c r="AN390">
        <v>0</v>
      </c>
      <c r="AO390">
        <v>493.99</v>
      </c>
      <c r="AP390">
        <v>0</v>
      </c>
      <c r="AQ390">
        <v>0.8</v>
      </c>
      <c r="AR390">
        <v>0</v>
      </c>
      <c r="AS390">
        <v>0</v>
      </c>
      <c r="AT390">
        <v>70</v>
      </c>
      <c r="AU390">
        <v>10</v>
      </c>
      <c r="AV390">
        <v>1</v>
      </c>
      <c r="AW390">
        <v>1</v>
      </c>
      <c r="AZ390">
        <v>1</v>
      </c>
      <c r="BA390">
        <v>1</v>
      </c>
      <c r="BB390">
        <v>1</v>
      </c>
      <c r="BC390">
        <v>1</v>
      </c>
      <c r="BD390" t="s">
        <v>3</v>
      </c>
      <c r="BE390" t="s">
        <v>3</v>
      </c>
      <c r="BF390" t="s">
        <v>3</v>
      </c>
      <c r="BG390" t="s">
        <v>3</v>
      </c>
      <c r="BH390">
        <v>0</v>
      </c>
      <c r="BI390">
        <v>4</v>
      </c>
      <c r="BJ390" t="s">
        <v>300</v>
      </c>
      <c r="BM390">
        <v>0</v>
      </c>
      <c r="BN390">
        <v>0</v>
      </c>
      <c r="BO390" t="s">
        <v>3</v>
      </c>
      <c r="BP390">
        <v>0</v>
      </c>
      <c r="BQ390">
        <v>1</v>
      </c>
      <c r="BR390">
        <v>0</v>
      </c>
      <c r="BS390">
        <v>1</v>
      </c>
      <c r="BT390">
        <v>1</v>
      </c>
      <c r="BU390">
        <v>1</v>
      </c>
      <c r="BV390">
        <v>1</v>
      </c>
      <c r="BW390">
        <v>1</v>
      </c>
      <c r="BX390">
        <v>1</v>
      </c>
      <c r="BY390" t="s">
        <v>3</v>
      </c>
      <c r="BZ390">
        <v>70</v>
      </c>
      <c r="CA390">
        <v>10</v>
      </c>
      <c r="CB390" t="s">
        <v>3</v>
      </c>
      <c r="CE390">
        <v>0</v>
      </c>
      <c r="CF390">
        <v>0</v>
      </c>
      <c r="CG390">
        <v>0</v>
      </c>
      <c r="CM390">
        <v>0</v>
      </c>
      <c r="CN390" t="s">
        <v>3</v>
      </c>
      <c r="CO390">
        <v>0</v>
      </c>
      <c r="CP390">
        <f t="shared" si="317"/>
        <v>2963.94</v>
      </c>
      <c r="CQ390">
        <f t="shared" si="318"/>
        <v>0</v>
      </c>
      <c r="CR390">
        <f t="shared" si="339"/>
        <v>0</v>
      </c>
      <c r="CS390">
        <f t="shared" si="319"/>
        <v>0</v>
      </c>
      <c r="CT390">
        <f t="shared" si="320"/>
        <v>987.98</v>
      </c>
      <c r="CU390">
        <f t="shared" si="321"/>
        <v>0</v>
      </c>
      <c r="CV390">
        <f t="shared" si="322"/>
        <v>1.6</v>
      </c>
      <c r="CW390">
        <f t="shared" si="323"/>
        <v>0</v>
      </c>
      <c r="CX390">
        <f t="shared" si="324"/>
        <v>0</v>
      </c>
      <c r="CY390">
        <f t="shared" si="325"/>
        <v>2074.7580000000003</v>
      </c>
      <c r="CZ390">
        <f t="shared" si="326"/>
        <v>296.39400000000001</v>
      </c>
      <c r="DC390" t="s">
        <v>3</v>
      </c>
      <c r="DD390" t="s">
        <v>3</v>
      </c>
      <c r="DE390" t="s">
        <v>3</v>
      </c>
      <c r="DF390" t="s">
        <v>3</v>
      </c>
      <c r="DG390" t="s">
        <v>28</v>
      </c>
      <c r="DH390" t="s">
        <v>3</v>
      </c>
      <c r="DI390" t="s">
        <v>28</v>
      </c>
      <c r="DJ390" t="s">
        <v>3</v>
      </c>
      <c r="DK390" t="s">
        <v>3</v>
      </c>
      <c r="DL390" t="s">
        <v>3</v>
      </c>
      <c r="DM390" t="s">
        <v>3</v>
      </c>
      <c r="DN390">
        <v>0</v>
      </c>
      <c r="DO390">
        <v>0</v>
      </c>
      <c r="DP390">
        <v>1</v>
      </c>
      <c r="DQ390">
        <v>1</v>
      </c>
      <c r="DU390">
        <v>16987630</v>
      </c>
      <c r="DV390" t="s">
        <v>20</v>
      </c>
      <c r="DW390" t="s">
        <v>20</v>
      </c>
      <c r="DX390">
        <v>1</v>
      </c>
      <c r="DZ390" t="s">
        <v>3</v>
      </c>
      <c r="EA390" t="s">
        <v>3</v>
      </c>
      <c r="EB390" t="s">
        <v>3</v>
      </c>
      <c r="EC390" t="s">
        <v>3</v>
      </c>
      <c r="EE390">
        <v>1441815344</v>
      </c>
      <c r="EF390">
        <v>1</v>
      </c>
      <c r="EG390" t="s">
        <v>22</v>
      </c>
      <c r="EH390">
        <v>0</v>
      </c>
      <c r="EI390" t="s">
        <v>3</v>
      </c>
      <c r="EJ390">
        <v>4</v>
      </c>
      <c r="EK390">
        <v>0</v>
      </c>
      <c r="EL390" t="s">
        <v>23</v>
      </c>
      <c r="EM390" t="s">
        <v>24</v>
      </c>
      <c r="EO390" t="s">
        <v>3</v>
      </c>
      <c r="EQ390">
        <v>0</v>
      </c>
      <c r="ER390">
        <v>493.99</v>
      </c>
      <c r="ES390">
        <v>0</v>
      </c>
      <c r="ET390">
        <v>0</v>
      </c>
      <c r="EU390">
        <v>0</v>
      </c>
      <c r="EV390">
        <v>493.99</v>
      </c>
      <c r="EW390">
        <v>0.8</v>
      </c>
      <c r="EX390">
        <v>0</v>
      </c>
      <c r="EY390">
        <v>0</v>
      </c>
      <c r="FQ390">
        <v>0</v>
      </c>
      <c r="FR390">
        <f t="shared" si="327"/>
        <v>0</v>
      </c>
      <c r="FS390">
        <v>0</v>
      </c>
      <c r="FX390">
        <v>70</v>
      </c>
      <c r="FY390">
        <v>10</v>
      </c>
      <c r="GA390" t="s">
        <v>3</v>
      </c>
      <c r="GD390">
        <v>0</v>
      </c>
      <c r="GF390">
        <v>264693841</v>
      </c>
      <c r="GG390">
        <v>2</v>
      </c>
      <c r="GH390">
        <v>1</v>
      </c>
      <c r="GI390">
        <v>-2</v>
      </c>
      <c r="GJ390">
        <v>0</v>
      </c>
      <c r="GK390">
        <f>ROUND(R390*(R12)/100,2)</f>
        <v>0</v>
      </c>
      <c r="GL390">
        <f t="shared" si="328"/>
        <v>0</v>
      </c>
      <c r="GM390">
        <f t="shared" si="329"/>
        <v>5335.09</v>
      </c>
      <c r="GN390">
        <f t="shared" si="330"/>
        <v>0</v>
      </c>
      <c r="GO390">
        <f t="shared" si="331"/>
        <v>0</v>
      </c>
      <c r="GP390">
        <f t="shared" si="332"/>
        <v>5335.09</v>
      </c>
      <c r="GR390">
        <v>0</v>
      </c>
      <c r="GS390">
        <v>3</v>
      </c>
      <c r="GT390">
        <v>0</v>
      </c>
      <c r="GU390" t="s">
        <v>3</v>
      </c>
      <c r="GV390">
        <f t="shared" si="333"/>
        <v>0</v>
      </c>
      <c r="GW390">
        <v>1</v>
      </c>
      <c r="GX390">
        <f t="shared" si="334"/>
        <v>0</v>
      </c>
      <c r="HA390">
        <v>0</v>
      </c>
      <c r="HB390">
        <v>0</v>
      </c>
      <c r="HC390">
        <f t="shared" si="335"/>
        <v>0</v>
      </c>
      <c r="HE390" t="s">
        <v>3</v>
      </c>
      <c r="HF390" t="s">
        <v>3</v>
      </c>
      <c r="HM390" t="s">
        <v>3</v>
      </c>
      <c r="HN390" t="s">
        <v>3</v>
      </c>
      <c r="HO390" t="s">
        <v>3</v>
      </c>
      <c r="HP390" t="s">
        <v>3</v>
      </c>
      <c r="HQ390" t="s">
        <v>3</v>
      </c>
      <c r="IK390">
        <v>0</v>
      </c>
    </row>
    <row r="391" spans="1:245" x14ac:dyDescent="0.2">
      <c r="A391">
        <v>17</v>
      </c>
      <c r="B391">
        <v>1</v>
      </c>
      <c r="D391">
        <f>ROW(EtalonRes!A169)</f>
        <v>169</v>
      </c>
      <c r="E391" t="s">
        <v>301</v>
      </c>
      <c r="F391" t="s">
        <v>302</v>
      </c>
      <c r="G391" t="s">
        <v>303</v>
      </c>
      <c r="H391" t="s">
        <v>20</v>
      </c>
      <c r="I391">
        <v>2</v>
      </c>
      <c r="J391">
        <v>0</v>
      </c>
      <c r="K391">
        <v>2</v>
      </c>
      <c r="O391">
        <f t="shared" si="303"/>
        <v>271.10000000000002</v>
      </c>
      <c r="P391">
        <f t="shared" si="304"/>
        <v>1.26</v>
      </c>
      <c r="Q391">
        <f t="shared" si="305"/>
        <v>0</v>
      </c>
      <c r="R391">
        <f t="shared" si="306"/>
        <v>0</v>
      </c>
      <c r="S391">
        <f t="shared" si="307"/>
        <v>269.83999999999997</v>
      </c>
      <c r="T391">
        <f t="shared" si="308"/>
        <v>0</v>
      </c>
      <c r="U391">
        <f t="shared" si="309"/>
        <v>0.48</v>
      </c>
      <c r="V391">
        <f t="shared" si="310"/>
        <v>0</v>
      </c>
      <c r="W391">
        <f t="shared" si="311"/>
        <v>0</v>
      </c>
      <c r="X391">
        <f t="shared" si="312"/>
        <v>188.89</v>
      </c>
      <c r="Y391">
        <f t="shared" si="313"/>
        <v>26.98</v>
      </c>
      <c r="AA391">
        <v>1472506909</v>
      </c>
      <c r="AB391">
        <f t="shared" si="314"/>
        <v>135.55000000000001</v>
      </c>
      <c r="AC391">
        <f t="shared" si="340"/>
        <v>0.63</v>
      </c>
      <c r="AD391">
        <f t="shared" si="336"/>
        <v>0</v>
      </c>
      <c r="AE391">
        <f t="shared" si="337"/>
        <v>0</v>
      </c>
      <c r="AF391">
        <f t="shared" ref="AF391:AF396" si="341">ROUND((EV391),6)</f>
        <v>134.91999999999999</v>
      </c>
      <c r="AG391">
        <f t="shared" si="315"/>
        <v>0</v>
      </c>
      <c r="AH391">
        <f t="shared" ref="AH391:AH396" si="342">(EW391)</f>
        <v>0.24</v>
      </c>
      <c r="AI391">
        <f t="shared" si="338"/>
        <v>0</v>
      </c>
      <c r="AJ391">
        <f t="shared" si="316"/>
        <v>0</v>
      </c>
      <c r="AK391">
        <v>135.55000000000001</v>
      </c>
      <c r="AL391">
        <v>0.63</v>
      </c>
      <c r="AM391">
        <v>0</v>
      </c>
      <c r="AN391">
        <v>0</v>
      </c>
      <c r="AO391">
        <v>134.91999999999999</v>
      </c>
      <c r="AP391">
        <v>0</v>
      </c>
      <c r="AQ391">
        <v>0.24</v>
      </c>
      <c r="AR391">
        <v>0</v>
      </c>
      <c r="AS391">
        <v>0</v>
      </c>
      <c r="AT391">
        <v>70</v>
      </c>
      <c r="AU391">
        <v>10</v>
      </c>
      <c r="AV391">
        <v>1</v>
      </c>
      <c r="AW391">
        <v>1</v>
      </c>
      <c r="AZ391">
        <v>1</v>
      </c>
      <c r="BA391">
        <v>1</v>
      </c>
      <c r="BB391">
        <v>1</v>
      </c>
      <c r="BC391">
        <v>1</v>
      </c>
      <c r="BD391" t="s">
        <v>3</v>
      </c>
      <c r="BE391" t="s">
        <v>3</v>
      </c>
      <c r="BF391" t="s">
        <v>3</v>
      </c>
      <c r="BG391" t="s">
        <v>3</v>
      </c>
      <c r="BH391">
        <v>0</v>
      </c>
      <c r="BI391">
        <v>4</v>
      </c>
      <c r="BJ391" t="s">
        <v>304</v>
      </c>
      <c r="BM391">
        <v>0</v>
      </c>
      <c r="BN391">
        <v>0</v>
      </c>
      <c r="BO391" t="s">
        <v>3</v>
      </c>
      <c r="BP391">
        <v>0</v>
      </c>
      <c r="BQ391">
        <v>1</v>
      </c>
      <c r="BR391">
        <v>0</v>
      </c>
      <c r="BS391">
        <v>1</v>
      </c>
      <c r="BT391">
        <v>1</v>
      </c>
      <c r="BU391">
        <v>1</v>
      </c>
      <c r="BV391">
        <v>1</v>
      </c>
      <c r="BW391">
        <v>1</v>
      </c>
      <c r="BX391">
        <v>1</v>
      </c>
      <c r="BY391" t="s">
        <v>3</v>
      </c>
      <c r="BZ391">
        <v>70</v>
      </c>
      <c r="CA391">
        <v>10</v>
      </c>
      <c r="CB391" t="s">
        <v>3</v>
      </c>
      <c r="CE391">
        <v>0</v>
      </c>
      <c r="CF391">
        <v>0</v>
      </c>
      <c r="CG391">
        <v>0</v>
      </c>
      <c r="CM391">
        <v>0</v>
      </c>
      <c r="CN391" t="s">
        <v>3</v>
      </c>
      <c r="CO391">
        <v>0</v>
      </c>
      <c r="CP391">
        <f t="shared" si="317"/>
        <v>271.09999999999997</v>
      </c>
      <c r="CQ391">
        <f t="shared" si="318"/>
        <v>0.63</v>
      </c>
      <c r="CR391">
        <f t="shared" si="339"/>
        <v>0</v>
      </c>
      <c r="CS391">
        <f t="shared" si="319"/>
        <v>0</v>
      </c>
      <c r="CT391">
        <f t="shared" si="320"/>
        <v>134.91999999999999</v>
      </c>
      <c r="CU391">
        <f t="shared" si="321"/>
        <v>0</v>
      </c>
      <c r="CV391">
        <f t="shared" si="322"/>
        <v>0.24</v>
      </c>
      <c r="CW391">
        <f t="shared" si="323"/>
        <v>0</v>
      </c>
      <c r="CX391">
        <f t="shared" si="324"/>
        <v>0</v>
      </c>
      <c r="CY391">
        <f t="shared" si="325"/>
        <v>188.88800000000001</v>
      </c>
      <c r="CZ391">
        <f t="shared" si="326"/>
        <v>26.983999999999995</v>
      </c>
      <c r="DC391" t="s">
        <v>3</v>
      </c>
      <c r="DD391" t="s">
        <v>3</v>
      </c>
      <c r="DE391" t="s">
        <v>3</v>
      </c>
      <c r="DF391" t="s">
        <v>3</v>
      </c>
      <c r="DG391" t="s">
        <v>3</v>
      </c>
      <c r="DH391" t="s">
        <v>3</v>
      </c>
      <c r="DI391" t="s">
        <v>3</v>
      </c>
      <c r="DJ391" t="s">
        <v>3</v>
      </c>
      <c r="DK391" t="s">
        <v>3</v>
      </c>
      <c r="DL391" t="s">
        <v>3</v>
      </c>
      <c r="DM391" t="s">
        <v>3</v>
      </c>
      <c r="DN391">
        <v>0</v>
      </c>
      <c r="DO391">
        <v>0</v>
      </c>
      <c r="DP391">
        <v>1</v>
      </c>
      <c r="DQ391">
        <v>1</v>
      </c>
      <c r="DU391">
        <v>16987630</v>
      </c>
      <c r="DV391" t="s">
        <v>20</v>
      </c>
      <c r="DW391" t="s">
        <v>20</v>
      </c>
      <c r="DX391">
        <v>1</v>
      </c>
      <c r="DZ391" t="s">
        <v>3</v>
      </c>
      <c r="EA391" t="s">
        <v>3</v>
      </c>
      <c r="EB391" t="s">
        <v>3</v>
      </c>
      <c r="EC391" t="s">
        <v>3</v>
      </c>
      <c r="EE391">
        <v>1441815344</v>
      </c>
      <c r="EF391">
        <v>1</v>
      </c>
      <c r="EG391" t="s">
        <v>22</v>
      </c>
      <c r="EH391">
        <v>0</v>
      </c>
      <c r="EI391" t="s">
        <v>3</v>
      </c>
      <c r="EJ391">
        <v>4</v>
      </c>
      <c r="EK391">
        <v>0</v>
      </c>
      <c r="EL391" t="s">
        <v>23</v>
      </c>
      <c r="EM391" t="s">
        <v>24</v>
      </c>
      <c r="EO391" t="s">
        <v>3</v>
      </c>
      <c r="EQ391">
        <v>0</v>
      </c>
      <c r="ER391">
        <v>135.55000000000001</v>
      </c>
      <c r="ES391">
        <v>0.63</v>
      </c>
      <c r="ET391">
        <v>0</v>
      </c>
      <c r="EU391">
        <v>0</v>
      </c>
      <c r="EV391">
        <v>134.91999999999999</v>
      </c>
      <c r="EW391">
        <v>0.24</v>
      </c>
      <c r="EX391">
        <v>0</v>
      </c>
      <c r="EY391">
        <v>0</v>
      </c>
      <c r="FQ391">
        <v>0</v>
      </c>
      <c r="FR391">
        <f t="shared" si="327"/>
        <v>0</v>
      </c>
      <c r="FS391">
        <v>0</v>
      </c>
      <c r="FX391">
        <v>70</v>
      </c>
      <c r="FY391">
        <v>10</v>
      </c>
      <c r="GA391" t="s">
        <v>3</v>
      </c>
      <c r="GD391">
        <v>0</v>
      </c>
      <c r="GF391">
        <v>-1896070765</v>
      </c>
      <c r="GG391">
        <v>2</v>
      </c>
      <c r="GH391">
        <v>1</v>
      </c>
      <c r="GI391">
        <v>-2</v>
      </c>
      <c r="GJ391">
        <v>0</v>
      </c>
      <c r="GK391">
        <f>ROUND(R391*(R12)/100,2)</f>
        <v>0</v>
      </c>
      <c r="GL391">
        <f t="shared" si="328"/>
        <v>0</v>
      </c>
      <c r="GM391">
        <f t="shared" si="329"/>
        <v>486.97</v>
      </c>
      <c r="GN391">
        <f t="shared" si="330"/>
        <v>0</v>
      </c>
      <c r="GO391">
        <f t="shared" si="331"/>
        <v>0</v>
      </c>
      <c r="GP391">
        <f t="shared" si="332"/>
        <v>486.97</v>
      </c>
      <c r="GR391">
        <v>0</v>
      </c>
      <c r="GS391">
        <v>3</v>
      </c>
      <c r="GT391">
        <v>0</v>
      </c>
      <c r="GU391" t="s">
        <v>3</v>
      </c>
      <c r="GV391">
        <f t="shared" si="333"/>
        <v>0</v>
      </c>
      <c r="GW391">
        <v>1</v>
      </c>
      <c r="GX391">
        <f t="shared" si="334"/>
        <v>0</v>
      </c>
      <c r="HA391">
        <v>0</v>
      </c>
      <c r="HB391">
        <v>0</v>
      </c>
      <c r="HC391">
        <f t="shared" si="335"/>
        <v>0</v>
      </c>
      <c r="HE391" t="s">
        <v>3</v>
      </c>
      <c r="HF391" t="s">
        <v>3</v>
      </c>
      <c r="HM391" t="s">
        <v>3</v>
      </c>
      <c r="HN391" t="s">
        <v>3</v>
      </c>
      <c r="HO391" t="s">
        <v>3</v>
      </c>
      <c r="HP391" t="s">
        <v>3</v>
      </c>
      <c r="HQ391" t="s">
        <v>3</v>
      </c>
      <c r="IK391">
        <v>0</v>
      </c>
    </row>
    <row r="392" spans="1:245" x14ac:dyDescent="0.2">
      <c r="A392">
        <v>17</v>
      </c>
      <c r="B392">
        <v>1</v>
      </c>
      <c r="D392">
        <f>ROW(EtalonRes!A170)</f>
        <v>170</v>
      </c>
      <c r="E392" t="s">
        <v>305</v>
      </c>
      <c r="F392" t="s">
        <v>306</v>
      </c>
      <c r="G392" t="s">
        <v>307</v>
      </c>
      <c r="H392" t="s">
        <v>94</v>
      </c>
      <c r="I392">
        <f>ROUND(4/10,9)</f>
        <v>0.4</v>
      </c>
      <c r="J392">
        <v>0</v>
      </c>
      <c r="K392">
        <f>ROUND(4/10,9)</f>
        <v>0.4</v>
      </c>
      <c r="O392">
        <f t="shared" si="303"/>
        <v>227.24</v>
      </c>
      <c r="P392">
        <f t="shared" si="304"/>
        <v>0</v>
      </c>
      <c r="Q392">
        <f t="shared" si="305"/>
        <v>0</v>
      </c>
      <c r="R392">
        <f t="shared" si="306"/>
        <v>0</v>
      </c>
      <c r="S392">
        <f t="shared" si="307"/>
        <v>227.24</v>
      </c>
      <c r="T392">
        <f t="shared" si="308"/>
        <v>0</v>
      </c>
      <c r="U392">
        <f t="shared" si="309"/>
        <v>0.36800000000000005</v>
      </c>
      <c r="V392">
        <f t="shared" si="310"/>
        <v>0</v>
      </c>
      <c r="W392">
        <f t="shared" si="311"/>
        <v>0</v>
      </c>
      <c r="X392">
        <f t="shared" si="312"/>
        <v>159.07</v>
      </c>
      <c r="Y392">
        <f t="shared" si="313"/>
        <v>22.72</v>
      </c>
      <c r="AA392">
        <v>1472506909</v>
      </c>
      <c r="AB392">
        <f t="shared" si="314"/>
        <v>568.09</v>
      </c>
      <c r="AC392">
        <f t="shared" si="340"/>
        <v>0</v>
      </c>
      <c r="AD392">
        <f t="shared" si="336"/>
        <v>0</v>
      </c>
      <c r="AE392">
        <f t="shared" si="337"/>
        <v>0</v>
      </c>
      <c r="AF392">
        <f t="shared" si="341"/>
        <v>568.09</v>
      </c>
      <c r="AG392">
        <f t="shared" si="315"/>
        <v>0</v>
      </c>
      <c r="AH392">
        <f t="shared" si="342"/>
        <v>0.92</v>
      </c>
      <c r="AI392">
        <f t="shared" si="338"/>
        <v>0</v>
      </c>
      <c r="AJ392">
        <f t="shared" si="316"/>
        <v>0</v>
      </c>
      <c r="AK392">
        <v>568.09</v>
      </c>
      <c r="AL392">
        <v>0</v>
      </c>
      <c r="AM392">
        <v>0</v>
      </c>
      <c r="AN392">
        <v>0</v>
      </c>
      <c r="AO392">
        <v>568.09</v>
      </c>
      <c r="AP392">
        <v>0</v>
      </c>
      <c r="AQ392">
        <v>0.92</v>
      </c>
      <c r="AR392">
        <v>0</v>
      </c>
      <c r="AS392">
        <v>0</v>
      </c>
      <c r="AT392">
        <v>70</v>
      </c>
      <c r="AU392">
        <v>10</v>
      </c>
      <c r="AV392">
        <v>1</v>
      </c>
      <c r="AW392">
        <v>1</v>
      </c>
      <c r="AZ392">
        <v>1</v>
      </c>
      <c r="BA392">
        <v>1</v>
      </c>
      <c r="BB392">
        <v>1</v>
      </c>
      <c r="BC392">
        <v>1</v>
      </c>
      <c r="BD392" t="s">
        <v>3</v>
      </c>
      <c r="BE392" t="s">
        <v>3</v>
      </c>
      <c r="BF392" t="s">
        <v>3</v>
      </c>
      <c r="BG392" t="s">
        <v>3</v>
      </c>
      <c r="BH392">
        <v>0</v>
      </c>
      <c r="BI392">
        <v>4</v>
      </c>
      <c r="BJ392" t="s">
        <v>308</v>
      </c>
      <c r="BM392">
        <v>0</v>
      </c>
      <c r="BN392">
        <v>0</v>
      </c>
      <c r="BO392" t="s">
        <v>3</v>
      </c>
      <c r="BP392">
        <v>0</v>
      </c>
      <c r="BQ392">
        <v>1</v>
      </c>
      <c r="BR392">
        <v>0</v>
      </c>
      <c r="BS392">
        <v>1</v>
      </c>
      <c r="BT392">
        <v>1</v>
      </c>
      <c r="BU392">
        <v>1</v>
      </c>
      <c r="BV392">
        <v>1</v>
      </c>
      <c r="BW392">
        <v>1</v>
      </c>
      <c r="BX392">
        <v>1</v>
      </c>
      <c r="BY392" t="s">
        <v>3</v>
      </c>
      <c r="BZ392">
        <v>70</v>
      </c>
      <c r="CA392">
        <v>10</v>
      </c>
      <c r="CB392" t="s">
        <v>3</v>
      </c>
      <c r="CE392">
        <v>0</v>
      </c>
      <c r="CF392">
        <v>0</v>
      </c>
      <c r="CG392">
        <v>0</v>
      </c>
      <c r="CM392">
        <v>0</v>
      </c>
      <c r="CN392" t="s">
        <v>3</v>
      </c>
      <c r="CO392">
        <v>0</v>
      </c>
      <c r="CP392">
        <f t="shared" si="317"/>
        <v>227.24</v>
      </c>
      <c r="CQ392">
        <f t="shared" si="318"/>
        <v>0</v>
      </c>
      <c r="CR392">
        <f t="shared" si="339"/>
        <v>0</v>
      </c>
      <c r="CS392">
        <f t="shared" si="319"/>
        <v>0</v>
      </c>
      <c r="CT392">
        <f t="shared" si="320"/>
        <v>568.09</v>
      </c>
      <c r="CU392">
        <f t="shared" si="321"/>
        <v>0</v>
      </c>
      <c r="CV392">
        <f t="shared" si="322"/>
        <v>0.92</v>
      </c>
      <c r="CW392">
        <f t="shared" si="323"/>
        <v>0</v>
      </c>
      <c r="CX392">
        <f t="shared" si="324"/>
        <v>0</v>
      </c>
      <c r="CY392">
        <f t="shared" si="325"/>
        <v>159.06800000000001</v>
      </c>
      <c r="CZ392">
        <f t="shared" si="326"/>
        <v>22.724</v>
      </c>
      <c r="DC392" t="s">
        <v>3</v>
      </c>
      <c r="DD392" t="s">
        <v>3</v>
      </c>
      <c r="DE392" t="s">
        <v>3</v>
      </c>
      <c r="DF392" t="s">
        <v>3</v>
      </c>
      <c r="DG392" t="s">
        <v>3</v>
      </c>
      <c r="DH392" t="s">
        <v>3</v>
      </c>
      <c r="DI392" t="s">
        <v>3</v>
      </c>
      <c r="DJ392" t="s">
        <v>3</v>
      </c>
      <c r="DK392" t="s">
        <v>3</v>
      </c>
      <c r="DL392" t="s">
        <v>3</v>
      </c>
      <c r="DM392" t="s">
        <v>3</v>
      </c>
      <c r="DN392">
        <v>0</v>
      </c>
      <c r="DO392">
        <v>0</v>
      </c>
      <c r="DP392">
        <v>1</v>
      </c>
      <c r="DQ392">
        <v>1</v>
      </c>
      <c r="DU392">
        <v>16987630</v>
      </c>
      <c r="DV392" t="s">
        <v>94</v>
      </c>
      <c r="DW392" t="s">
        <v>94</v>
      </c>
      <c r="DX392">
        <v>10</v>
      </c>
      <c r="DZ392" t="s">
        <v>3</v>
      </c>
      <c r="EA392" t="s">
        <v>3</v>
      </c>
      <c r="EB392" t="s">
        <v>3</v>
      </c>
      <c r="EC392" t="s">
        <v>3</v>
      </c>
      <c r="EE392">
        <v>1441815344</v>
      </c>
      <c r="EF392">
        <v>1</v>
      </c>
      <c r="EG392" t="s">
        <v>22</v>
      </c>
      <c r="EH392">
        <v>0</v>
      </c>
      <c r="EI392" t="s">
        <v>3</v>
      </c>
      <c r="EJ392">
        <v>4</v>
      </c>
      <c r="EK392">
        <v>0</v>
      </c>
      <c r="EL392" t="s">
        <v>23</v>
      </c>
      <c r="EM392" t="s">
        <v>24</v>
      </c>
      <c r="EO392" t="s">
        <v>3</v>
      </c>
      <c r="EQ392">
        <v>0</v>
      </c>
      <c r="ER392">
        <v>568.09</v>
      </c>
      <c r="ES392">
        <v>0</v>
      </c>
      <c r="ET392">
        <v>0</v>
      </c>
      <c r="EU392">
        <v>0</v>
      </c>
      <c r="EV392">
        <v>568.09</v>
      </c>
      <c r="EW392">
        <v>0.92</v>
      </c>
      <c r="EX392">
        <v>0</v>
      </c>
      <c r="EY392">
        <v>0</v>
      </c>
      <c r="FQ392">
        <v>0</v>
      </c>
      <c r="FR392">
        <f t="shared" si="327"/>
        <v>0</v>
      </c>
      <c r="FS392">
        <v>0</v>
      </c>
      <c r="FX392">
        <v>70</v>
      </c>
      <c r="FY392">
        <v>10</v>
      </c>
      <c r="GA392" t="s">
        <v>3</v>
      </c>
      <c r="GD392">
        <v>0</v>
      </c>
      <c r="GF392">
        <v>2082338734</v>
      </c>
      <c r="GG392">
        <v>2</v>
      </c>
      <c r="GH392">
        <v>1</v>
      </c>
      <c r="GI392">
        <v>-2</v>
      </c>
      <c r="GJ392">
        <v>0</v>
      </c>
      <c r="GK392">
        <f>ROUND(R392*(R12)/100,2)</f>
        <v>0</v>
      </c>
      <c r="GL392">
        <f t="shared" si="328"/>
        <v>0</v>
      </c>
      <c r="GM392">
        <f t="shared" si="329"/>
        <v>409.03</v>
      </c>
      <c r="GN392">
        <f t="shared" si="330"/>
        <v>0</v>
      </c>
      <c r="GO392">
        <f t="shared" si="331"/>
        <v>0</v>
      </c>
      <c r="GP392">
        <f t="shared" si="332"/>
        <v>409.03</v>
      </c>
      <c r="GR392">
        <v>0</v>
      </c>
      <c r="GS392">
        <v>3</v>
      </c>
      <c r="GT392">
        <v>0</v>
      </c>
      <c r="GU392" t="s">
        <v>3</v>
      </c>
      <c r="GV392">
        <f t="shared" si="333"/>
        <v>0</v>
      </c>
      <c r="GW392">
        <v>1</v>
      </c>
      <c r="GX392">
        <f t="shared" si="334"/>
        <v>0</v>
      </c>
      <c r="HA392">
        <v>0</v>
      </c>
      <c r="HB392">
        <v>0</v>
      </c>
      <c r="HC392">
        <f t="shared" si="335"/>
        <v>0</v>
      </c>
      <c r="HE392" t="s">
        <v>3</v>
      </c>
      <c r="HF392" t="s">
        <v>3</v>
      </c>
      <c r="HM392" t="s">
        <v>3</v>
      </c>
      <c r="HN392" t="s">
        <v>3</v>
      </c>
      <c r="HO392" t="s">
        <v>3</v>
      </c>
      <c r="HP392" t="s">
        <v>3</v>
      </c>
      <c r="HQ392" t="s">
        <v>3</v>
      </c>
      <c r="IK392">
        <v>0</v>
      </c>
    </row>
    <row r="393" spans="1:245" x14ac:dyDescent="0.2">
      <c r="A393">
        <v>17</v>
      </c>
      <c r="B393">
        <v>1</v>
      </c>
      <c r="D393">
        <f>ROW(EtalonRes!A172)</f>
        <v>172</v>
      </c>
      <c r="E393" t="s">
        <v>309</v>
      </c>
      <c r="F393" t="s">
        <v>30</v>
      </c>
      <c r="G393" t="s">
        <v>310</v>
      </c>
      <c r="H393" t="s">
        <v>20</v>
      </c>
      <c r="I393">
        <v>2</v>
      </c>
      <c r="J393">
        <v>0</v>
      </c>
      <c r="K393">
        <v>2</v>
      </c>
      <c r="O393">
        <f t="shared" si="303"/>
        <v>572.36</v>
      </c>
      <c r="P393">
        <f t="shared" si="304"/>
        <v>0</v>
      </c>
      <c r="Q393">
        <f t="shared" si="305"/>
        <v>156.36000000000001</v>
      </c>
      <c r="R393">
        <f t="shared" si="306"/>
        <v>99.14</v>
      </c>
      <c r="S393">
        <f t="shared" si="307"/>
        <v>416</v>
      </c>
      <c r="T393">
        <f t="shared" si="308"/>
        <v>0</v>
      </c>
      <c r="U393">
        <f t="shared" si="309"/>
        <v>0.74</v>
      </c>
      <c r="V393">
        <f t="shared" si="310"/>
        <v>0</v>
      </c>
      <c r="W393">
        <f t="shared" si="311"/>
        <v>0</v>
      </c>
      <c r="X393">
        <f t="shared" si="312"/>
        <v>291.2</v>
      </c>
      <c r="Y393">
        <f t="shared" si="313"/>
        <v>41.6</v>
      </c>
      <c r="AA393">
        <v>1472506909</v>
      </c>
      <c r="AB393">
        <f t="shared" si="314"/>
        <v>286.18</v>
      </c>
      <c r="AC393">
        <f t="shared" si="340"/>
        <v>0</v>
      </c>
      <c r="AD393">
        <f t="shared" si="336"/>
        <v>78.180000000000007</v>
      </c>
      <c r="AE393">
        <f t="shared" si="337"/>
        <v>49.57</v>
      </c>
      <c r="AF393">
        <f t="shared" si="341"/>
        <v>208</v>
      </c>
      <c r="AG393">
        <f t="shared" si="315"/>
        <v>0</v>
      </c>
      <c r="AH393">
        <f t="shared" si="342"/>
        <v>0.37</v>
      </c>
      <c r="AI393">
        <f t="shared" si="338"/>
        <v>0</v>
      </c>
      <c r="AJ393">
        <f t="shared" si="316"/>
        <v>0</v>
      </c>
      <c r="AK393">
        <v>286.18</v>
      </c>
      <c r="AL393">
        <v>0</v>
      </c>
      <c r="AM393">
        <v>78.180000000000007</v>
      </c>
      <c r="AN393">
        <v>49.57</v>
      </c>
      <c r="AO393">
        <v>208</v>
      </c>
      <c r="AP393">
        <v>0</v>
      </c>
      <c r="AQ393">
        <v>0.37</v>
      </c>
      <c r="AR393">
        <v>0</v>
      </c>
      <c r="AS393">
        <v>0</v>
      </c>
      <c r="AT393">
        <v>70</v>
      </c>
      <c r="AU393">
        <v>10</v>
      </c>
      <c r="AV393">
        <v>1</v>
      </c>
      <c r="AW393">
        <v>1</v>
      </c>
      <c r="AZ393">
        <v>1</v>
      </c>
      <c r="BA393">
        <v>1</v>
      </c>
      <c r="BB393">
        <v>1</v>
      </c>
      <c r="BC393">
        <v>1</v>
      </c>
      <c r="BD393" t="s">
        <v>3</v>
      </c>
      <c r="BE393" t="s">
        <v>3</v>
      </c>
      <c r="BF393" t="s">
        <v>3</v>
      </c>
      <c r="BG393" t="s">
        <v>3</v>
      </c>
      <c r="BH393">
        <v>0</v>
      </c>
      <c r="BI393">
        <v>4</v>
      </c>
      <c r="BJ393" t="s">
        <v>32</v>
      </c>
      <c r="BM393">
        <v>0</v>
      </c>
      <c r="BN393">
        <v>0</v>
      </c>
      <c r="BO393" t="s">
        <v>3</v>
      </c>
      <c r="BP393">
        <v>0</v>
      </c>
      <c r="BQ393">
        <v>1</v>
      </c>
      <c r="BR393">
        <v>0</v>
      </c>
      <c r="BS393">
        <v>1</v>
      </c>
      <c r="BT393">
        <v>1</v>
      </c>
      <c r="BU393">
        <v>1</v>
      </c>
      <c r="BV393">
        <v>1</v>
      </c>
      <c r="BW393">
        <v>1</v>
      </c>
      <c r="BX393">
        <v>1</v>
      </c>
      <c r="BY393" t="s">
        <v>3</v>
      </c>
      <c r="BZ393">
        <v>70</v>
      </c>
      <c r="CA393">
        <v>10</v>
      </c>
      <c r="CB393" t="s">
        <v>3</v>
      </c>
      <c r="CE393">
        <v>0</v>
      </c>
      <c r="CF393">
        <v>0</v>
      </c>
      <c r="CG393">
        <v>0</v>
      </c>
      <c r="CM393">
        <v>0</v>
      </c>
      <c r="CN393" t="s">
        <v>3</v>
      </c>
      <c r="CO393">
        <v>0</v>
      </c>
      <c r="CP393">
        <f t="shared" si="317"/>
        <v>572.36</v>
      </c>
      <c r="CQ393">
        <f t="shared" si="318"/>
        <v>0</v>
      </c>
      <c r="CR393">
        <f t="shared" si="339"/>
        <v>78.180000000000007</v>
      </c>
      <c r="CS393">
        <f t="shared" si="319"/>
        <v>49.57</v>
      </c>
      <c r="CT393">
        <f t="shared" si="320"/>
        <v>208</v>
      </c>
      <c r="CU393">
        <f t="shared" si="321"/>
        <v>0</v>
      </c>
      <c r="CV393">
        <f t="shared" si="322"/>
        <v>0.37</v>
      </c>
      <c r="CW393">
        <f t="shared" si="323"/>
        <v>0</v>
      </c>
      <c r="CX393">
        <f t="shared" si="324"/>
        <v>0</v>
      </c>
      <c r="CY393">
        <f t="shared" si="325"/>
        <v>291.2</v>
      </c>
      <c r="CZ393">
        <f t="shared" si="326"/>
        <v>41.6</v>
      </c>
      <c r="DC393" t="s">
        <v>3</v>
      </c>
      <c r="DD393" t="s">
        <v>3</v>
      </c>
      <c r="DE393" t="s">
        <v>3</v>
      </c>
      <c r="DF393" t="s">
        <v>3</v>
      </c>
      <c r="DG393" t="s">
        <v>3</v>
      </c>
      <c r="DH393" t="s">
        <v>3</v>
      </c>
      <c r="DI393" t="s">
        <v>3</v>
      </c>
      <c r="DJ393" t="s">
        <v>3</v>
      </c>
      <c r="DK393" t="s">
        <v>3</v>
      </c>
      <c r="DL393" t="s">
        <v>3</v>
      </c>
      <c r="DM393" t="s">
        <v>3</v>
      </c>
      <c r="DN393">
        <v>0</v>
      </c>
      <c r="DO393">
        <v>0</v>
      </c>
      <c r="DP393">
        <v>1</v>
      </c>
      <c r="DQ393">
        <v>1</v>
      </c>
      <c r="DU393">
        <v>16987630</v>
      </c>
      <c r="DV393" t="s">
        <v>20</v>
      </c>
      <c r="DW393" t="s">
        <v>20</v>
      </c>
      <c r="DX393">
        <v>1</v>
      </c>
      <c r="DZ393" t="s">
        <v>3</v>
      </c>
      <c r="EA393" t="s">
        <v>3</v>
      </c>
      <c r="EB393" t="s">
        <v>3</v>
      </c>
      <c r="EC393" t="s">
        <v>3</v>
      </c>
      <c r="EE393">
        <v>1441815344</v>
      </c>
      <c r="EF393">
        <v>1</v>
      </c>
      <c r="EG393" t="s">
        <v>22</v>
      </c>
      <c r="EH393">
        <v>0</v>
      </c>
      <c r="EI393" t="s">
        <v>3</v>
      </c>
      <c r="EJ393">
        <v>4</v>
      </c>
      <c r="EK393">
        <v>0</v>
      </c>
      <c r="EL393" t="s">
        <v>23</v>
      </c>
      <c r="EM393" t="s">
        <v>24</v>
      </c>
      <c r="EO393" t="s">
        <v>3</v>
      </c>
      <c r="EQ393">
        <v>0</v>
      </c>
      <c r="ER393">
        <v>286.18</v>
      </c>
      <c r="ES393">
        <v>0</v>
      </c>
      <c r="ET393">
        <v>78.180000000000007</v>
      </c>
      <c r="EU393">
        <v>49.57</v>
      </c>
      <c r="EV393">
        <v>208</v>
      </c>
      <c r="EW393">
        <v>0.37</v>
      </c>
      <c r="EX393">
        <v>0</v>
      </c>
      <c r="EY393">
        <v>0</v>
      </c>
      <c r="FQ393">
        <v>0</v>
      </c>
      <c r="FR393">
        <f t="shared" si="327"/>
        <v>0</v>
      </c>
      <c r="FS393">
        <v>0</v>
      </c>
      <c r="FX393">
        <v>70</v>
      </c>
      <c r="FY393">
        <v>10</v>
      </c>
      <c r="GA393" t="s">
        <v>3</v>
      </c>
      <c r="GD393">
        <v>0</v>
      </c>
      <c r="GF393">
        <v>-1960869045</v>
      </c>
      <c r="GG393">
        <v>2</v>
      </c>
      <c r="GH393">
        <v>1</v>
      </c>
      <c r="GI393">
        <v>-2</v>
      </c>
      <c r="GJ393">
        <v>0</v>
      </c>
      <c r="GK393">
        <f>ROUND(R393*(R12)/100,2)</f>
        <v>107.07</v>
      </c>
      <c r="GL393">
        <f t="shared" si="328"/>
        <v>0</v>
      </c>
      <c r="GM393">
        <f t="shared" si="329"/>
        <v>1012.23</v>
      </c>
      <c r="GN393">
        <f t="shared" si="330"/>
        <v>0</v>
      </c>
      <c r="GO393">
        <f t="shared" si="331"/>
        <v>0</v>
      </c>
      <c r="GP393">
        <f t="shared" si="332"/>
        <v>1012.23</v>
      </c>
      <c r="GR393">
        <v>0</v>
      </c>
      <c r="GS393">
        <v>3</v>
      </c>
      <c r="GT393">
        <v>0</v>
      </c>
      <c r="GU393" t="s">
        <v>3</v>
      </c>
      <c r="GV393">
        <f t="shared" si="333"/>
        <v>0</v>
      </c>
      <c r="GW393">
        <v>1</v>
      </c>
      <c r="GX393">
        <f t="shared" si="334"/>
        <v>0</v>
      </c>
      <c r="HA393">
        <v>0</v>
      </c>
      <c r="HB393">
        <v>0</v>
      </c>
      <c r="HC393">
        <f t="shared" si="335"/>
        <v>0</v>
      </c>
      <c r="HE393" t="s">
        <v>3</v>
      </c>
      <c r="HF393" t="s">
        <v>3</v>
      </c>
      <c r="HM393" t="s">
        <v>3</v>
      </c>
      <c r="HN393" t="s">
        <v>3</v>
      </c>
      <c r="HO393" t="s">
        <v>3</v>
      </c>
      <c r="HP393" t="s">
        <v>3</v>
      </c>
      <c r="HQ393" t="s">
        <v>3</v>
      </c>
      <c r="IK393">
        <v>0</v>
      </c>
    </row>
    <row r="394" spans="1:245" x14ac:dyDescent="0.2">
      <c r="A394">
        <v>17</v>
      </c>
      <c r="B394">
        <v>1</v>
      </c>
      <c r="D394">
        <f>ROW(EtalonRes!A175)</f>
        <v>175</v>
      </c>
      <c r="E394" t="s">
        <v>311</v>
      </c>
      <c r="F394" t="s">
        <v>312</v>
      </c>
      <c r="G394" t="s">
        <v>313</v>
      </c>
      <c r="H394" t="s">
        <v>94</v>
      </c>
      <c r="I394">
        <f>ROUND(2/10,9)</f>
        <v>0.2</v>
      </c>
      <c r="J394">
        <v>0</v>
      </c>
      <c r="K394">
        <f>ROUND(2/10,9)</f>
        <v>0.2</v>
      </c>
      <c r="O394">
        <f t="shared" si="303"/>
        <v>497.06</v>
      </c>
      <c r="P394">
        <f t="shared" si="304"/>
        <v>0.1</v>
      </c>
      <c r="Q394">
        <f t="shared" si="305"/>
        <v>0</v>
      </c>
      <c r="R394">
        <f t="shared" si="306"/>
        <v>0</v>
      </c>
      <c r="S394">
        <f t="shared" si="307"/>
        <v>496.96</v>
      </c>
      <c r="T394">
        <f t="shared" si="308"/>
        <v>0</v>
      </c>
      <c r="U394">
        <f t="shared" si="309"/>
        <v>0.88400000000000001</v>
      </c>
      <c r="V394">
        <f t="shared" si="310"/>
        <v>0</v>
      </c>
      <c r="W394">
        <f t="shared" si="311"/>
        <v>0</v>
      </c>
      <c r="X394">
        <f t="shared" si="312"/>
        <v>347.87</v>
      </c>
      <c r="Y394">
        <f t="shared" si="313"/>
        <v>49.7</v>
      </c>
      <c r="AA394">
        <v>1472506909</v>
      </c>
      <c r="AB394">
        <f t="shared" si="314"/>
        <v>2485.29</v>
      </c>
      <c r="AC394">
        <f t="shared" si="340"/>
        <v>0.5</v>
      </c>
      <c r="AD394">
        <f t="shared" si="336"/>
        <v>0</v>
      </c>
      <c r="AE394">
        <f t="shared" si="337"/>
        <v>0</v>
      </c>
      <c r="AF394">
        <f t="shared" si="341"/>
        <v>2484.79</v>
      </c>
      <c r="AG394">
        <f t="shared" si="315"/>
        <v>0</v>
      </c>
      <c r="AH394">
        <f t="shared" si="342"/>
        <v>4.42</v>
      </c>
      <c r="AI394">
        <f t="shared" si="338"/>
        <v>0</v>
      </c>
      <c r="AJ394">
        <f t="shared" si="316"/>
        <v>0</v>
      </c>
      <c r="AK394">
        <v>2485.29</v>
      </c>
      <c r="AL394">
        <v>0.5</v>
      </c>
      <c r="AM394">
        <v>0</v>
      </c>
      <c r="AN394">
        <v>0</v>
      </c>
      <c r="AO394">
        <v>2484.79</v>
      </c>
      <c r="AP394">
        <v>0</v>
      </c>
      <c r="AQ394">
        <v>4.42</v>
      </c>
      <c r="AR394">
        <v>0</v>
      </c>
      <c r="AS394">
        <v>0</v>
      </c>
      <c r="AT394">
        <v>70</v>
      </c>
      <c r="AU394">
        <v>10</v>
      </c>
      <c r="AV394">
        <v>1</v>
      </c>
      <c r="AW394">
        <v>1</v>
      </c>
      <c r="AZ394">
        <v>1</v>
      </c>
      <c r="BA394">
        <v>1</v>
      </c>
      <c r="BB394">
        <v>1</v>
      </c>
      <c r="BC394">
        <v>1</v>
      </c>
      <c r="BD394" t="s">
        <v>3</v>
      </c>
      <c r="BE394" t="s">
        <v>3</v>
      </c>
      <c r="BF394" t="s">
        <v>3</v>
      </c>
      <c r="BG394" t="s">
        <v>3</v>
      </c>
      <c r="BH394">
        <v>0</v>
      </c>
      <c r="BI394">
        <v>4</v>
      </c>
      <c r="BJ394" t="s">
        <v>314</v>
      </c>
      <c r="BM394">
        <v>0</v>
      </c>
      <c r="BN394">
        <v>0</v>
      </c>
      <c r="BO394" t="s">
        <v>3</v>
      </c>
      <c r="BP394">
        <v>0</v>
      </c>
      <c r="BQ394">
        <v>1</v>
      </c>
      <c r="BR394">
        <v>0</v>
      </c>
      <c r="BS394">
        <v>1</v>
      </c>
      <c r="BT394">
        <v>1</v>
      </c>
      <c r="BU394">
        <v>1</v>
      </c>
      <c r="BV394">
        <v>1</v>
      </c>
      <c r="BW394">
        <v>1</v>
      </c>
      <c r="BX394">
        <v>1</v>
      </c>
      <c r="BY394" t="s">
        <v>3</v>
      </c>
      <c r="BZ394">
        <v>70</v>
      </c>
      <c r="CA394">
        <v>10</v>
      </c>
      <c r="CB394" t="s">
        <v>3</v>
      </c>
      <c r="CE394">
        <v>0</v>
      </c>
      <c r="CF394">
        <v>0</v>
      </c>
      <c r="CG394">
        <v>0</v>
      </c>
      <c r="CM394">
        <v>0</v>
      </c>
      <c r="CN394" t="s">
        <v>3</v>
      </c>
      <c r="CO394">
        <v>0</v>
      </c>
      <c r="CP394">
        <f t="shared" si="317"/>
        <v>497.06</v>
      </c>
      <c r="CQ394">
        <f t="shared" si="318"/>
        <v>0.5</v>
      </c>
      <c r="CR394">
        <f t="shared" si="339"/>
        <v>0</v>
      </c>
      <c r="CS394">
        <f t="shared" si="319"/>
        <v>0</v>
      </c>
      <c r="CT394">
        <f t="shared" si="320"/>
        <v>2484.79</v>
      </c>
      <c r="CU394">
        <f t="shared" si="321"/>
        <v>0</v>
      </c>
      <c r="CV394">
        <f t="shared" si="322"/>
        <v>4.42</v>
      </c>
      <c r="CW394">
        <f t="shared" si="323"/>
        <v>0</v>
      </c>
      <c r="CX394">
        <f t="shared" si="324"/>
        <v>0</v>
      </c>
      <c r="CY394">
        <f t="shared" si="325"/>
        <v>347.87199999999996</v>
      </c>
      <c r="CZ394">
        <f t="shared" si="326"/>
        <v>49.695999999999998</v>
      </c>
      <c r="DC394" t="s">
        <v>3</v>
      </c>
      <c r="DD394" t="s">
        <v>3</v>
      </c>
      <c r="DE394" t="s">
        <v>3</v>
      </c>
      <c r="DF394" t="s">
        <v>3</v>
      </c>
      <c r="DG394" t="s">
        <v>3</v>
      </c>
      <c r="DH394" t="s">
        <v>3</v>
      </c>
      <c r="DI394" t="s">
        <v>3</v>
      </c>
      <c r="DJ394" t="s">
        <v>3</v>
      </c>
      <c r="DK394" t="s">
        <v>3</v>
      </c>
      <c r="DL394" t="s">
        <v>3</v>
      </c>
      <c r="DM394" t="s">
        <v>3</v>
      </c>
      <c r="DN394">
        <v>0</v>
      </c>
      <c r="DO394">
        <v>0</v>
      </c>
      <c r="DP394">
        <v>1</v>
      </c>
      <c r="DQ394">
        <v>1</v>
      </c>
      <c r="DU394">
        <v>16987630</v>
      </c>
      <c r="DV394" t="s">
        <v>94</v>
      </c>
      <c r="DW394" t="s">
        <v>94</v>
      </c>
      <c r="DX394">
        <v>10</v>
      </c>
      <c r="DZ394" t="s">
        <v>3</v>
      </c>
      <c r="EA394" t="s">
        <v>3</v>
      </c>
      <c r="EB394" t="s">
        <v>3</v>
      </c>
      <c r="EC394" t="s">
        <v>3</v>
      </c>
      <c r="EE394">
        <v>1441815344</v>
      </c>
      <c r="EF394">
        <v>1</v>
      </c>
      <c r="EG394" t="s">
        <v>22</v>
      </c>
      <c r="EH394">
        <v>0</v>
      </c>
      <c r="EI394" t="s">
        <v>3</v>
      </c>
      <c r="EJ394">
        <v>4</v>
      </c>
      <c r="EK394">
        <v>0</v>
      </c>
      <c r="EL394" t="s">
        <v>23</v>
      </c>
      <c r="EM394" t="s">
        <v>24</v>
      </c>
      <c r="EO394" t="s">
        <v>3</v>
      </c>
      <c r="EQ394">
        <v>0</v>
      </c>
      <c r="ER394">
        <v>2485.29</v>
      </c>
      <c r="ES394">
        <v>0.5</v>
      </c>
      <c r="ET394">
        <v>0</v>
      </c>
      <c r="EU394">
        <v>0</v>
      </c>
      <c r="EV394">
        <v>2484.79</v>
      </c>
      <c r="EW394">
        <v>4.42</v>
      </c>
      <c r="EX394">
        <v>0</v>
      </c>
      <c r="EY394">
        <v>0</v>
      </c>
      <c r="FQ394">
        <v>0</v>
      </c>
      <c r="FR394">
        <f t="shared" si="327"/>
        <v>0</v>
      </c>
      <c r="FS394">
        <v>0</v>
      </c>
      <c r="FX394">
        <v>70</v>
      </c>
      <c r="FY394">
        <v>10</v>
      </c>
      <c r="GA394" t="s">
        <v>3</v>
      </c>
      <c r="GD394">
        <v>0</v>
      </c>
      <c r="GF394">
        <v>-1487777915</v>
      </c>
      <c r="GG394">
        <v>2</v>
      </c>
      <c r="GH394">
        <v>1</v>
      </c>
      <c r="GI394">
        <v>-2</v>
      </c>
      <c r="GJ394">
        <v>0</v>
      </c>
      <c r="GK394">
        <f>ROUND(R394*(R12)/100,2)</f>
        <v>0</v>
      </c>
      <c r="GL394">
        <f t="shared" si="328"/>
        <v>0</v>
      </c>
      <c r="GM394">
        <f t="shared" si="329"/>
        <v>894.63</v>
      </c>
      <c r="GN394">
        <f t="shared" si="330"/>
        <v>0</v>
      </c>
      <c r="GO394">
        <f t="shared" si="331"/>
        <v>0</v>
      </c>
      <c r="GP394">
        <f t="shared" si="332"/>
        <v>894.63</v>
      </c>
      <c r="GR394">
        <v>0</v>
      </c>
      <c r="GS394">
        <v>3</v>
      </c>
      <c r="GT394">
        <v>0</v>
      </c>
      <c r="GU394" t="s">
        <v>3</v>
      </c>
      <c r="GV394">
        <f t="shared" si="333"/>
        <v>0</v>
      </c>
      <c r="GW394">
        <v>1</v>
      </c>
      <c r="GX394">
        <f t="shared" si="334"/>
        <v>0</v>
      </c>
      <c r="HA394">
        <v>0</v>
      </c>
      <c r="HB394">
        <v>0</v>
      </c>
      <c r="HC394">
        <f t="shared" si="335"/>
        <v>0</v>
      </c>
      <c r="HE394" t="s">
        <v>3</v>
      </c>
      <c r="HF394" t="s">
        <v>3</v>
      </c>
      <c r="HM394" t="s">
        <v>3</v>
      </c>
      <c r="HN394" t="s">
        <v>3</v>
      </c>
      <c r="HO394" t="s">
        <v>3</v>
      </c>
      <c r="HP394" t="s">
        <v>3</v>
      </c>
      <c r="HQ394" t="s">
        <v>3</v>
      </c>
      <c r="IK394">
        <v>0</v>
      </c>
    </row>
    <row r="395" spans="1:245" x14ac:dyDescent="0.2">
      <c r="A395">
        <v>18</v>
      </c>
      <c r="B395">
        <v>1</v>
      </c>
      <c r="E395" t="s">
        <v>315</v>
      </c>
      <c r="F395" t="s">
        <v>316</v>
      </c>
      <c r="G395" t="s">
        <v>317</v>
      </c>
      <c r="H395" t="s">
        <v>20</v>
      </c>
      <c r="I395">
        <f>I394*J395</f>
        <v>2</v>
      </c>
      <c r="J395">
        <v>10</v>
      </c>
      <c r="K395">
        <v>10</v>
      </c>
      <c r="O395">
        <f t="shared" si="303"/>
        <v>492.68</v>
      </c>
      <c r="P395">
        <f t="shared" si="304"/>
        <v>492.68</v>
      </c>
      <c r="Q395">
        <f t="shared" si="305"/>
        <v>0</v>
      </c>
      <c r="R395">
        <f t="shared" si="306"/>
        <v>0</v>
      </c>
      <c r="S395">
        <f t="shared" si="307"/>
        <v>0</v>
      </c>
      <c r="T395">
        <f t="shared" si="308"/>
        <v>0</v>
      </c>
      <c r="U395">
        <f t="shared" si="309"/>
        <v>0</v>
      </c>
      <c r="V395">
        <f t="shared" si="310"/>
        <v>0</v>
      </c>
      <c r="W395">
        <f t="shared" si="311"/>
        <v>0</v>
      </c>
      <c r="X395">
        <f t="shared" si="312"/>
        <v>0</v>
      </c>
      <c r="Y395">
        <f t="shared" si="313"/>
        <v>0</v>
      </c>
      <c r="AA395">
        <v>1472506909</v>
      </c>
      <c r="AB395">
        <f t="shared" si="314"/>
        <v>246.34</v>
      </c>
      <c r="AC395">
        <f t="shared" si="340"/>
        <v>246.34</v>
      </c>
      <c r="AD395">
        <f t="shared" si="336"/>
        <v>0</v>
      </c>
      <c r="AE395">
        <f t="shared" si="337"/>
        <v>0</v>
      </c>
      <c r="AF395">
        <f t="shared" si="341"/>
        <v>0</v>
      </c>
      <c r="AG395">
        <f t="shared" si="315"/>
        <v>0</v>
      </c>
      <c r="AH395">
        <f t="shared" si="342"/>
        <v>0</v>
      </c>
      <c r="AI395">
        <f t="shared" si="338"/>
        <v>0</v>
      </c>
      <c r="AJ395">
        <f t="shared" si="316"/>
        <v>0</v>
      </c>
      <c r="AK395">
        <v>246.34</v>
      </c>
      <c r="AL395">
        <v>246.34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70</v>
      </c>
      <c r="AU395">
        <v>10</v>
      </c>
      <c r="AV395">
        <v>1</v>
      </c>
      <c r="AW395">
        <v>1</v>
      </c>
      <c r="AZ395">
        <v>1</v>
      </c>
      <c r="BA395">
        <v>1</v>
      </c>
      <c r="BB395">
        <v>1</v>
      </c>
      <c r="BC395">
        <v>1</v>
      </c>
      <c r="BD395" t="s">
        <v>3</v>
      </c>
      <c r="BE395" t="s">
        <v>3</v>
      </c>
      <c r="BF395" t="s">
        <v>3</v>
      </c>
      <c r="BG395" t="s">
        <v>3</v>
      </c>
      <c r="BH395">
        <v>3</v>
      </c>
      <c r="BI395">
        <v>4</v>
      </c>
      <c r="BJ395" t="s">
        <v>318</v>
      </c>
      <c r="BM395">
        <v>0</v>
      </c>
      <c r="BN395">
        <v>0</v>
      </c>
      <c r="BO395" t="s">
        <v>3</v>
      </c>
      <c r="BP395">
        <v>0</v>
      </c>
      <c r="BQ395">
        <v>1</v>
      </c>
      <c r="BR395">
        <v>0</v>
      </c>
      <c r="BS395">
        <v>1</v>
      </c>
      <c r="BT395">
        <v>1</v>
      </c>
      <c r="BU395">
        <v>1</v>
      </c>
      <c r="BV395">
        <v>1</v>
      </c>
      <c r="BW395">
        <v>1</v>
      </c>
      <c r="BX395">
        <v>1</v>
      </c>
      <c r="BY395" t="s">
        <v>3</v>
      </c>
      <c r="BZ395">
        <v>70</v>
      </c>
      <c r="CA395">
        <v>10</v>
      </c>
      <c r="CB395" t="s">
        <v>3</v>
      </c>
      <c r="CE395">
        <v>0</v>
      </c>
      <c r="CF395">
        <v>0</v>
      </c>
      <c r="CG395">
        <v>0</v>
      </c>
      <c r="CM395">
        <v>0</v>
      </c>
      <c r="CN395" t="s">
        <v>3</v>
      </c>
      <c r="CO395">
        <v>0</v>
      </c>
      <c r="CP395">
        <f t="shared" si="317"/>
        <v>492.68</v>
      </c>
      <c r="CQ395">
        <f t="shared" si="318"/>
        <v>246.34</v>
      </c>
      <c r="CR395">
        <f t="shared" si="339"/>
        <v>0</v>
      </c>
      <c r="CS395">
        <f t="shared" si="319"/>
        <v>0</v>
      </c>
      <c r="CT395">
        <f t="shared" si="320"/>
        <v>0</v>
      </c>
      <c r="CU395">
        <f t="shared" si="321"/>
        <v>0</v>
      </c>
      <c r="CV395">
        <f t="shared" si="322"/>
        <v>0</v>
      </c>
      <c r="CW395">
        <f t="shared" si="323"/>
        <v>0</v>
      </c>
      <c r="CX395">
        <f t="shared" si="324"/>
        <v>0</v>
      </c>
      <c r="CY395">
        <f t="shared" si="325"/>
        <v>0</v>
      </c>
      <c r="CZ395">
        <f t="shared" si="326"/>
        <v>0</v>
      </c>
      <c r="DC395" t="s">
        <v>3</v>
      </c>
      <c r="DD395" t="s">
        <v>3</v>
      </c>
      <c r="DE395" t="s">
        <v>3</v>
      </c>
      <c r="DF395" t="s">
        <v>3</v>
      </c>
      <c r="DG395" t="s">
        <v>3</v>
      </c>
      <c r="DH395" t="s">
        <v>3</v>
      </c>
      <c r="DI395" t="s">
        <v>3</v>
      </c>
      <c r="DJ395" t="s">
        <v>3</v>
      </c>
      <c r="DK395" t="s">
        <v>3</v>
      </c>
      <c r="DL395" t="s">
        <v>3</v>
      </c>
      <c r="DM395" t="s">
        <v>3</v>
      </c>
      <c r="DN395">
        <v>0</v>
      </c>
      <c r="DO395">
        <v>0</v>
      </c>
      <c r="DP395">
        <v>1</v>
      </c>
      <c r="DQ395">
        <v>1</v>
      </c>
      <c r="DU395">
        <v>16987630</v>
      </c>
      <c r="DV395" t="s">
        <v>20</v>
      </c>
      <c r="DW395" t="s">
        <v>20</v>
      </c>
      <c r="DX395">
        <v>1</v>
      </c>
      <c r="DZ395" t="s">
        <v>3</v>
      </c>
      <c r="EA395" t="s">
        <v>3</v>
      </c>
      <c r="EB395" t="s">
        <v>3</v>
      </c>
      <c r="EC395" t="s">
        <v>3</v>
      </c>
      <c r="EE395">
        <v>1441815344</v>
      </c>
      <c r="EF395">
        <v>1</v>
      </c>
      <c r="EG395" t="s">
        <v>22</v>
      </c>
      <c r="EH395">
        <v>0</v>
      </c>
      <c r="EI395" t="s">
        <v>3</v>
      </c>
      <c r="EJ395">
        <v>4</v>
      </c>
      <c r="EK395">
        <v>0</v>
      </c>
      <c r="EL395" t="s">
        <v>23</v>
      </c>
      <c r="EM395" t="s">
        <v>24</v>
      </c>
      <c r="EO395" t="s">
        <v>3</v>
      </c>
      <c r="EQ395">
        <v>0</v>
      </c>
      <c r="ER395">
        <v>246.34</v>
      </c>
      <c r="ES395">
        <v>246.34</v>
      </c>
      <c r="ET395">
        <v>0</v>
      </c>
      <c r="EU395">
        <v>0</v>
      </c>
      <c r="EV395">
        <v>0</v>
      </c>
      <c r="EW395">
        <v>0</v>
      </c>
      <c r="EX395">
        <v>0</v>
      </c>
      <c r="FQ395">
        <v>0</v>
      </c>
      <c r="FR395">
        <f t="shared" si="327"/>
        <v>0</v>
      </c>
      <c r="FS395">
        <v>0</v>
      </c>
      <c r="FX395">
        <v>70</v>
      </c>
      <c r="FY395">
        <v>10</v>
      </c>
      <c r="GA395" t="s">
        <v>3</v>
      </c>
      <c r="GD395">
        <v>0</v>
      </c>
      <c r="GF395">
        <v>-468625415</v>
      </c>
      <c r="GG395">
        <v>2</v>
      </c>
      <c r="GH395">
        <v>1</v>
      </c>
      <c r="GI395">
        <v>-2</v>
      </c>
      <c r="GJ395">
        <v>0</v>
      </c>
      <c r="GK395">
        <f>ROUND(R395*(R12)/100,2)</f>
        <v>0</v>
      </c>
      <c r="GL395">
        <f t="shared" si="328"/>
        <v>0</v>
      </c>
      <c r="GM395">
        <f t="shared" si="329"/>
        <v>492.68</v>
      </c>
      <c r="GN395">
        <f t="shared" si="330"/>
        <v>0</v>
      </c>
      <c r="GO395">
        <f t="shared" si="331"/>
        <v>0</v>
      </c>
      <c r="GP395">
        <f t="shared" si="332"/>
        <v>492.68</v>
      </c>
      <c r="GR395">
        <v>0</v>
      </c>
      <c r="GS395">
        <v>3</v>
      </c>
      <c r="GT395">
        <v>0</v>
      </c>
      <c r="GU395" t="s">
        <v>3</v>
      </c>
      <c r="GV395">
        <f t="shared" si="333"/>
        <v>0</v>
      </c>
      <c r="GW395">
        <v>1</v>
      </c>
      <c r="GX395">
        <f t="shared" si="334"/>
        <v>0</v>
      </c>
      <c r="HA395">
        <v>0</v>
      </c>
      <c r="HB395">
        <v>0</v>
      </c>
      <c r="HC395">
        <f t="shared" si="335"/>
        <v>0</v>
      </c>
      <c r="HE395" t="s">
        <v>3</v>
      </c>
      <c r="HF395" t="s">
        <v>3</v>
      </c>
      <c r="HM395" t="s">
        <v>3</v>
      </c>
      <c r="HN395" t="s">
        <v>3</v>
      </c>
      <c r="HO395" t="s">
        <v>3</v>
      </c>
      <c r="HP395" t="s">
        <v>3</v>
      </c>
      <c r="HQ395" t="s">
        <v>3</v>
      </c>
      <c r="IK395">
        <v>0</v>
      </c>
    </row>
    <row r="396" spans="1:245" x14ac:dyDescent="0.2">
      <c r="A396">
        <v>17</v>
      </c>
      <c r="B396">
        <v>1</v>
      </c>
      <c r="D396">
        <f>ROW(EtalonRes!A177)</f>
        <v>177</v>
      </c>
      <c r="E396" t="s">
        <v>319</v>
      </c>
      <c r="F396" t="s">
        <v>320</v>
      </c>
      <c r="G396" t="s">
        <v>321</v>
      </c>
      <c r="H396" t="s">
        <v>20</v>
      </c>
      <c r="I396">
        <v>1</v>
      </c>
      <c r="J396">
        <v>0</v>
      </c>
      <c r="K396">
        <v>1</v>
      </c>
      <c r="O396">
        <f t="shared" si="303"/>
        <v>124.3</v>
      </c>
      <c r="P396">
        <f t="shared" si="304"/>
        <v>0.63</v>
      </c>
      <c r="Q396">
        <f t="shared" si="305"/>
        <v>0</v>
      </c>
      <c r="R396">
        <f t="shared" si="306"/>
        <v>0</v>
      </c>
      <c r="S396">
        <f t="shared" si="307"/>
        <v>123.67</v>
      </c>
      <c r="T396">
        <f t="shared" si="308"/>
        <v>0</v>
      </c>
      <c r="U396">
        <f t="shared" si="309"/>
        <v>0.22</v>
      </c>
      <c r="V396">
        <f t="shared" si="310"/>
        <v>0</v>
      </c>
      <c r="W396">
        <f t="shared" si="311"/>
        <v>0</v>
      </c>
      <c r="X396">
        <f t="shared" si="312"/>
        <v>86.57</v>
      </c>
      <c r="Y396">
        <f t="shared" si="313"/>
        <v>12.37</v>
      </c>
      <c r="AA396">
        <v>1472506909</v>
      </c>
      <c r="AB396">
        <f t="shared" si="314"/>
        <v>124.3</v>
      </c>
      <c r="AC396">
        <f t="shared" si="340"/>
        <v>0.63</v>
      </c>
      <c r="AD396">
        <f t="shared" si="336"/>
        <v>0</v>
      </c>
      <c r="AE396">
        <f t="shared" si="337"/>
        <v>0</v>
      </c>
      <c r="AF396">
        <f t="shared" si="341"/>
        <v>123.67</v>
      </c>
      <c r="AG396">
        <f t="shared" si="315"/>
        <v>0</v>
      </c>
      <c r="AH396">
        <f t="shared" si="342"/>
        <v>0.22</v>
      </c>
      <c r="AI396">
        <f t="shared" si="338"/>
        <v>0</v>
      </c>
      <c r="AJ396">
        <f t="shared" si="316"/>
        <v>0</v>
      </c>
      <c r="AK396">
        <v>124.3</v>
      </c>
      <c r="AL396">
        <v>0.63</v>
      </c>
      <c r="AM396">
        <v>0</v>
      </c>
      <c r="AN396">
        <v>0</v>
      </c>
      <c r="AO396">
        <v>123.67</v>
      </c>
      <c r="AP396">
        <v>0</v>
      </c>
      <c r="AQ396">
        <v>0.22</v>
      </c>
      <c r="AR396">
        <v>0</v>
      </c>
      <c r="AS396">
        <v>0</v>
      </c>
      <c r="AT396">
        <v>70</v>
      </c>
      <c r="AU396">
        <v>10</v>
      </c>
      <c r="AV396">
        <v>1</v>
      </c>
      <c r="AW396">
        <v>1</v>
      </c>
      <c r="AZ396">
        <v>1</v>
      </c>
      <c r="BA396">
        <v>1</v>
      </c>
      <c r="BB396">
        <v>1</v>
      </c>
      <c r="BC396">
        <v>1</v>
      </c>
      <c r="BD396" t="s">
        <v>3</v>
      </c>
      <c r="BE396" t="s">
        <v>3</v>
      </c>
      <c r="BF396" t="s">
        <v>3</v>
      </c>
      <c r="BG396" t="s">
        <v>3</v>
      </c>
      <c r="BH396">
        <v>0</v>
      </c>
      <c r="BI396">
        <v>4</v>
      </c>
      <c r="BJ396" t="s">
        <v>322</v>
      </c>
      <c r="BM396">
        <v>0</v>
      </c>
      <c r="BN396">
        <v>0</v>
      </c>
      <c r="BO396" t="s">
        <v>3</v>
      </c>
      <c r="BP396">
        <v>0</v>
      </c>
      <c r="BQ396">
        <v>1</v>
      </c>
      <c r="BR396">
        <v>0</v>
      </c>
      <c r="BS396">
        <v>1</v>
      </c>
      <c r="BT396">
        <v>1</v>
      </c>
      <c r="BU396">
        <v>1</v>
      </c>
      <c r="BV396">
        <v>1</v>
      </c>
      <c r="BW396">
        <v>1</v>
      </c>
      <c r="BX396">
        <v>1</v>
      </c>
      <c r="BY396" t="s">
        <v>3</v>
      </c>
      <c r="BZ396">
        <v>70</v>
      </c>
      <c r="CA396">
        <v>10</v>
      </c>
      <c r="CB396" t="s">
        <v>3</v>
      </c>
      <c r="CE396">
        <v>0</v>
      </c>
      <c r="CF396">
        <v>0</v>
      </c>
      <c r="CG396">
        <v>0</v>
      </c>
      <c r="CM396">
        <v>0</v>
      </c>
      <c r="CN396" t="s">
        <v>3</v>
      </c>
      <c r="CO396">
        <v>0</v>
      </c>
      <c r="CP396">
        <f t="shared" si="317"/>
        <v>124.3</v>
      </c>
      <c r="CQ396">
        <f t="shared" si="318"/>
        <v>0.63</v>
      </c>
      <c r="CR396">
        <f t="shared" si="339"/>
        <v>0</v>
      </c>
      <c r="CS396">
        <f t="shared" si="319"/>
        <v>0</v>
      </c>
      <c r="CT396">
        <f t="shared" si="320"/>
        <v>123.67</v>
      </c>
      <c r="CU396">
        <f t="shared" si="321"/>
        <v>0</v>
      </c>
      <c r="CV396">
        <f t="shared" si="322"/>
        <v>0.22</v>
      </c>
      <c r="CW396">
        <f t="shared" si="323"/>
        <v>0</v>
      </c>
      <c r="CX396">
        <f t="shared" si="324"/>
        <v>0</v>
      </c>
      <c r="CY396">
        <f t="shared" si="325"/>
        <v>86.569000000000003</v>
      </c>
      <c r="CZ396">
        <f t="shared" si="326"/>
        <v>12.367000000000001</v>
      </c>
      <c r="DC396" t="s">
        <v>3</v>
      </c>
      <c r="DD396" t="s">
        <v>3</v>
      </c>
      <c r="DE396" t="s">
        <v>3</v>
      </c>
      <c r="DF396" t="s">
        <v>3</v>
      </c>
      <c r="DG396" t="s">
        <v>3</v>
      </c>
      <c r="DH396" t="s">
        <v>3</v>
      </c>
      <c r="DI396" t="s">
        <v>3</v>
      </c>
      <c r="DJ396" t="s">
        <v>3</v>
      </c>
      <c r="DK396" t="s">
        <v>3</v>
      </c>
      <c r="DL396" t="s">
        <v>3</v>
      </c>
      <c r="DM396" t="s">
        <v>3</v>
      </c>
      <c r="DN396">
        <v>0</v>
      </c>
      <c r="DO396">
        <v>0</v>
      </c>
      <c r="DP396">
        <v>1</v>
      </c>
      <c r="DQ396">
        <v>1</v>
      </c>
      <c r="DU396">
        <v>16987630</v>
      </c>
      <c r="DV396" t="s">
        <v>20</v>
      </c>
      <c r="DW396" t="s">
        <v>20</v>
      </c>
      <c r="DX396">
        <v>1</v>
      </c>
      <c r="DZ396" t="s">
        <v>3</v>
      </c>
      <c r="EA396" t="s">
        <v>3</v>
      </c>
      <c r="EB396" t="s">
        <v>3</v>
      </c>
      <c r="EC396" t="s">
        <v>3</v>
      </c>
      <c r="EE396">
        <v>1441815344</v>
      </c>
      <c r="EF396">
        <v>1</v>
      </c>
      <c r="EG396" t="s">
        <v>22</v>
      </c>
      <c r="EH396">
        <v>0</v>
      </c>
      <c r="EI396" t="s">
        <v>3</v>
      </c>
      <c r="EJ396">
        <v>4</v>
      </c>
      <c r="EK396">
        <v>0</v>
      </c>
      <c r="EL396" t="s">
        <v>23</v>
      </c>
      <c r="EM396" t="s">
        <v>24</v>
      </c>
      <c r="EO396" t="s">
        <v>3</v>
      </c>
      <c r="EQ396">
        <v>0</v>
      </c>
      <c r="ER396">
        <v>124.3</v>
      </c>
      <c r="ES396">
        <v>0.63</v>
      </c>
      <c r="ET396">
        <v>0</v>
      </c>
      <c r="EU396">
        <v>0</v>
      </c>
      <c r="EV396">
        <v>123.67</v>
      </c>
      <c r="EW396">
        <v>0.22</v>
      </c>
      <c r="EX396">
        <v>0</v>
      </c>
      <c r="EY396">
        <v>0</v>
      </c>
      <c r="FQ396">
        <v>0</v>
      </c>
      <c r="FR396">
        <f t="shared" si="327"/>
        <v>0</v>
      </c>
      <c r="FS396">
        <v>0</v>
      </c>
      <c r="FX396">
        <v>70</v>
      </c>
      <c r="FY396">
        <v>10</v>
      </c>
      <c r="GA396" t="s">
        <v>3</v>
      </c>
      <c r="GD396">
        <v>0</v>
      </c>
      <c r="GF396">
        <v>-1323192190</v>
      </c>
      <c r="GG396">
        <v>2</v>
      </c>
      <c r="GH396">
        <v>1</v>
      </c>
      <c r="GI396">
        <v>-2</v>
      </c>
      <c r="GJ396">
        <v>0</v>
      </c>
      <c r="GK396">
        <f>ROUND(R396*(R12)/100,2)</f>
        <v>0</v>
      </c>
      <c r="GL396">
        <f t="shared" si="328"/>
        <v>0</v>
      </c>
      <c r="GM396">
        <f t="shared" si="329"/>
        <v>223.24</v>
      </c>
      <c r="GN396">
        <f t="shared" si="330"/>
        <v>0</v>
      </c>
      <c r="GO396">
        <f t="shared" si="331"/>
        <v>0</v>
      </c>
      <c r="GP396">
        <f t="shared" si="332"/>
        <v>223.24</v>
      </c>
      <c r="GR396">
        <v>0</v>
      </c>
      <c r="GS396">
        <v>3</v>
      </c>
      <c r="GT396">
        <v>0</v>
      </c>
      <c r="GU396" t="s">
        <v>3</v>
      </c>
      <c r="GV396">
        <f t="shared" si="333"/>
        <v>0</v>
      </c>
      <c r="GW396">
        <v>1</v>
      </c>
      <c r="GX396">
        <f t="shared" si="334"/>
        <v>0</v>
      </c>
      <c r="HA396">
        <v>0</v>
      </c>
      <c r="HB396">
        <v>0</v>
      </c>
      <c r="HC396">
        <f t="shared" si="335"/>
        <v>0</v>
      </c>
      <c r="HE396" t="s">
        <v>3</v>
      </c>
      <c r="HF396" t="s">
        <v>3</v>
      </c>
      <c r="HM396" t="s">
        <v>3</v>
      </c>
      <c r="HN396" t="s">
        <v>3</v>
      </c>
      <c r="HO396" t="s">
        <v>3</v>
      </c>
      <c r="HP396" t="s">
        <v>3</v>
      </c>
      <c r="HQ396" t="s">
        <v>3</v>
      </c>
      <c r="IK396">
        <v>0</v>
      </c>
    </row>
    <row r="397" spans="1:245" x14ac:dyDescent="0.2">
      <c r="A397">
        <v>17</v>
      </c>
      <c r="B397">
        <v>1</v>
      </c>
      <c r="D397">
        <f>ROW(EtalonRes!A178)</f>
        <v>178</v>
      </c>
      <c r="E397" t="s">
        <v>323</v>
      </c>
      <c r="F397" t="s">
        <v>324</v>
      </c>
      <c r="G397" t="s">
        <v>325</v>
      </c>
      <c r="H397" t="s">
        <v>20</v>
      </c>
      <c r="I397">
        <v>1</v>
      </c>
      <c r="J397">
        <v>0</v>
      </c>
      <c r="K397">
        <v>1</v>
      </c>
      <c r="O397">
        <f t="shared" si="303"/>
        <v>1631.48</v>
      </c>
      <c r="P397">
        <f t="shared" si="304"/>
        <v>0</v>
      </c>
      <c r="Q397">
        <f t="shared" si="305"/>
        <v>0</v>
      </c>
      <c r="R397">
        <f t="shared" si="306"/>
        <v>0</v>
      </c>
      <c r="S397">
        <f t="shared" si="307"/>
        <v>1631.48</v>
      </c>
      <c r="T397">
        <f t="shared" si="308"/>
        <v>0</v>
      </c>
      <c r="U397">
        <f t="shared" si="309"/>
        <v>2.12</v>
      </c>
      <c r="V397">
        <f t="shared" si="310"/>
        <v>0</v>
      </c>
      <c r="W397">
        <f t="shared" si="311"/>
        <v>0</v>
      </c>
      <c r="X397">
        <f t="shared" si="312"/>
        <v>1142.04</v>
      </c>
      <c r="Y397">
        <f t="shared" si="313"/>
        <v>163.15</v>
      </c>
      <c r="AA397">
        <v>1472506909</v>
      </c>
      <c r="AB397">
        <f t="shared" si="314"/>
        <v>1631.48</v>
      </c>
      <c r="AC397">
        <f t="shared" si="340"/>
        <v>0</v>
      </c>
      <c r="AD397">
        <f t="shared" si="336"/>
        <v>0</v>
      </c>
      <c r="AE397">
        <f t="shared" si="337"/>
        <v>0</v>
      </c>
      <c r="AF397">
        <f>ROUND(((EV397*2)),6)</f>
        <v>1631.48</v>
      </c>
      <c r="AG397">
        <f t="shared" si="315"/>
        <v>0</v>
      </c>
      <c r="AH397">
        <f>((EW397*2))</f>
        <v>2.12</v>
      </c>
      <c r="AI397">
        <f t="shared" si="338"/>
        <v>0</v>
      </c>
      <c r="AJ397">
        <f t="shared" si="316"/>
        <v>0</v>
      </c>
      <c r="AK397">
        <v>815.74</v>
      </c>
      <c r="AL397">
        <v>0</v>
      </c>
      <c r="AM397">
        <v>0</v>
      </c>
      <c r="AN397">
        <v>0</v>
      </c>
      <c r="AO397">
        <v>815.74</v>
      </c>
      <c r="AP397">
        <v>0</v>
      </c>
      <c r="AQ397">
        <v>1.06</v>
      </c>
      <c r="AR397">
        <v>0</v>
      </c>
      <c r="AS397">
        <v>0</v>
      </c>
      <c r="AT397">
        <v>70</v>
      </c>
      <c r="AU397">
        <v>10</v>
      </c>
      <c r="AV397">
        <v>1</v>
      </c>
      <c r="AW397">
        <v>1</v>
      </c>
      <c r="AZ397">
        <v>1</v>
      </c>
      <c r="BA397">
        <v>1</v>
      </c>
      <c r="BB397">
        <v>1</v>
      </c>
      <c r="BC397">
        <v>1</v>
      </c>
      <c r="BD397" t="s">
        <v>3</v>
      </c>
      <c r="BE397" t="s">
        <v>3</v>
      </c>
      <c r="BF397" t="s">
        <v>3</v>
      </c>
      <c r="BG397" t="s">
        <v>3</v>
      </c>
      <c r="BH397">
        <v>0</v>
      </c>
      <c r="BI397">
        <v>4</v>
      </c>
      <c r="BJ397" t="s">
        <v>326</v>
      </c>
      <c r="BM397">
        <v>0</v>
      </c>
      <c r="BN397">
        <v>0</v>
      </c>
      <c r="BO397" t="s">
        <v>3</v>
      </c>
      <c r="BP397">
        <v>0</v>
      </c>
      <c r="BQ397">
        <v>1</v>
      </c>
      <c r="BR397">
        <v>0</v>
      </c>
      <c r="BS397">
        <v>1</v>
      </c>
      <c r="BT397">
        <v>1</v>
      </c>
      <c r="BU397">
        <v>1</v>
      </c>
      <c r="BV397">
        <v>1</v>
      </c>
      <c r="BW397">
        <v>1</v>
      </c>
      <c r="BX397">
        <v>1</v>
      </c>
      <c r="BY397" t="s">
        <v>3</v>
      </c>
      <c r="BZ397">
        <v>70</v>
      </c>
      <c r="CA397">
        <v>10</v>
      </c>
      <c r="CB397" t="s">
        <v>3</v>
      </c>
      <c r="CE397">
        <v>0</v>
      </c>
      <c r="CF397">
        <v>0</v>
      </c>
      <c r="CG397">
        <v>0</v>
      </c>
      <c r="CM397">
        <v>0</v>
      </c>
      <c r="CN397" t="s">
        <v>3</v>
      </c>
      <c r="CO397">
        <v>0</v>
      </c>
      <c r="CP397">
        <f t="shared" si="317"/>
        <v>1631.48</v>
      </c>
      <c r="CQ397">
        <f t="shared" si="318"/>
        <v>0</v>
      </c>
      <c r="CR397">
        <f t="shared" si="339"/>
        <v>0</v>
      </c>
      <c r="CS397">
        <f t="shared" si="319"/>
        <v>0</v>
      </c>
      <c r="CT397">
        <f t="shared" si="320"/>
        <v>1631.48</v>
      </c>
      <c r="CU397">
        <f t="shared" si="321"/>
        <v>0</v>
      </c>
      <c r="CV397">
        <f t="shared" si="322"/>
        <v>2.12</v>
      </c>
      <c r="CW397">
        <f t="shared" si="323"/>
        <v>0</v>
      </c>
      <c r="CX397">
        <f t="shared" si="324"/>
        <v>0</v>
      </c>
      <c r="CY397">
        <f t="shared" si="325"/>
        <v>1142.0360000000001</v>
      </c>
      <c r="CZ397">
        <f t="shared" si="326"/>
        <v>163.148</v>
      </c>
      <c r="DC397" t="s">
        <v>3</v>
      </c>
      <c r="DD397" t="s">
        <v>3</v>
      </c>
      <c r="DE397" t="s">
        <v>3</v>
      </c>
      <c r="DF397" t="s">
        <v>3</v>
      </c>
      <c r="DG397" t="s">
        <v>28</v>
      </c>
      <c r="DH397" t="s">
        <v>3</v>
      </c>
      <c r="DI397" t="s">
        <v>28</v>
      </c>
      <c r="DJ397" t="s">
        <v>3</v>
      </c>
      <c r="DK397" t="s">
        <v>3</v>
      </c>
      <c r="DL397" t="s">
        <v>3</v>
      </c>
      <c r="DM397" t="s">
        <v>3</v>
      </c>
      <c r="DN397">
        <v>0</v>
      </c>
      <c r="DO397">
        <v>0</v>
      </c>
      <c r="DP397">
        <v>1</v>
      </c>
      <c r="DQ397">
        <v>1</v>
      </c>
      <c r="DU397">
        <v>16987630</v>
      </c>
      <c r="DV397" t="s">
        <v>20</v>
      </c>
      <c r="DW397" t="s">
        <v>20</v>
      </c>
      <c r="DX397">
        <v>1</v>
      </c>
      <c r="DZ397" t="s">
        <v>3</v>
      </c>
      <c r="EA397" t="s">
        <v>3</v>
      </c>
      <c r="EB397" t="s">
        <v>3</v>
      </c>
      <c r="EC397" t="s">
        <v>3</v>
      </c>
      <c r="EE397">
        <v>1441815344</v>
      </c>
      <c r="EF397">
        <v>1</v>
      </c>
      <c r="EG397" t="s">
        <v>22</v>
      </c>
      <c r="EH397">
        <v>0</v>
      </c>
      <c r="EI397" t="s">
        <v>3</v>
      </c>
      <c r="EJ397">
        <v>4</v>
      </c>
      <c r="EK397">
        <v>0</v>
      </c>
      <c r="EL397" t="s">
        <v>23</v>
      </c>
      <c r="EM397" t="s">
        <v>24</v>
      </c>
      <c r="EO397" t="s">
        <v>3</v>
      </c>
      <c r="EQ397">
        <v>0</v>
      </c>
      <c r="ER397">
        <v>815.74</v>
      </c>
      <c r="ES397">
        <v>0</v>
      </c>
      <c r="ET397">
        <v>0</v>
      </c>
      <c r="EU397">
        <v>0</v>
      </c>
      <c r="EV397">
        <v>815.74</v>
      </c>
      <c r="EW397">
        <v>1.06</v>
      </c>
      <c r="EX397">
        <v>0</v>
      </c>
      <c r="EY397">
        <v>0</v>
      </c>
      <c r="FQ397">
        <v>0</v>
      </c>
      <c r="FR397">
        <f t="shared" si="327"/>
        <v>0</v>
      </c>
      <c r="FS397">
        <v>0</v>
      </c>
      <c r="FX397">
        <v>70</v>
      </c>
      <c r="FY397">
        <v>10</v>
      </c>
      <c r="GA397" t="s">
        <v>3</v>
      </c>
      <c r="GD397">
        <v>0</v>
      </c>
      <c r="GF397">
        <v>359465501</v>
      </c>
      <c r="GG397">
        <v>2</v>
      </c>
      <c r="GH397">
        <v>1</v>
      </c>
      <c r="GI397">
        <v>-2</v>
      </c>
      <c r="GJ397">
        <v>0</v>
      </c>
      <c r="GK397">
        <f>ROUND(R397*(R12)/100,2)</f>
        <v>0</v>
      </c>
      <c r="GL397">
        <f t="shared" si="328"/>
        <v>0</v>
      </c>
      <c r="GM397">
        <f t="shared" si="329"/>
        <v>2936.67</v>
      </c>
      <c r="GN397">
        <f t="shared" si="330"/>
        <v>0</v>
      </c>
      <c r="GO397">
        <f t="shared" si="331"/>
        <v>0</v>
      </c>
      <c r="GP397">
        <f t="shared" si="332"/>
        <v>2936.67</v>
      </c>
      <c r="GR397">
        <v>0</v>
      </c>
      <c r="GS397">
        <v>3</v>
      </c>
      <c r="GT397">
        <v>0</v>
      </c>
      <c r="GU397" t="s">
        <v>3</v>
      </c>
      <c r="GV397">
        <f t="shared" si="333"/>
        <v>0</v>
      </c>
      <c r="GW397">
        <v>1</v>
      </c>
      <c r="GX397">
        <f t="shared" si="334"/>
        <v>0</v>
      </c>
      <c r="HA397">
        <v>0</v>
      </c>
      <c r="HB397">
        <v>0</v>
      </c>
      <c r="HC397">
        <f t="shared" si="335"/>
        <v>0</v>
      </c>
      <c r="HE397" t="s">
        <v>3</v>
      </c>
      <c r="HF397" t="s">
        <v>3</v>
      </c>
      <c r="HM397" t="s">
        <v>3</v>
      </c>
      <c r="HN397" t="s">
        <v>3</v>
      </c>
      <c r="HO397" t="s">
        <v>3</v>
      </c>
      <c r="HP397" t="s">
        <v>3</v>
      </c>
      <c r="HQ397" t="s">
        <v>3</v>
      </c>
      <c r="IK397">
        <v>0</v>
      </c>
    </row>
    <row r="398" spans="1:245" x14ac:dyDescent="0.2">
      <c r="A398">
        <v>17</v>
      </c>
      <c r="B398">
        <v>1</v>
      </c>
      <c r="D398">
        <f>ROW(EtalonRes!A181)</f>
        <v>181</v>
      </c>
      <c r="E398" t="s">
        <v>327</v>
      </c>
      <c r="F398" t="s">
        <v>328</v>
      </c>
      <c r="G398" t="s">
        <v>329</v>
      </c>
      <c r="H398" t="s">
        <v>20</v>
      </c>
      <c r="I398">
        <v>4</v>
      </c>
      <c r="J398">
        <v>0</v>
      </c>
      <c r="K398">
        <v>4</v>
      </c>
      <c r="O398">
        <f t="shared" si="303"/>
        <v>1913.04</v>
      </c>
      <c r="P398">
        <f t="shared" si="304"/>
        <v>153.12</v>
      </c>
      <c r="Q398">
        <f t="shared" si="305"/>
        <v>0</v>
      </c>
      <c r="R398">
        <f t="shared" si="306"/>
        <v>0</v>
      </c>
      <c r="S398">
        <f t="shared" si="307"/>
        <v>1759.92</v>
      </c>
      <c r="T398">
        <f t="shared" si="308"/>
        <v>0</v>
      </c>
      <c r="U398">
        <f t="shared" si="309"/>
        <v>2.48</v>
      </c>
      <c r="V398">
        <f t="shared" si="310"/>
        <v>0</v>
      </c>
      <c r="W398">
        <f t="shared" si="311"/>
        <v>0</v>
      </c>
      <c r="X398">
        <f t="shared" si="312"/>
        <v>1231.94</v>
      </c>
      <c r="Y398">
        <f t="shared" si="313"/>
        <v>175.99</v>
      </c>
      <c r="AA398">
        <v>1472506909</v>
      </c>
      <c r="AB398">
        <f t="shared" si="314"/>
        <v>478.26</v>
      </c>
      <c r="AC398">
        <f>ROUND(((ES398*2)),6)</f>
        <v>38.28</v>
      </c>
      <c r="AD398">
        <f t="shared" si="336"/>
        <v>0</v>
      </c>
      <c r="AE398">
        <f t="shared" si="337"/>
        <v>0</v>
      </c>
      <c r="AF398">
        <f>ROUND(((EV398*2)),6)</f>
        <v>439.98</v>
      </c>
      <c r="AG398">
        <f t="shared" si="315"/>
        <v>0</v>
      </c>
      <c r="AH398">
        <f>((EW398*2))</f>
        <v>0.62</v>
      </c>
      <c r="AI398">
        <f t="shared" si="338"/>
        <v>0</v>
      </c>
      <c r="AJ398">
        <f t="shared" si="316"/>
        <v>0</v>
      </c>
      <c r="AK398">
        <v>239.13</v>
      </c>
      <c r="AL398">
        <v>19.14</v>
      </c>
      <c r="AM398">
        <v>0</v>
      </c>
      <c r="AN398">
        <v>0</v>
      </c>
      <c r="AO398">
        <v>219.99</v>
      </c>
      <c r="AP398">
        <v>0</v>
      </c>
      <c r="AQ398">
        <v>0.31</v>
      </c>
      <c r="AR398">
        <v>0</v>
      </c>
      <c r="AS398">
        <v>0</v>
      </c>
      <c r="AT398">
        <v>70</v>
      </c>
      <c r="AU398">
        <v>10</v>
      </c>
      <c r="AV398">
        <v>1</v>
      </c>
      <c r="AW398">
        <v>1</v>
      </c>
      <c r="AZ398">
        <v>1</v>
      </c>
      <c r="BA398">
        <v>1</v>
      </c>
      <c r="BB398">
        <v>1</v>
      </c>
      <c r="BC398">
        <v>1</v>
      </c>
      <c r="BD398" t="s">
        <v>3</v>
      </c>
      <c r="BE398" t="s">
        <v>3</v>
      </c>
      <c r="BF398" t="s">
        <v>3</v>
      </c>
      <c r="BG398" t="s">
        <v>3</v>
      </c>
      <c r="BH398">
        <v>0</v>
      </c>
      <c r="BI398">
        <v>4</v>
      </c>
      <c r="BJ398" t="s">
        <v>330</v>
      </c>
      <c r="BM398">
        <v>0</v>
      </c>
      <c r="BN398">
        <v>0</v>
      </c>
      <c r="BO398" t="s">
        <v>3</v>
      </c>
      <c r="BP398">
        <v>0</v>
      </c>
      <c r="BQ398">
        <v>1</v>
      </c>
      <c r="BR398">
        <v>0</v>
      </c>
      <c r="BS398">
        <v>1</v>
      </c>
      <c r="BT398">
        <v>1</v>
      </c>
      <c r="BU398">
        <v>1</v>
      </c>
      <c r="BV398">
        <v>1</v>
      </c>
      <c r="BW398">
        <v>1</v>
      </c>
      <c r="BX398">
        <v>1</v>
      </c>
      <c r="BY398" t="s">
        <v>3</v>
      </c>
      <c r="BZ398">
        <v>70</v>
      </c>
      <c r="CA398">
        <v>10</v>
      </c>
      <c r="CB398" t="s">
        <v>3</v>
      </c>
      <c r="CE398">
        <v>0</v>
      </c>
      <c r="CF398">
        <v>0</v>
      </c>
      <c r="CG398">
        <v>0</v>
      </c>
      <c r="CM398">
        <v>0</v>
      </c>
      <c r="CN398" t="s">
        <v>3</v>
      </c>
      <c r="CO398">
        <v>0</v>
      </c>
      <c r="CP398">
        <f t="shared" si="317"/>
        <v>1913.04</v>
      </c>
      <c r="CQ398">
        <f t="shared" si="318"/>
        <v>38.28</v>
      </c>
      <c r="CR398">
        <f t="shared" si="339"/>
        <v>0</v>
      </c>
      <c r="CS398">
        <f t="shared" si="319"/>
        <v>0</v>
      </c>
      <c r="CT398">
        <f t="shared" si="320"/>
        <v>439.98</v>
      </c>
      <c r="CU398">
        <f t="shared" si="321"/>
        <v>0</v>
      </c>
      <c r="CV398">
        <f t="shared" si="322"/>
        <v>0.62</v>
      </c>
      <c r="CW398">
        <f t="shared" si="323"/>
        <v>0</v>
      </c>
      <c r="CX398">
        <f t="shared" si="324"/>
        <v>0</v>
      </c>
      <c r="CY398">
        <f t="shared" si="325"/>
        <v>1231.9440000000002</v>
      </c>
      <c r="CZ398">
        <f t="shared" si="326"/>
        <v>175.99200000000002</v>
      </c>
      <c r="DC398" t="s">
        <v>3</v>
      </c>
      <c r="DD398" t="s">
        <v>28</v>
      </c>
      <c r="DE398" t="s">
        <v>3</v>
      </c>
      <c r="DF398" t="s">
        <v>3</v>
      </c>
      <c r="DG398" t="s">
        <v>28</v>
      </c>
      <c r="DH398" t="s">
        <v>3</v>
      </c>
      <c r="DI398" t="s">
        <v>28</v>
      </c>
      <c r="DJ398" t="s">
        <v>3</v>
      </c>
      <c r="DK398" t="s">
        <v>3</v>
      </c>
      <c r="DL398" t="s">
        <v>3</v>
      </c>
      <c r="DM398" t="s">
        <v>3</v>
      </c>
      <c r="DN398">
        <v>0</v>
      </c>
      <c r="DO398">
        <v>0</v>
      </c>
      <c r="DP398">
        <v>1</v>
      </c>
      <c r="DQ398">
        <v>1</v>
      </c>
      <c r="DU398">
        <v>16987630</v>
      </c>
      <c r="DV398" t="s">
        <v>20</v>
      </c>
      <c r="DW398" t="s">
        <v>20</v>
      </c>
      <c r="DX398">
        <v>1</v>
      </c>
      <c r="DZ398" t="s">
        <v>3</v>
      </c>
      <c r="EA398" t="s">
        <v>3</v>
      </c>
      <c r="EB398" t="s">
        <v>3</v>
      </c>
      <c r="EC398" t="s">
        <v>3</v>
      </c>
      <c r="EE398">
        <v>1441815344</v>
      </c>
      <c r="EF398">
        <v>1</v>
      </c>
      <c r="EG398" t="s">
        <v>22</v>
      </c>
      <c r="EH398">
        <v>0</v>
      </c>
      <c r="EI398" t="s">
        <v>3</v>
      </c>
      <c r="EJ398">
        <v>4</v>
      </c>
      <c r="EK398">
        <v>0</v>
      </c>
      <c r="EL398" t="s">
        <v>23</v>
      </c>
      <c r="EM398" t="s">
        <v>24</v>
      </c>
      <c r="EO398" t="s">
        <v>3</v>
      </c>
      <c r="EQ398">
        <v>0</v>
      </c>
      <c r="ER398">
        <v>239.13</v>
      </c>
      <c r="ES398">
        <v>19.14</v>
      </c>
      <c r="ET398">
        <v>0</v>
      </c>
      <c r="EU398">
        <v>0</v>
      </c>
      <c r="EV398">
        <v>219.99</v>
      </c>
      <c r="EW398">
        <v>0.31</v>
      </c>
      <c r="EX398">
        <v>0</v>
      </c>
      <c r="EY398">
        <v>0</v>
      </c>
      <c r="FQ398">
        <v>0</v>
      </c>
      <c r="FR398">
        <f t="shared" si="327"/>
        <v>0</v>
      </c>
      <c r="FS398">
        <v>0</v>
      </c>
      <c r="FX398">
        <v>70</v>
      </c>
      <c r="FY398">
        <v>10</v>
      </c>
      <c r="GA398" t="s">
        <v>3</v>
      </c>
      <c r="GD398">
        <v>0</v>
      </c>
      <c r="GF398">
        <v>-1042054303</v>
      </c>
      <c r="GG398">
        <v>2</v>
      </c>
      <c r="GH398">
        <v>1</v>
      </c>
      <c r="GI398">
        <v>-2</v>
      </c>
      <c r="GJ398">
        <v>0</v>
      </c>
      <c r="GK398">
        <f>ROUND(R398*(R12)/100,2)</f>
        <v>0</v>
      </c>
      <c r="GL398">
        <f t="shared" si="328"/>
        <v>0</v>
      </c>
      <c r="GM398">
        <f t="shared" si="329"/>
        <v>3320.97</v>
      </c>
      <c r="GN398">
        <f t="shared" si="330"/>
        <v>0</v>
      </c>
      <c r="GO398">
        <f t="shared" si="331"/>
        <v>0</v>
      </c>
      <c r="GP398">
        <f t="shared" si="332"/>
        <v>3320.97</v>
      </c>
      <c r="GR398">
        <v>0</v>
      </c>
      <c r="GS398">
        <v>3</v>
      </c>
      <c r="GT398">
        <v>0</v>
      </c>
      <c r="GU398" t="s">
        <v>3</v>
      </c>
      <c r="GV398">
        <f t="shared" si="333"/>
        <v>0</v>
      </c>
      <c r="GW398">
        <v>1</v>
      </c>
      <c r="GX398">
        <f t="shared" si="334"/>
        <v>0</v>
      </c>
      <c r="HA398">
        <v>0</v>
      </c>
      <c r="HB398">
        <v>0</v>
      </c>
      <c r="HC398">
        <f t="shared" si="335"/>
        <v>0</v>
      </c>
      <c r="HE398" t="s">
        <v>3</v>
      </c>
      <c r="HF398" t="s">
        <v>3</v>
      </c>
      <c r="HM398" t="s">
        <v>3</v>
      </c>
      <c r="HN398" t="s">
        <v>3</v>
      </c>
      <c r="HO398" t="s">
        <v>3</v>
      </c>
      <c r="HP398" t="s">
        <v>3</v>
      </c>
      <c r="HQ398" t="s">
        <v>3</v>
      </c>
      <c r="IK398">
        <v>0</v>
      </c>
    </row>
    <row r="399" spans="1:245" x14ac:dyDescent="0.2">
      <c r="A399">
        <v>17</v>
      </c>
      <c r="B399">
        <v>1</v>
      </c>
      <c r="D399">
        <f>ROW(EtalonRes!A182)</f>
        <v>182</v>
      </c>
      <c r="E399" t="s">
        <v>3</v>
      </c>
      <c r="F399" t="s">
        <v>225</v>
      </c>
      <c r="G399" t="s">
        <v>226</v>
      </c>
      <c r="H399" t="s">
        <v>20</v>
      </c>
      <c r="I399">
        <v>10</v>
      </c>
      <c r="J399">
        <v>0</v>
      </c>
      <c r="K399">
        <v>10</v>
      </c>
      <c r="O399">
        <f t="shared" si="303"/>
        <v>7224.6</v>
      </c>
      <c r="P399">
        <f t="shared" si="304"/>
        <v>0</v>
      </c>
      <c r="Q399">
        <f t="shared" si="305"/>
        <v>0</v>
      </c>
      <c r="R399">
        <f t="shared" si="306"/>
        <v>0</v>
      </c>
      <c r="S399">
        <f t="shared" si="307"/>
        <v>7224.6</v>
      </c>
      <c r="T399">
        <f t="shared" si="308"/>
        <v>0</v>
      </c>
      <c r="U399">
        <f t="shared" si="309"/>
        <v>11.7</v>
      </c>
      <c r="V399">
        <f t="shared" si="310"/>
        <v>0</v>
      </c>
      <c r="W399">
        <f t="shared" si="311"/>
        <v>0</v>
      </c>
      <c r="X399">
        <f t="shared" si="312"/>
        <v>5057.22</v>
      </c>
      <c r="Y399">
        <f t="shared" si="313"/>
        <v>722.46</v>
      </c>
      <c r="AA399">
        <v>-1</v>
      </c>
      <c r="AB399">
        <f t="shared" si="314"/>
        <v>722.46</v>
      </c>
      <c r="AC399">
        <f>ROUND((ES399),6)</f>
        <v>0</v>
      </c>
      <c r="AD399">
        <f t="shared" si="336"/>
        <v>0</v>
      </c>
      <c r="AE399">
        <f t="shared" si="337"/>
        <v>0</v>
      </c>
      <c r="AF399">
        <f>ROUND((EV399),6)</f>
        <v>722.46</v>
      </c>
      <c r="AG399">
        <f t="shared" si="315"/>
        <v>0</v>
      </c>
      <c r="AH399">
        <f>(EW399)</f>
        <v>1.17</v>
      </c>
      <c r="AI399">
        <f t="shared" si="338"/>
        <v>0</v>
      </c>
      <c r="AJ399">
        <f t="shared" si="316"/>
        <v>0</v>
      </c>
      <c r="AK399">
        <v>722.46</v>
      </c>
      <c r="AL399">
        <v>0</v>
      </c>
      <c r="AM399">
        <v>0</v>
      </c>
      <c r="AN399">
        <v>0</v>
      </c>
      <c r="AO399">
        <v>722.46</v>
      </c>
      <c r="AP399">
        <v>0</v>
      </c>
      <c r="AQ399">
        <v>1.17</v>
      </c>
      <c r="AR399">
        <v>0</v>
      </c>
      <c r="AS399">
        <v>0</v>
      </c>
      <c r="AT399">
        <v>70</v>
      </c>
      <c r="AU399">
        <v>10</v>
      </c>
      <c r="AV399">
        <v>1</v>
      </c>
      <c r="AW399">
        <v>1</v>
      </c>
      <c r="AZ399">
        <v>1</v>
      </c>
      <c r="BA399">
        <v>1</v>
      </c>
      <c r="BB399">
        <v>1</v>
      </c>
      <c r="BC399">
        <v>1</v>
      </c>
      <c r="BD399" t="s">
        <v>3</v>
      </c>
      <c r="BE399" t="s">
        <v>3</v>
      </c>
      <c r="BF399" t="s">
        <v>3</v>
      </c>
      <c r="BG399" t="s">
        <v>3</v>
      </c>
      <c r="BH399">
        <v>0</v>
      </c>
      <c r="BI399">
        <v>4</v>
      </c>
      <c r="BJ399" t="s">
        <v>227</v>
      </c>
      <c r="BM399">
        <v>0</v>
      </c>
      <c r="BN399">
        <v>0</v>
      </c>
      <c r="BO399" t="s">
        <v>3</v>
      </c>
      <c r="BP399">
        <v>0</v>
      </c>
      <c r="BQ399">
        <v>1</v>
      </c>
      <c r="BR399">
        <v>0</v>
      </c>
      <c r="BS399">
        <v>1</v>
      </c>
      <c r="BT399">
        <v>1</v>
      </c>
      <c r="BU399">
        <v>1</v>
      </c>
      <c r="BV399">
        <v>1</v>
      </c>
      <c r="BW399">
        <v>1</v>
      </c>
      <c r="BX399">
        <v>1</v>
      </c>
      <c r="BY399" t="s">
        <v>3</v>
      </c>
      <c r="BZ399">
        <v>70</v>
      </c>
      <c r="CA399">
        <v>10</v>
      </c>
      <c r="CB399" t="s">
        <v>3</v>
      </c>
      <c r="CE399">
        <v>0</v>
      </c>
      <c r="CF399">
        <v>0</v>
      </c>
      <c r="CG399">
        <v>0</v>
      </c>
      <c r="CM399">
        <v>0</v>
      </c>
      <c r="CN399" t="s">
        <v>3</v>
      </c>
      <c r="CO399">
        <v>0</v>
      </c>
      <c r="CP399">
        <f t="shared" si="317"/>
        <v>7224.6</v>
      </c>
      <c r="CQ399">
        <f t="shared" si="318"/>
        <v>0</v>
      </c>
      <c r="CR399">
        <f t="shared" si="339"/>
        <v>0</v>
      </c>
      <c r="CS399">
        <f t="shared" si="319"/>
        <v>0</v>
      </c>
      <c r="CT399">
        <f t="shared" si="320"/>
        <v>722.46</v>
      </c>
      <c r="CU399">
        <f t="shared" si="321"/>
        <v>0</v>
      </c>
      <c r="CV399">
        <f t="shared" si="322"/>
        <v>1.17</v>
      </c>
      <c r="CW399">
        <f t="shared" si="323"/>
        <v>0</v>
      </c>
      <c r="CX399">
        <f t="shared" si="324"/>
        <v>0</v>
      </c>
      <c r="CY399">
        <f t="shared" si="325"/>
        <v>5057.22</v>
      </c>
      <c r="CZ399">
        <f t="shared" si="326"/>
        <v>722.46</v>
      </c>
      <c r="DC399" t="s">
        <v>3</v>
      </c>
      <c r="DD399" t="s">
        <v>3</v>
      </c>
      <c r="DE399" t="s">
        <v>3</v>
      </c>
      <c r="DF399" t="s">
        <v>3</v>
      </c>
      <c r="DG399" t="s">
        <v>3</v>
      </c>
      <c r="DH399" t="s">
        <v>3</v>
      </c>
      <c r="DI399" t="s">
        <v>3</v>
      </c>
      <c r="DJ399" t="s">
        <v>3</v>
      </c>
      <c r="DK399" t="s">
        <v>3</v>
      </c>
      <c r="DL399" t="s">
        <v>3</v>
      </c>
      <c r="DM399" t="s">
        <v>3</v>
      </c>
      <c r="DN399">
        <v>0</v>
      </c>
      <c r="DO399">
        <v>0</v>
      </c>
      <c r="DP399">
        <v>1</v>
      </c>
      <c r="DQ399">
        <v>1</v>
      </c>
      <c r="DU399">
        <v>16987630</v>
      </c>
      <c r="DV399" t="s">
        <v>20</v>
      </c>
      <c r="DW399" t="s">
        <v>20</v>
      </c>
      <c r="DX399">
        <v>1</v>
      </c>
      <c r="DZ399" t="s">
        <v>3</v>
      </c>
      <c r="EA399" t="s">
        <v>3</v>
      </c>
      <c r="EB399" t="s">
        <v>3</v>
      </c>
      <c r="EC399" t="s">
        <v>3</v>
      </c>
      <c r="EE399">
        <v>1441815344</v>
      </c>
      <c r="EF399">
        <v>1</v>
      </c>
      <c r="EG399" t="s">
        <v>22</v>
      </c>
      <c r="EH399">
        <v>0</v>
      </c>
      <c r="EI399" t="s">
        <v>3</v>
      </c>
      <c r="EJ399">
        <v>4</v>
      </c>
      <c r="EK399">
        <v>0</v>
      </c>
      <c r="EL399" t="s">
        <v>23</v>
      </c>
      <c r="EM399" t="s">
        <v>24</v>
      </c>
      <c r="EO399" t="s">
        <v>3</v>
      </c>
      <c r="EQ399">
        <v>1024</v>
      </c>
      <c r="ER399">
        <v>722.46</v>
      </c>
      <c r="ES399">
        <v>0</v>
      </c>
      <c r="ET399">
        <v>0</v>
      </c>
      <c r="EU399">
        <v>0</v>
      </c>
      <c r="EV399">
        <v>722.46</v>
      </c>
      <c r="EW399">
        <v>1.17</v>
      </c>
      <c r="EX399">
        <v>0</v>
      </c>
      <c r="EY399">
        <v>0</v>
      </c>
      <c r="FQ399">
        <v>0</v>
      </c>
      <c r="FR399">
        <f t="shared" si="327"/>
        <v>0</v>
      </c>
      <c r="FS399">
        <v>0</v>
      </c>
      <c r="FX399">
        <v>70</v>
      </c>
      <c r="FY399">
        <v>10</v>
      </c>
      <c r="GA399" t="s">
        <v>3</v>
      </c>
      <c r="GD399">
        <v>0</v>
      </c>
      <c r="GF399">
        <v>1164262949</v>
      </c>
      <c r="GG399">
        <v>2</v>
      </c>
      <c r="GH399">
        <v>1</v>
      </c>
      <c r="GI399">
        <v>-2</v>
      </c>
      <c r="GJ399">
        <v>0</v>
      </c>
      <c r="GK399">
        <f>ROUND(R399*(R12)/100,2)</f>
        <v>0</v>
      </c>
      <c r="GL399">
        <f t="shared" si="328"/>
        <v>0</v>
      </c>
      <c r="GM399">
        <f t="shared" si="329"/>
        <v>13004.28</v>
      </c>
      <c r="GN399">
        <f t="shared" si="330"/>
        <v>0</v>
      </c>
      <c r="GO399">
        <f t="shared" si="331"/>
        <v>0</v>
      </c>
      <c r="GP399">
        <f t="shared" si="332"/>
        <v>13004.28</v>
      </c>
      <c r="GR399">
        <v>0</v>
      </c>
      <c r="GS399">
        <v>3</v>
      </c>
      <c r="GT399">
        <v>0</v>
      </c>
      <c r="GU399" t="s">
        <v>3</v>
      </c>
      <c r="GV399">
        <f t="shared" si="333"/>
        <v>0</v>
      </c>
      <c r="GW399">
        <v>1</v>
      </c>
      <c r="GX399">
        <f t="shared" si="334"/>
        <v>0</v>
      </c>
      <c r="HA399">
        <v>0</v>
      </c>
      <c r="HB399">
        <v>0</v>
      </c>
      <c r="HC399">
        <f t="shared" si="335"/>
        <v>0</v>
      </c>
      <c r="HE399" t="s">
        <v>3</v>
      </c>
      <c r="HF399" t="s">
        <v>3</v>
      </c>
      <c r="HM399" t="s">
        <v>3</v>
      </c>
      <c r="HN399" t="s">
        <v>3</v>
      </c>
      <c r="HO399" t="s">
        <v>3</v>
      </c>
      <c r="HP399" t="s">
        <v>3</v>
      </c>
      <c r="HQ399" t="s">
        <v>3</v>
      </c>
      <c r="IK399">
        <v>0</v>
      </c>
    </row>
    <row r="400" spans="1:245" x14ac:dyDescent="0.2">
      <c r="A400">
        <v>17</v>
      </c>
      <c r="B400">
        <v>1</v>
      </c>
      <c r="E400" t="s">
        <v>3</v>
      </c>
      <c r="F400" t="s">
        <v>187</v>
      </c>
      <c r="G400" t="s">
        <v>228</v>
      </c>
      <c r="H400" t="s">
        <v>189</v>
      </c>
      <c r="I400">
        <v>10</v>
      </c>
      <c r="J400">
        <v>0</v>
      </c>
      <c r="K400">
        <v>10</v>
      </c>
      <c r="O400">
        <f t="shared" si="303"/>
        <v>1800</v>
      </c>
      <c r="P400">
        <f t="shared" si="304"/>
        <v>1800</v>
      </c>
      <c r="Q400">
        <f t="shared" si="305"/>
        <v>0</v>
      </c>
      <c r="R400">
        <f t="shared" si="306"/>
        <v>0</v>
      </c>
      <c r="S400">
        <f t="shared" si="307"/>
        <v>0</v>
      </c>
      <c r="T400">
        <f t="shared" si="308"/>
        <v>0</v>
      </c>
      <c r="U400">
        <f t="shared" si="309"/>
        <v>0</v>
      </c>
      <c r="V400">
        <f t="shared" si="310"/>
        <v>0</v>
      </c>
      <c r="W400">
        <f t="shared" si="311"/>
        <v>0</v>
      </c>
      <c r="X400">
        <f t="shared" si="312"/>
        <v>0</v>
      </c>
      <c r="Y400">
        <f t="shared" si="313"/>
        <v>0</v>
      </c>
      <c r="AA400">
        <v>-1</v>
      </c>
      <c r="AB400">
        <f t="shared" si="314"/>
        <v>180</v>
      </c>
      <c r="AC400">
        <f>ROUND((ES400),6)</f>
        <v>180</v>
      </c>
      <c r="AD400">
        <f>ROUND((ET400),6)</f>
        <v>0</v>
      </c>
      <c r="AE400">
        <f t="shared" si="337"/>
        <v>0</v>
      </c>
      <c r="AF400">
        <f>ROUND((EV400),6)</f>
        <v>0</v>
      </c>
      <c r="AG400">
        <f t="shared" si="315"/>
        <v>0</v>
      </c>
      <c r="AH400">
        <f>(EW400)</f>
        <v>0</v>
      </c>
      <c r="AI400">
        <f t="shared" si="338"/>
        <v>0</v>
      </c>
      <c r="AJ400">
        <f t="shared" si="316"/>
        <v>0</v>
      </c>
      <c r="AK400">
        <v>180</v>
      </c>
      <c r="AL400">
        <v>180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1</v>
      </c>
      <c r="AW400">
        <v>1</v>
      </c>
      <c r="AZ400">
        <v>1</v>
      </c>
      <c r="BA400">
        <v>1</v>
      </c>
      <c r="BB400">
        <v>1</v>
      </c>
      <c r="BC400">
        <v>1</v>
      </c>
      <c r="BD400" t="s">
        <v>3</v>
      </c>
      <c r="BE400" t="s">
        <v>3</v>
      </c>
      <c r="BF400" t="s">
        <v>3</v>
      </c>
      <c r="BG400" t="s">
        <v>3</v>
      </c>
      <c r="BH400">
        <v>3</v>
      </c>
      <c r="BI400">
        <v>0</v>
      </c>
      <c r="BJ400" t="s">
        <v>3</v>
      </c>
      <c r="BM400">
        <v>356</v>
      </c>
      <c r="BN400">
        <v>0</v>
      </c>
      <c r="BO400" t="s">
        <v>3</v>
      </c>
      <c r="BP400">
        <v>0</v>
      </c>
      <c r="BQ400">
        <v>0</v>
      </c>
      <c r="BR400">
        <v>0</v>
      </c>
      <c r="BS400">
        <v>1</v>
      </c>
      <c r="BT400">
        <v>1</v>
      </c>
      <c r="BU400">
        <v>1</v>
      </c>
      <c r="BV400">
        <v>1</v>
      </c>
      <c r="BW400">
        <v>1</v>
      </c>
      <c r="BX400">
        <v>1</v>
      </c>
      <c r="BY400" t="s">
        <v>3</v>
      </c>
      <c r="BZ400">
        <v>0</v>
      </c>
      <c r="CA400">
        <v>0</v>
      </c>
      <c r="CB400" t="s">
        <v>3</v>
      </c>
      <c r="CE400">
        <v>0</v>
      </c>
      <c r="CF400">
        <v>0</v>
      </c>
      <c r="CG400">
        <v>0</v>
      </c>
      <c r="CM400">
        <v>0</v>
      </c>
      <c r="CN400" t="s">
        <v>3</v>
      </c>
      <c r="CO400">
        <v>0</v>
      </c>
      <c r="CP400">
        <f t="shared" si="317"/>
        <v>1800</v>
      </c>
      <c r="CQ400">
        <f>AC400*BC400</f>
        <v>180</v>
      </c>
      <c r="CR400">
        <f>AD400*BB400</f>
        <v>0</v>
      </c>
      <c r="CS400">
        <f>AE400*BS400</f>
        <v>0</v>
      </c>
      <c r="CT400">
        <f>AF400*BA400</f>
        <v>0</v>
      </c>
      <c r="CU400">
        <f t="shared" si="321"/>
        <v>0</v>
      </c>
      <c r="CV400">
        <f>AH400</f>
        <v>0</v>
      </c>
      <c r="CW400">
        <f t="shared" si="323"/>
        <v>0</v>
      </c>
      <c r="CX400">
        <f t="shared" si="324"/>
        <v>0</v>
      </c>
      <c r="CY400">
        <f>0</f>
        <v>0</v>
      </c>
      <c r="CZ400">
        <f>0</f>
        <v>0</v>
      </c>
      <c r="DC400" t="s">
        <v>3</v>
      </c>
      <c r="DD400" t="s">
        <v>3</v>
      </c>
      <c r="DE400" t="s">
        <v>3</v>
      </c>
      <c r="DF400" t="s">
        <v>3</v>
      </c>
      <c r="DG400" t="s">
        <v>3</v>
      </c>
      <c r="DH400" t="s">
        <v>3</v>
      </c>
      <c r="DI400" t="s">
        <v>3</v>
      </c>
      <c r="DJ400" t="s">
        <v>3</v>
      </c>
      <c r="DK400" t="s">
        <v>3</v>
      </c>
      <c r="DL400" t="s">
        <v>3</v>
      </c>
      <c r="DM400" t="s">
        <v>3</v>
      </c>
      <c r="DN400">
        <v>0</v>
      </c>
      <c r="DO400">
        <v>0</v>
      </c>
      <c r="DP400">
        <v>1</v>
      </c>
      <c r="DQ400">
        <v>1</v>
      </c>
      <c r="DU400">
        <v>1013</v>
      </c>
      <c r="DV400" t="s">
        <v>189</v>
      </c>
      <c r="DW400" t="s">
        <v>189</v>
      </c>
      <c r="DX400">
        <v>7.0999999999999994E-2</v>
      </c>
      <c r="DZ400" t="s">
        <v>3</v>
      </c>
      <c r="EA400" t="s">
        <v>3</v>
      </c>
      <c r="EB400" t="s">
        <v>3</v>
      </c>
      <c r="EC400" t="s">
        <v>3</v>
      </c>
      <c r="EE400">
        <v>0</v>
      </c>
      <c r="EF400">
        <v>0</v>
      </c>
      <c r="EG400" t="s">
        <v>3</v>
      </c>
      <c r="EH400">
        <v>0</v>
      </c>
      <c r="EI400" t="s">
        <v>3</v>
      </c>
      <c r="EJ400">
        <v>0</v>
      </c>
      <c r="EK400">
        <v>356</v>
      </c>
      <c r="EL400" t="s">
        <v>3</v>
      </c>
      <c r="EM400" t="s">
        <v>3</v>
      </c>
      <c r="EO400" t="s">
        <v>3</v>
      </c>
      <c r="EQ400">
        <v>1024</v>
      </c>
      <c r="ER400">
        <v>180</v>
      </c>
      <c r="ES400">
        <v>180</v>
      </c>
      <c r="ET400">
        <v>0</v>
      </c>
      <c r="EU400">
        <v>0</v>
      </c>
      <c r="EV400">
        <v>0</v>
      </c>
      <c r="EW400">
        <v>0</v>
      </c>
      <c r="EX400">
        <v>0</v>
      </c>
      <c r="EY400">
        <v>0</v>
      </c>
      <c r="FQ400">
        <v>1800</v>
      </c>
      <c r="FR400">
        <f t="shared" si="327"/>
        <v>0</v>
      </c>
      <c r="FS400">
        <v>1</v>
      </c>
      <c r="FX400">
        <v>0</v>
      </c>
      <c r="FY400">
        <v>0</v>
      </c>
      <c r="GA400" t="s">
        <v>3</v>
      </c>
      <c r="GD400">
        <v>0</v>
      </c>
      <c r="GF400">
        <v>-54322067</v>
      </c>
      <c r="GG400">
        <v>2</v>
      </c>
      <c r="GH400">
        <v>0</v>
      </c>
      <c r="GI400">
        <v>-2</v>
      </c>
      <c r="GJ400">
        <v>0</v>
      </c>
      <c r="GK400">
        <f>ROUND(R400*(R12)/100,2)</f>
        <v>0</v>
      </c>
      <c r="GL400">
        <f t="shared" si="328"/>
        <v>0</v>
      </c>
      <c r="GM400">
        <f t="shared" si="329"/>
        <v>1800</v>
      </c>
      <c r="GN400">
        <f t="shared" si="330"/>
        <v>1800</v>
      </c>
      <c r="GO400">
        <f t="shared" si="331"/>
        <v>0</v>
      </c>
      <c r="GP400">
        <f t="shared" si="332"/>
        <v>0</v>
      </c>
      <c r="GR400">
        <v>0</v>
      </c>
      <c r="GS400">
        <v>0</v>
      </c>
      <c r="GT400">
        <v>0</v>
      </c>
      <c r="GU400" t="s">
        <v>3</v>
      </c>
      <c r="GV400">
        <f t="shared" si="333"/>
        <v>0</v>
      </c>
      <c r="GW400">
        <v>1</v>
      </c>
      <c r="GX400">
        <f t="shared" si="334"/>
        <v>0</v>
      </c>
      <c r="HA400">
        <v>0</v>
      </c>
      <c r="HB400">
        <v>0</v>
      </c>
      <c r="HC400">
        <f t="shared" si="335"/>
        <v>0</v>
      </c>
      <c r="HE400" t="s">
        <v>3</v>
      </c>
      <c r="HF400" t="s">
        <v>3</v>
      </c>
      <c r="HM400" t="s">
        <v>3</v>
      </c>
      <c r="HN400" t="s">
        <v>3</v>
      </c>
      <c r="HO400" t="s">
        <v>3</v>
      </c>
      <c r="HP400" t="s">
        <v>3</v>
      </c>
      <c r="HQ400" t="s">
        <v>3</v>
      </c>
      <c r="IK400">
        <v>0</v>
      </c>
    </row>
    <row r="401" spans="1:245" x14ac:dyDescent="0.2">
      <c r="A401">
        <v>17</v>
      </c>
      <c r="B401">
        <v>1</v>
      </c>
      <c r="D401">
        <f>ROW(EtalonRes!A184)</f>
        <v>184</v>
      </c>
      <c r="E401" t="s">
        <v>3</v>
      </c>
      <c r="F401" t="s">
        <v>331</v>
      </c>
      <c r="G401" t="s">
        <v>332</v>
      </c>
      <c r="H401" t="s">
        <v>94</v>
      </c>
      <c r="I401">
        <f>ROUND(13/10,9)</f>
        <v>1.3</v>
      </c>
      <c r="J401">
        <v>0</v>
      </c>
      <c r="K401">
        <f>ROUND(13/10,9)</f>
        <v>1.3</v>
      </c>
      <c r="O401">
        <f t="shared" si="303"/>
        <v>722.86</v>
      </c>
      <c r="P401">
        <f t="shared" si="304"/>
        <v>0.4</v>
      </c>
      <c r="Q401">
        <f t="shared" si="305"/>
        <v>0</v>
      </c>
      <c r="R401">
        <f t="shared" si="306"/>
        <v>0</v>
      </c>
      <c r="S401">
        <f t="shared" si="307"/>
        <v>722.46</v>
      </c>
      <c r="T401">
        <f t="shared" si="308"/>
        <v>0</v>
      </c>
      <c r="U401">
        <f t="shared" si="309"/>
        <v>1.1700000000000002</v>
      </c>
      <c r="V401">
        <f t="shared" si="310"/>
        <v>0</v>
      </c>
      <c r="W401">
        <f t="shared" si="311"/>
        <v>0</v>
      </c>
      <c r="X401">
        <f t="shared" si="312"/>
        <v>505.72</v>
      </c>
      <c r="Y401">
        <f t="shared" si="313"/>
        <v>72.25</v>
      </c>
      <c r="AA401">
        <v>-1</v>
      </c>
      <c r="AB401">
        <f t="shared" si="314"/>
        <v>556.04999999999995</v>
      </c>
      <c r="AC401">
        <f>ROUND((ES401),6)</f>
        <v>0.31</v>
      </c>
      <c r="AD401">
        <f>ROUND((((ET401)-(EU401))+AE401),6)</f>
        <v>0</v>
      </c>
      <c r="AE401">
        <f t="shared" si="337"/>
        <v>0</v>
      </c>
      <c r="AF401">
        <f>ROUND((EV401),6)</f>
        <v>555.74</v>
      </c>
      <c r="AG401">
        <f t="shared" si="315"/>
        <v>0</v>
      </c>
      <c r="AH401">
        <f>(EW401)</f>
        <v>0.9</v>
      </c>
      <c r="AI401">
        <f t="shared" si="338"/>
        <v>0</v>
      </c>
      <c r="AJ401">
        <f t="shared" si="316"/>
        <v>0</v>
      </c>
      <c r="AK401">
        <v>556.04999999999995</v>
      </c>
      <c r="AL401">
        <v>0.31</v>
      </c>
      <c r="AM401">
        <v>0</v>
      </c>
      <c r="AN401">
        <v>0</v>
      </c>
      <c r="AO401">
        <v>555.74</v>
      </c>
      <c r="AP401">
        <v>0</v>
      </c>
      <c r="AQ401">
        <v>0.9</v>
      </c>
      <c r="AR401">
        <v>0</v>
      </c>
      <c r="AS401">
        <v>0</v>
      </c>
      <c r="AT401">
        <v>70</v>
      </c>
      <c r="AU401">
        <v>10</v>
      </c>
      <c r="AV401">
        <v>1</v>
      </c>
      <c r="AW401">
        <v>1</v>
      </c>
      <c r="AZ401">
        <v>1</v>
      </c>
      <c r="BA401">
        <v>1</v>
      </c>
      <c r="BB401">
        <v>1</v>
      </c>
      <c r="BC401">
        <v>1</v>
      </c>
      <c r="BD401" t="s">
        <v>3</v>
      </c>
      <c r="BE401" t="s">
        <v>3</v>
      </c>
      <c r="BF401" t="s">
        <v>3</v>
      </c>
      <c r="BG401" t="s">
        <v>3</v>
      </c>
      <c r="BH401">
        <v>0</v>
      </c>
      <c r="BI401">
        <v>4</v>
      </c>
      <c r="BJ401" t="s">
        <v>333</v>
      </c>
      <c r="BM401">
        <v>0</v>
      </c>
      <c r="BN401">
        <v>0</v>
      </c>
      <c r="BO401" t="s">
        <v>3</v>
      </c>
      <c r="BP401">
        <v>0</v>
      </c>
      <c r="BQ401">
        <v>1</v>
      </c>
      <c r="BR401">
        <v>0</v>
      </c>
      <c r="BS401">
        <v>1</v>
      </c>
      <c r="BT401">
        <v>1</v>
      </c>
      <c r="BU401">
        <v>1</v>
      </c>
      <c r="BV401">
        <v>1</v>
      </c>
      <c r="BW401">
        <v>1</v>
      </c>
      <c r="BX401">
        <v>1</v>
      </c>
      <c r="BY401" t="s">
        <v>3</v>
      </c>
      <c r="BZ401">
        <v>70</v>
      </c>
      <c r="CA401">
        <v>10</v>
      </c>
      <c r="CB401" t="s">
        <v>3</v>
      </c>
      <c r="CE401">
        <v>0</v>
      </c>
      <c r="CF401">
        <v>0</v>
      </c>
      <c r="CG401">
        <v>0</v>
      </c>
      <c r="CM401">
        <v>0</v>
      </c>
      <c r="CN401" t="s">
        <v>3</v>
      </c>
      <c r="CO401">
        <v>0</v>
      </c>
      <c r="CP401">
        <f t="shared" si="317"/>
        <v>722.86</v>
      </c>
      <c r="CQ401">
        <f>(AC401*BC401*AW401)</f>
        <v>0.31</v>
      </c>
      <c r="CR401">
        <f>((((ET401)*BB401-(EU401)*BS401)+AE401*BS401)*AV401)</f>
        <v>0</v>
      </c>
      <c r="CS401">
        <f>(AE401*BS401*AV401)</f>
        <v>0</v>
      </c>
      <c r="CT401">
        <f>(AF401*BA401*AV401)</f>
        <v>555.74</v>
      </c>
      <c r="CU401">
        <f t="shared" si="321"/>
        <v>0</v>
      </c>
      <c r="CV401">
        <f>(AH401*AV401)</f>
        <v>0.9</v>
      </c>
      <c r="CW401">
        <f t="shared" si="323"/>
        <v>0</v>
      </c>
      <c r="CX401">
        <f t="shared" si="324"/>
        <v>0</v>
      </c>
      <c r="CY401">
        <f>((S401*BZ401)/100)</f>
        <v>505.72200000000004</v>
      </c>
      <c r="CZ401">
        <f>((S401*CA401)/100)</f>
        <v>72.246000000000009</v>
      </c>
      <c r="DC401" t="s">
        <v>3</v>
      </c>
      <c r="DD401" t="s">
        <v>3</v>
      </c>
      <c r="DE401" t="s">
        <v>3</v>
      </c>
      <c r="DF401" t="s">
        <v>3</v>
      </c>
      <c r="DG401" t="s">
        <v>3</v>
      </c>
      <c r="DH401" t="s">
        <v>3</v>
      </c>
      <c r="DI401" t="s">
        <v>3</v>
      </c>
      <c r="DJ401" t="s">
        <v>3</v>
      </c>
      <c r="DK401" t="s">
        <v>3</v>
      </c>
      <c r="DL401" t="s">
        <v>3</v>
      </c>
      <c r="DM401" t="s">
        <v>3</v>
      </c>
      <c r="DN401">
        <v>0</v>
      </c>
      <c r="DO401">
        <v>0</v>
      </c>
      <c r="DP401">
        <v>1</v>
      </c>
      <c r="DQ401">
        <v>1</v>
      </c>
      <c r="DU401">
        <v>16987630</v>
      </c>
      <c r="DV401" t="s">
        <v>94</v>
      </c>
      <c r="DW401" t="s">
        <v>94</v>
      </c>
      <c r="DX401">
        <v>10</v>
      </c>
      <c r="DZ401" t="s">
        <v>3</v>
      </c>
      <c r="EA401" t="s">
        <v>3</v>
      </c>
      <c r="EB401" t="s">
        <v>3</v>
      </c>
      <c r="EC401" t="s">
        <v>3</v>
      </c>
      <c r="EE401">
        <v>1441815344</v>
      </c>
      <c r="EF401">
        <v>1</v>
      </c>
      <c r="EG401" t="s">
        <v>22</v>
      </c>
      <c r="EH401">
        <v>0</v>
      </c>
      <c r="EI401" t="s">
        <v>3</v>
      </c>
      <c r="EJ401">
        <v>4</v>
      </c>
      <c r="EK401">
        <v>0</v>
      </c>
      <c r="EL401" t="s">
        <v>23</v>
      </c>
      <c r="EM401" t="s">
        <v>24</v>
      </c>
      <c r="EO401" t="s">
        <v>3</v>
      </c>
      <c r="EQ401">
        <v>1024</v>
      </c>
      <c r="ER401">
        <v>556.04999999999995</v>
      </c>
      <c r="ES401">
        <v>0.31</v>
      </c>
      <c r="ET401">
        <v>0</v>
      </c>
      <c r="EU401">
        <v>0</v>
      </c>
      <c r="EV401">
        <v>555.74</v>
      </c>
      <c r="EW401">
        <v>0.9</v>
      </c>
      <c r="EX401">
        <v>0</v>
      </c>
      <c r="EY401">
        <v>0</v>
      </c>
      <c r="FQ401">
        <v>0</v>
      </c>
      <c r="FR401">
        <f t="shared" si="327"/>
        <v>0</v>
      </c>
      <c r="FS401">
        <v>0</v>
      </c>
      <c r="FX401">
        <v>70</v>
      </c>
      <c r="FY401">
        <v>10</v>
      </c>
      <c r="GA401" t="s">
        <v>3</v>
      </c>
      <c r="GD401">
        <v>0</v>
      </c>
      <c r="GF401">
        <v>505455875</v>
      </c>
      <c r="GG401">
        <v>2</v>
      </c>
      <c r="GH401">
        <v>1</v>
      </c>
      <c r="GI401">
        <v>-2</v>
      </c>
      <c r="GJ401">
        <v>0</v>
      </c>
      <c r="GK401">
        <f>ROUND(R401*(R12)/100,2)</f>
        <v>0</v>
      </c>
      <c r="GL401">
        <f t="shared" si="328"/>
        <v>0</v>
      </c>
      <c r="GM401">
        <f t="shared" si="329"/>
        <v>1300.83</v>
      </c>
      <c r="GN401">
        <f t="shared" si="330"/>
        <v>0</v>
      </c>
      <c r="GO401">
        <f t="shared" si="331"/>
        <v>0</v>
      </c>
      <c r="GP401">
        <f t="shared" si="332"/>
        <v>1300.83</v>
      </c>
      <c r="GR401">
        <v>0</v>
      </c>
      <c r="GS401">
        <v>3</v>
      </c>
      <c r="GT401">
        <v>0</v>
      </c>
      <c r="GU401" t="s">
        <v>3</v>
      </c>
      <c r="GV401">
        <f t="shared" si="333"/>
        <v>0</v>
      </c>
      <c r="GW401">
        <v>1</v>
      </c>
      <c r="GX401">
        <f t="shared" si="334"/>
        <v>0</v>
      </c>
      <c r="HA401">
        <v>0</v>
      </c>
      <c r="HB401">
        <v>0</v>
      </c>
      <c r="HC401">
        <f t="shared" si="335"/>
        <v>0</v>
      </c>
      <c r="HE401" t="s">
        <v>3</v>
      </c>
      <c r="HF401" t="s">
        <v>3</v>
      </c>
      <c r="HM401" t="s">
        <v>3</v>
      </c>
      <c r="HN401" t="s">
        <v>3</v>
      </c>
      <c r="HO401" t="s">
        <v>3</v>
      </c>
      <c r="HP401" t="s">
        <v>3</v>
      </c>
      <c r="HQ401" t="s">
        <v>3</v>
      </c>
      <c r="IK401">
        <v>0</v>
      </c>
    </row>
    <row r="402" spans="1:245" x14ac:dyDescent="0.2">
      <c r="A402">
        <v>17</v>
      </c>
      <c r="B402">
        <v>1</v>
      </c>
      <c r="D402">
        <f>ROW(EtalonRes!A185)</f>
        <v>185</v>
      </c>
      <c r="E402" t="s">
        <v>334</v>
      </c>
      <c r="F402" t="s">
        <v>92</v>
      </c>
      <c r="G402" t="s">
        <v>93</v>
      </c>
      <c r="H402" t="s">
        <v>94</v>
      </c>
      <c r="I402">
        <f>ROUND(2/10,9)</f>
        <v>0.2</v>
      </c>
      <c r="J402">
        <v>0</v>
      </c>
      <c r="K402">
        <f>ROUND(2/10,9)</f>
        <v>0.2</v>
      </c>
      <c r="O402">
        <f t="shared" si="303"/>
        <v>55.57</v>
      </c>
      <c r="P402">
        <f t="shared" si="304"/>
        <v>0</v>
      </c>
      <c r="Q402">
        <f t="shared" si="305"/>
        <v>0</v>
      </c>
      <c r="R402">
        <f t="shared" si="306"/>
        <v>0</v>
      </c>
      <c r="S402">
        <f t="shared" si="307"/>
        <v>55.57</v>
      </c>
      <c r="T402">
        <f t="shared" si="308"/>
        <v>0</v>
      </c>
      <c r="U402">
        <f t="shared" si="309"/>
        <v>9.0000000000000011E-2</v>
      </c>
      <c r="V402">
        <f t="shared" si="310"/>
        <v>0</v>
      </c>
      <c r="W402">
        <f t="shared" si="311"/>
        <v>0</v>
      </c>
      <c r="X402">
        <f t="shared" si="312"/>
        <v>38.9</v>
      </c>
      <c r="Y402">
        <f t="shared" si="313"/>
        <v>5.56</v>
      </c>
      <c r="AA402">
        <v>1472506909</v>
      </c>
      <c r="AB402">
        <f t="shared" si="314"/>
        <v>277.87</v>
      </c>
      <c r="AC402">
        <f>ROUND((ES402),6)</f>
        <v>0</v>
      </c>
      <c r="AD402">
        <f>ROUND((((ET402)-(EU402))+AE402),6)</f>
        <v>0</v>
      </c>
      <c r="AE402">
        <f t="shared" si="337"/>
        <v>0</v>
      </c>
      <c r="AF402">
        <f>ROUND((EV402),6)</f>
        <v>277.87</v>
      </c>
      <c r="AG402">
        <f t="shared" si="315"/>
        <v>0</v>
      </c>
      <c r="AH402">
        <f>(EW402)</f>
        <v>0.45</v>
      </c>
      <c r="AI402">
        <f t="shared" si="338"/>
        <v>0</v>
      </c>
      <c r="AJ402">
        <f t="shared" si="316"/>
        <v>0</v>
      </c>
      <c r="AK402">
        <v>277.87</v>
      </c>
      <c r="AL402">
        <v>0</v>
      </c>
      <c r="AM402">
        <v>0</v>
      </c>
      <c r="AN402">
        <v>0</v>
      </c>
      <c r="AO402">
        <v>277.87</v>
      </c>
      <c r="AP402">
        <v>0</v>
      </c>
      <c r="AQ402">
        <v>0.45</v>
      </c>
      <c r="AR402">
        <v>0</v>
      </c>
      <c r="AS402">
        <v>0</v>
      </c>
      <c r="AT402">
        <v>70</v>
      </c>
      <c r="AU402">
        <v>10</v>
      </c>
      <c r="AV402">
        <v>1</v>
      </c>
      <c r="AW402">
        <v>1</v>
      </c>
      <c r="AZ402">
        <v>1</v>
      </c>
      <c r="BA402">
        <v>1</v>
      </c>
      <c r="BB402">
        <v>1</v>
      </c>
      <c r="BC402">
        <v>1</v>
      </c>
      <c r="BD402" t="s">
        <v>3</v>
      </c>
      <c r="BE402" t="s">
        <v>3</v>
      </c>
      <c r="BF402" t="s">
        <v>3</v>
      </c>
      <c r="BG402" t="s">
        <v>3</v>
      </c>
      <c r="BH402">
        <v>0</v>
      </c>
      <c r="BI402">
        <v>4</v>
      </c>
      <c r="BJ402" t="s">
        <v>95</v>
      </c>
      <c r="BM402">
        <v>0</v>
      </c>
      <c r="BN402">
        <v>0</v>
      </c>
      <c r="BO402" t="s">
        <v>3</v>
      </c>
      <c r="BP402">
        <v>0</v>
      </c>
      <c r="BQ402">
        <v>1</v>
      </c>
      <c r="BR402">
        <v>0</v>
      </c>
      <c r="BS402">
        <v>1</v>
      </c>
      <c r="BT402">
        <v>1</v>
      </c>
      <c r="BU402">
        <v>1</v>
      </c>
      <c r="BV402">
        <v>1</v>
      </c>
      <c r="BW402">
        <v>1</v>
      </c>
      <c r="BX402">
        <v>1</v>
      </c>
      <c r="BY402" t="s">
        <v>3</v>
      </c>
      <c r="BZ402">
        <v>70</v>
      </c>
      <c r="CA402">
        <v>10</v>
      </c>
      <c r="CB402" t="s">
        <v>3</v>
      </c>
      <c r="CE402">
        <v>0</v>
      </c>
      <c r="CF402">
        <v>0</v>
      </c>
      <c r="CG402">
        <v>0</v>
      </c>
      <c r="CM402">
        <v>0</v>
      </c>
      <c r="CN402" t="s">
        <v>3</v>
      </c>
      <c r="CO402">
        <v>0</v>
      </c>
      <c r="CP402">
        <f t="shared" si="317"/>
        <v>55.57</v>
      </c>
      <c r="CQ402">
        <f>(AC402*BC402*AW402)</f>
        <v>0</v>
      </c>
      <c r="CR402">
        <f>((((ET402)*BB402-(EU402)*BS402)+AE402*BS402)*AV402)</f>
        <v>0</v>
      </c>
      <c r="CS402">
        <f>(AE402*BS402*AV402)</f>
        <v>0</v>
      </c>
      <c r="CT402">
        <f>(AF402*BA402*AV402)</f>
        <v>277.87</v>
      </c>
      <c r="CU402">
        <f t="shared" si="321"/>
        <v>0</v>
      </c>
      <c r="CV402">
        <f>(AH402*AV402)</f>
        <v>0.45</v>
      </c>
      <c r="CW402">
        <f t="shared" si="323"/>
        <v>0</v>
      </c>
      <c r="CX402">
        <f t="shared" si="324"/>
        <v>0</v>
      </c>
      <c r="CY402">
        <f>((S402*BZ402)/100)</f>
        <v>38.899000000000001</v>
      </c>
      <c r="CZ402">
        <f>((S402*CA402)/100)</f>
        <v>5.5570000000000004</v>
      </c>
      <c r="DC402" t="s">
        <v>3</v>
      </c>
      <c r="DD402" t="s">
        <v>3</v>
      </c>
      <c r="DE402" t="s">
        <v>3</v>
      </c>
      <c r="DF402" t="s">
        <v>3</v>
      </c>
      <c r="DG402" t="s">
        <v>3</v>
      </c>
      <c r="DH402" t="s">
        <v>3</v>
      </c>
      <c r="DI402" t="s">
        <v>3</v>
      </c>
      <c r="DJ402" t="s">
        <v>3</v>
      </c>
      <c r="DK402" t="s">
        <v>3</v>
      </c>
      <c r="DL402" t="s">
        <v>3</v>
      </c>
      <c r="DM402" t="s">
        <v>3</v>
      </c>
      <c r="DN402">
        <v>0</v>
      </c>
      <c r="DO402">
        <v>0</v>
      </c>
      <c r="DP402">
        <v>1</v>
      </c>
      <c r="DQ402">
        <v>1</v>
      </c>
      <c r="DU402">
        <v>16987630</v>
      </c>
      <c r="DV402" t="s">
        <v>94</v>
      </c>
      <c r="DW402" t="s">
        <v>94</v>
      </c>
      <c r="DX402">
        <v>10</v>
      </c>
      <c r="DZ402" t="s">
        <v>3</v>
      </c>
      <c r="EA402" t="s">
        <v>3</v>
      </c>
      <c r="EB402" t="s">
        <v>3</v>
      </c>
      <c r="EC402" t="s">
        <v>3</v>
      </c>
      <c r="EE402">
        <v>1441815344</v>
      </c>
      <c r="EF402">
        <v>1</v>
      </c>
      <c r="EG402" t="s">
        <v>22</v>
      </c>
      <c r="EH402">
        <v>0</v>
      </c>
      <c r="EI402" t="s">
        <v>3</v>
      </c>
      <c r="EJ402">
        <v>4</v>
      </c>
      <c r="EK402">
        <v>0</v>
      </c>
      <c r="EL402" t="s">
        <v>23</v>
      </c>
      <c r="EM402" t="s">
        <v>24</v>
      </c>
      <c r="EO402" t="s">
        <v>3</v>
      </c>
      <c r="EQ402">
        <v>0</v>
      </c>
      <c r="ER402">
        <v>277.87</v>
      </c>
      <c r="ES402">
        <v>0</v>
      </c>
      <c r="ET402">
        <v>0</v>
      </c>
      <c r="EU402">
        <v>0</v>
      </c>
      <c r="EV402">
        <v>277.87</v>
      </c>
      <c r="EW402">
        <v>0.45</v>
      </c>
      <c r="EX402">
        <v>0</v>
      </c>
      <c r="EY402">
        <v>0</v>
      </c>
      <c r="FQ402">
        <v>0</v>
      </c>
      <c r="FR402">
        <f t="shared" si="327"/>
        <v>0</v>
      </c>
      <c r="FS402">
        <v>0</v>
      </c>
      <c r="FX402">
        <v>70</v>
      </c>
      <c r="FY402">
        <v>10</v>
      </c>
      <c r="GA402" t="s">
        <v>3</v>
      </c>
      <c r="GD402">
        <v>0</v>
      </c>
      <c r="GF402">
        <v>-559430364</v>
      </c>
      <c r="GG402">
        <v>2</v>
      </c>
      <c r="GH402">
        <v>1</v>
      </c>
      <c r="GI402">
        <v>-2</v>
      </c>
      <c r="GJ402">
        <v>0</v>
      </c>
      <c r="GK402">
        <f>ROUND(R402*(R12)/100,2)</f>
        <v>0</v>
      </c>
      <c r="GL402">
        <f t="shared" si="328"/>
        <v>0</v>
      </c>
      <c r="GM402">
        <f t="shared" si="329"/>
        <v>100.03</v>
      </c>
      <c r="GN402">
        <f t="shared" si="330"/>
        <v>0</v>
      </c>
      <c r="GO402">
        <f t="shared" si="331"/>
        <v>0</v>
      </c>
      <c r="GP402">
        <f t="shared" si="332"/>
        <v>100.03</v>
      </c>
      <c r="GR402">
        <v>0</v>
      </c>
      <c r="GS402">
        <v>3</v>
      </c>
      <c r="GT402">
        <v>0</v>
      </c>
      <c r="GU402" t="s">
        <v>3</v>
      </c>
      <c r="GV402">
        <f t="shared" si="333"/>
        <v>0</v>
      </c>
      <c r="GW402">
        <v>1</v>
      </c>
      <c r="GX402">
        <f t="shared" si="334"/>
        <v>0</v>
      </c>
      <c r="HA402">
        <v>0</v>
      </c>
      <c r="HB402">
        <v>0</v>
      </c>
      <c r="HC402">
        <f t="shared" si="335"/>
        <v>0</v>
      </c>
      <c r="HE402" t="s">
        <v>3</v>
      </c>
      <c r="HF402" t="s">
        <v>3</v>
      </c>
      <c r="HM402" t="s">
        <v>3</v>
      </c>
      <c r="HN402" t="s">
        <v>3</v>
      </c>
      <c r="HO402" t="s">
        <v>3</v>
      </c>
      <c r="HP402" t="s">
        <v>3</v>
      </c>
      <c r="HQ402" t="s">
        <v>3</v>
      </c>
      <c r="IK402">
        <v>0</v>
      </c>
    </row>
    <row r="403" spans="1:245" x14ac:dyDescent="0.2">
      <c r="A403">
        <v>17</v>
      </c>
      <c r="B403">
        <v>1</v>
      </c>
      <c r="D403">
        <f>ROW(EtalonRes!A186)</f>
        <v>186</v>
      </c>
      <c r="E403" t="s">
        <v>335</v>
      </c>
      <c r="F403" t="s">
        <v>97</v>
      </c>
      <c r="G403" t="s">
        <v>98</v>
      </c>
      <c r="H403" t="s">
        <v>94</v>
      </c>
      <c r="I403">
        <f>ROUND(2/10,9)</f>
        <v>0.2</v>
      </c>
      <c r="J403">
        <v>0</v>
      </c>
      <c r="K403">
        <f>ROUND(2/10,9)</f>
        <v>0.2</v>
      </c>
      <c r="O403">
        <f t="shared" si="303"/>
        <v>75.33</v>
      </c>
      <c r="P403">
        <f t="shared" si="304"/>
        <v>0</v>
      </c>
      <c r="Q403">
        <f t="shared" si="305"/>
        <v>0</v>
      </c>
      <c r="R403">
        <f t="shared" si="306"/>
        <v>0</v>
      </c>
      <c r="S403">
        <f t="shared" si="307"/>
        <v>75.33</v>
      </c>
      <c r="T403">
        <f t="shared" si="308"/>
        <v>0</v>
      </c>
      <c r="U403">
        <f t="shared" si="309"/>
        <v>0.122</v>
      </c>
      <c r="V403">
        <f t="shared" si="310"/>
        <v>0</v>
      </c>
      <c r="W403">
        <f t="shared" si="311"/>
        <v>0</v>
      </c>
      <c r="X403">
        <f t="shared" si="312"/>
        <v>52.73</v>
      </c>
      <c r="Y403">
        <f t="shared" si="313"/>
        <v>7.53</v>
      </c>
      <c r="AA403">
        <v>1472506909</v>
      </c>
      <c r="AB403">
        <f t="shared" si="314"/>
        <v>376.67</v>
      </c>
      <c r="AC403">
        <f>ROUND((ES403),6)</f>
        <v>0</v>
      </c>
      <c r="AD403">
        <f>ROUND((((ET403)-(EU403))+AE403),6)</f>
        <v>0</v>
      </c>
      <c r="AE403">
        <f t="shared" si="337"/>
        <v>0</v>
      </c>
      <c r="AF403">
        <f>ROUND((EV403),6)</f>
        <v>376.67</v>
      </c>
      <c r="AG403">
        <f t="shared" si="315"/>
        <v>0</v>
      </c>
      <c r="AH403">
        <f>(EW403)</f>
        <v>0.61</v>
      </c>
      <c r="AI403">
        <f t="shared" si="338"/>
        <v>0</v>
      </c>
      <c r="AJ403">
        <f t="shared" si="316"/>
        <v>0</v>
      </c>
      <c r="AK403">
        <v>376.67</v>
      </c>
      <c r="AL403">
        <v>0</v>
      </c>
      <c r="AM403">
        <v>0</v>
      </c>
      <c r="AN403">
        <v>0</v>
      </c>
      <c r="AO403">
        <v>376.67</v>
      </c>
      <c r="AP403">
        <v>0</v>
      </c>
      <c r="AQ403">
        <v>0.61</v>
      </c>
      <c r="AR403">
        <v>0</v>
      </c>
      <c r="AS403">
        <v>0</v>
      </c>
      <c r="AT403">
        <v>70</v>
      </c>
      <c r="AU403">
        <v>10</v>
      </c>
      <c r="AV403">
        <v>1</v>
      </c>
      <c r="AW403">
        <v>1</v>
      </c>
      <c r="AZ403">
        <v>1</v>
      </c>
      <c r="BA403">
        <v>1</v>
      </c>
      <c r="BB403">
        <v>1</v>
      </c>
      <c r="BC403">
        <v>1</v>
      </c>
      <c r="BD403" t="s">
        <v>3</v>
      </c>
      <c r="BE403" t="s">
        <v>3</v>
      </c>
      <c r="BF403" t="s">
        <v>3</v>
      </c>
      <c r="BG403" t="s">
        <v>3</v>
      </c>
      <c r="BH403">
        <v>0</v>
      </c>
      <c r="BI403">
        <v>4</v>
      </c>
      <c r="BJ403" t="s">
        <v>99</v>
      </c>
      <c r="BM403">
        <v>0</v>
      </c>
      <c r="BN403">
        <v>0</v>
      </c>
      <c r="BO403" t="s">
        <v>3</v>
      </c>
      <c r="BP403">
        <v>0</v>
      </c>
      <c r="BQ403">
        <v>1</v>
      </c>
      <c r="BR403">
        <v>0</v>
      </c>
      <c r="BS403">
        <v>1</v>
      </c>
      <c r="BT403">
        <v>1</v>
      </c>
      <c r="BU403">
        <v>1</v>
      </c>
      <c r="BV403">
        <v>1</v>
      </c>
      <c r="BW403">
        <v>1</v>
      </c>
      <c r="BX403">
        <v>1</v>
      </c>
      <c r="BY403" t="s">
        <v>3</v>
      </c>
      <c r="BZ403">
        <v>70</v>
      </c>
      <c r="CA403">
        <v>10</v>
      </c>
      <c r="CB403" t="s">
        <v>3</v>
      </c>
      <c r="CE403">
        <v>0</v>
      </c>
      <c r="CF403">
        <v>0</v>
      </c>
      <c r="CG403">
        <v>0</v>
      </c>
      <c r="CM403">
        <v>0</v>
      </c>
      <c r="CN403" t="s">
        <v>3</v>
      </c>
      <c r="CO403">
        <v>0</v>
      </c>
      <c r="CP403">
        <f t="shared" si="317"/>
        <v>75.33</v>
      </c>
      <c r="CQ403">
        <f>(AC403*BC403*AW403)</f>
        <v>0</v>
      </c>
      <c r="CR403">
        <f>((((ET403)*BB403-(EU403)*BS403)+AE403*BS403)*AV403)</f>
        <v>0</v>
      </c>
      <c r="CS403">
        <f>(AE403*BS403*AV403)</f>
        <v>0</v>
      </c>
      <c r="CT403">
        <f>(AF403*BA403*AV403)</f>
        <v>376.67</v>
      </c>
      <c r="CU403">
        <f t="shared" si="321"/>
        <v>0</v>
      </c>
      <c r="CV403">
        <f>(AH403*AV403)</f>
        <v>0.61</v>
      </c>
      <c r="CW403">
        <f t="shared" si="323"/>
        <v>0</v>
      </c>
      <c r="CX403">
        <f t="shared" si="324"/>
        <v>0</v>
      </c>
      <c r="CY403">
        <f>((S403*BZ403)/100)</f>
        <v>52.730999999999995</v>
      </c>
      <c r="CZ403">
        <f>((S403*CA403)/100)</f>
        <v>7.5329999999999995</v>
      </c>
      <c r="DC403" t="s">
        <v>3</v>
      </c>
      <c r="DD403" t="s">
        <v>3</v>
      </c>
      <c r="DE403" t="s">
        <v>3</v>
      </c>
      <c r="DF403" t="s">
        <v>3</v>
      </c>
      <c r="DG403" t="s">
        <v>3</v>
      </c>
      <c r="DH403" t="s">
        <v>3</v>
      </c>
      <c r="DI403" t="s">
        <v>3</v>
      </c>
      <c r="DJ403" t="s">
        <v>3</v>
      </c>
      <c r="DK403" t="s">
        <v>3</v>
      </c>
      <c r="DL403" t="s">
        <v>3</v>
      </c>
      <c r="DM403" t="s">
        <v>3</v>
      </c>
      <c r="DN403">
        <v>0</v>
      </c>
      <c r="DO403">
        <v>0</v>
      </c>
      <c r="DP403">
        <v>1</v>
      </c>
      <c r="DQ403">
        <v>1</v>
      </c>
      <c r="DU403">
        <v>16987630</v>
      </c>
      <c r="DV403" t="s">
        <v>94</v>
      </c>
      <c r="DW403" t="s">
        <v>94</v>
      </c>
      <c r="DX403">
        <v>10</v>
      </c>
      <c r="DZ403" t="s">
        <v>3</v>
      </c>
      <c r="EA403" t="s">
        <v>3</v>
      </c>
      <c r="EB403" t="s">
        <v>3</v>
      </c>
      <c r="EC403" t="s">
        <v>3</v>
      </c>
      <c r="EE403">
        <v>1441815344</v>
      </c>
      <c r="EF403">
        <v>1</v>
      </c>
      <c r="EG403" t="s">
        <v>22</v>
      </c>
      <c r="EH403">
        <v>0</v>
      </c>
      <c r="EI403" t="s">
        <v>3</v>
      </c>
      <c r="EJ403">
        <v>4</v>
      </c>
      <c r="EK403">
        <v>0</v>
      </c>
      <c r="EL403" t="s">
        <v>23</v>
      </c>
      <c r="EM403" t="s">
        <v>24</v>
      </c>
      <c r="EO403" t="s">
        <v>3</v>
      </c>
      <c r="EQ403">
        <v>0</v>
      </c>
      <c r="ER403">
        <v>376.67</v>
      </c>
      <c r="ES403">
        <v>0</v>
      </c>
      <c r="ET403">
        <v>0</v>
      </c>
      <c r="EU403">
        <v>0</v>
      </c>
      <c r="EV403">
        <v>376.67</v>
      </c>
      <c r="EW403">
        <v>0.61</v>
      </c>
      <c r="EX403">
        <v>0</v>
      </c>
      <c r="EY403">
        <v>0</v>
      </c>
      <c r="FQ403">
        <v>0</v>
      </c>
      <c r="FR403">
        <f t="shared" si="327"/>
        <v>0</v>
      </c>
      <c r="FS403">
        <v>0</v>
      </c>
      <c r="FX403">
        <v>70</v>
      </c>
      <c r="FY403">
        <v>10</v>
      </c>
      <c r="GA403" t="s">
        <v>3</v>
      </c>
      <c r="GD403">
        <v>0</v>
      </c>
      <c r="GF403">
        <v>357408898</v>
      </c>
      <c r="GG403">
        <v>2</v>
      </c>
      <c r="GH403">
        <v>1</v>
      </c>
      <c r="GI403">
        <v>-2</v>
      </c>
      <c r="GJ403">
        <v>0</v>
      </c>
      <c r="GK403">
        <f>ROUND(R403*(R12)/100,2)</f>
        <v>0</v>
      </c>
      <c r="GL403">
        <f t="shared" si="328"/>
        <v>0</v>
      </c>
      <c r="GM403">
        <f t="shared" si="329"/>
        <v>135.59</v>
      </c>
      <c r="GN403">
        <f t="shared" si="330"/>
        <v>0</v>
      </c>
      <c r="GO403">
        <f t="shared" si="331"/>
        <v>0</v>
      </c>
      <c r="GP403">
        <f t="shared" si="332"/>
        <v>135.59</v>
      </c>
      <c r="GR403">
        <v>0</v>
      </c>
      <c r="GS403">
        <v>3</v>
      </c>
      <c r="GT403">
        <v>0</v>
      </c>
      <c r="GU403" t="s">
        <v>3</v>
      </c>
      <c r="GV403">
        <f t="shared" si="333"/>
        <v>0</v>
      </c>
      <c r="GW403">
        <v>1</v>
      </c>
      <c r="GX403">
        <f t="shared" si="334"/>
        <v>0</v>
      </c>
      <c r="HA403">
        <v>0</v>
      </c>
      <c r="HB403">
        <v>0</v>
      </c>
      <c r="HC403">
        <f t="shared" si="335"/>
        <v>0</v>
      </c>
      <c r="HE403" t="s">
        <v>3</v>
      </c>
      <c r="HF403" t="s">
        <v>3</v>
      </c>
      <c r="HM403" t="s">
        <v>3</v>
      </c>
      <c r="HN403" t="s">
        <v>3</v>
      </c>
      <c r="HO403" t="s">
        <v>3</v>
      </c>
      <c r="HP403" t="s">
        <v>3</v>
      </c>
      <c r="HQ403" t="s">
        <v>3</v>
      </c>
      <c r="IK403">
        <v>0</v>
      </c>
    </row>
    <row r="404" spans="1:245" x14ac:dyDescent="0.2">
      <c r="A404">
        <v>19</v>
      </c>
      <c r="B404">
        <v>1</v>
      </c>
      <c r="F404" t="s">
        <v>3</v>
      </c>
      <c r="G404" t="s">
        <v>336</v>
      </c>
      <c r="H404" t="s">
        <v>3</v>
      </c>
      <c r="AA404">
        <v>1</v>
      </c>
      <c r="IK404">
        <v>0</v>
      </c>
    </row>
    <row r="405" spans="1:245" x14ac:dyDescent="0.2">
      <c r="A405">
        <v>17</v>
      </c>
      <c r="B405">
        <v>1</v>
      </c>
      <c r="D405">
        <f>ROW(EtalonRes!A187)</f>
        <v>187</v>
      </c>
      <c r="E405" t="s">
        <v>337</v>
      </c>
      <c r="F405" t="s">
        <v>306</v>
      </c>
      <c r="G405" t="s">
        <v>307</v>
      </c>
      <c r="H405" t="s">
        <v>94</v>
      </c>
      <c r="I405">
        <f>ROUND(4/10,9)</f>
        <v>0.4</v>
      </c>
      <c r="J405">
        <v>0</v>
      </c>
      <c r="K405">
        <f>ROUND(4/10,9)</f>
        <v>0.4</v>
      </c>
      <c r="O405">
        <f t="shared" ref="O405:O411" si="343">ROUND(CP405,2)</f>
        <v>227.24</v>
      </c>
      <c r="P405">
        <f t="shared" ref="P405:P411" si="344">ROUND(CQ405*I405,2)</f>
        <v>0</v>
      </c>
      <c r="Q405">
        <f t="shared" ref="Q405:Q411" si="345">ROUND(CR405*I405,2)</f>
        <v>0</v>
      </c>
      <c r="R405">
        <f t="shared" ref="R405:R411" si="346">ROUND(CS405*I405,2)</f>
        <v>0</v>
      </c>
      <c r="S405">
        <f t="shared" ref="S405:S411" si="347">ROUND(CT405*I405,2)</f>
        <v>227.24</v>
      </c>
      <c r="T405">
        <f t="shared" ref="T405:T411" si="348">ROUND(CU405*I405,2)</f>
        <v>0</v>
      </c>
      <c r="U405">
        <f t="shared" ref="U405:U411" si="349">CV405*I405</f>
        <v>0.36800000000000005</v>
      </c>
      <c r="V405">
        <f t="shared" ref="V405:V411" si="350">CW405*I405</f>
        <v>0</v>
      </c>
      <c r="W405">
        <f t="shared" ref="W405:W411" si="351">ROUND(CX405*I405,2)</f>
        <v>0</v>
      </c>
      <c r="X405">
        <f t="shared" ref="X405:Y411" si="352">ROUND(CY405,2)</f>
        <v>159.07</v>
      </c>
      <c r="Y405">
        <f t="shared" si="352"/>
        <v>22.72</v>
      </c>
      <c r="AA405">
        <v>1472506909</v>
      </c>
      <c r="AB405">
        <f t="shared" ref="AB405:AB411" si="353">ROUND((AC405+AD405+AF405),6)</f>
        <v>568.09</v>
      </c>
      <c r="AC405">
        <f t="shared" ref="AC405:AC410" si="354">ROUND((ES405),6)</f>
        <v>0</v>
      </c>
      <c r="AD405">
        <f>ROUND((((ET405)-(EU405))+AE405),6)</f>
        <v>0</v>
      </c>
      <c r="AE405">
        <f t="shared" ref="AE405:AF410" si="355">ROUND((EU405),6)</f>
        <v>0</v>
      </c>
      <c r="AF405">
        <f t="shared" si="355"/>
        <v>568.09</v>
      </c>
      <c r="AG405">
        <f t="shared" ref="AG405:AG411" si="356">ROUND((AP405),6)</f>
        <v>0</v>
      </c>
      <c r="AH405">
        <f t="shared" ref="AH405:AI410" si="357">(EW405)</f>
        <v>0.92</v>
      </c>
      <c r="AI405">
        <f t="shared" si="357"/>
        <v>0</v>
      </c>
      <c r="AJ405">
        <f t="shared" ref="AJ405:AJ411" si="358">(AS405)</f>
        <v>0</v>
      </c>
      <c r="AK405">
        <v>568.09</v>
      </c>
      <c r="AL405">
        <v>0</v>
      </c>
      <c r="AM405">
        <v>0</v>
      </c>
      <c r="AN405">
        <v>0</v>
      </c>
      <c r="AO405">
        <v>568.09</v>
      </c>
      <c r="AP405">
        <v>0</v>
      </c>
      <c r="AQ405">
        <v>0.92</v>
      </c>
      <c r="AR405">
        <v>0</v>
      </c>
      <c r="AS405">
        <v>0</v>
      </c>
      <c r="AT405">
        <v>70</v>
      </c>
      <c r="AU405">
        <v>10</v>
      </c>
      <c r="AV405">
        <v>1</v>
      </c>
      <c r="AW405">
        <v>1</v>
      </c>
      <c r="AZ405">
        <v>1</v>
      </c>
      <c r="BA405">
        <v>1</v>
      </c>
      <c r="BB405">
        <v>1</v>
      </c>
      <c r="BC405">
        <v>1</v>
      </c>
      <c r="BD405" t="s">
        <v>3</v>
      </c>
      <c r="BE405" t="s">
        <v>3</v>
      </c>
      <c r="BF405" t="s">
        <v>3</v>
      </c>
      <c r="BG405" t="s">
        <v>3</v>
      </c>
      <c r="BH405">
        <v>0</v>
      </c>
      <c r="BI405">
        <v>4</v>
      </c>
      <c r="BJ405" t="s">
        <v>308</v>
      </c>
      <c r="BM405">
        <v>0</v>
      </c>
      <c r="BN405">
        <v>0</v>
      </c>
      <c r="BO405" t="s">
        <v>3</v>
      </c>
      <c r="BP405">
        <v>0</v>
      </c>
      <c r="BQ405">
        <v>1</v>
      </c>
      <c r="BR405">
        <v>0</v>
      </c>
      <c r="BS405">
        <v>1</v>
      </c>
      <c r="BT405">
        <v>1</v>
      </c>
      <c r="BU405">
        <v>1</v>
      </c>
      <c r="BV405">
        <v>1</v>
      </c>
      <c r="BW405">
        <v>1</v>
      </c>
      <c r="BX405">
        <v>1</v>
      </c>
      <c r="BY405" t="s">
        <v>3</v>
      </c>
      <c r="BZ405">
        <v>70</v>
      </c>
      <c r="CA405">
        <v>10</v>
      </c>
      <c r="CB405" t="s">
        <v>3</v>
      </c>
      <c r="CE405">
        <v>0</v>
      </c>
      <c r="CF405">
        <v>0</v>
      </c>
      <c r="CG405">
        <v>0</v>
      </c>
      <c r="CM405">
        <v>0</v>
      </c>
      <c r="CN405" t="s">
        <v>3</v>
      </c>
      <c r="CO405">
        <v>0</v>
      </c>
      <c r="CP405">
        <f t="shared" ref="CP405:CP411" si="359">(P405+Q405+S405)</f>
        <v>227.24</v>
      </c>
      <c r="CQ405">
        <f>(AC405*BC405*AW405)</f>
        <v>0</v>
      </c>
      <c r="CR405">
        <f>((((ET405)*BB405-(EU405)*BS405)+AE405*BS405)*AV405)</f>
        <v>0</v>
      </c>
      <c r="CS405">
        <f>(AE405*BS405*AV405)</f>
        <v>0</v>
      </c>
      <c r="CT405">
        <f>(AF405*BA405*AV405)</f>
        <v>568.09</v>
      </c>
      <c r="CU405">
        <f t="shared" ref="CU405:CU411" si="360">AG405</f>
        <v>0</v>
      </c>
      <c r="CV405">
        <f>(AH405*AV405)</f>
        <v>0.92</v>
      </c>
      <c r="CW405">
        <f t="shared" ref="CW405:CX411" si="361">AI405</f>
        <v>0</v>
      </c>
      <c r="CX405">
        <f t="shared" si="361"/>
        <v>0</v>
      </c>
      <c r="CY405">
        <f>((S405*BZ405)/100)</f>
        <v>159.06800000000001</v>
      </c>
      <c r="CZ405">
        <f>((S405*CA405)/100)</f>
        <v>22.724</v>
      </c>
      <c r="DC405" t="s">
        <v>3</v>
      </c>
      <c r="DD405" t="s">
        <v>3</v>
      </c>
      <c r="DE405" t="s">
        <v>3</v>
      </c>
      <c r="DF405" t="s">
        <v>3</v>
      </c>
      <c r="DG405" t="s">
        <v>3</v>
      </c>
      <c r="DH405" t="s">
        <v>3</v>
      </c>
      <c r="DI405" t="s">
        <v>3</v>
      </c>
      <c r="DJ405" t="s">
        <v>3</v>
      </c>
      <c r="DK405" t="s">
        <v>3</v>
      </c>
      <c r="DL405" t="s">
        <v>3</v>
      </c>
      <c r="DM405" t="s">
        <v>3</v>
      </c>
      <c r="DN405">
        <v>0</v>
      </c>
      <c r="DO405">
        <v>0</v>
      </c>
      <c r="DP405">
        <v>1</v>
      </c>
      <c r="DQ405">
        <v>1</v>
      </c>
      <c r="DU405">
        <v>16987630</v>
      </c>
      <c r="DV405" t="s">
        <v>94</v>
      </c>
      <c r="DW405" t="s">
        <v>94</v>
      </c>
      <c r="DX405">
        <v>10</v>
      </c>
      <c r="DZ405" t="s">
        <v>3</v>
      </c>
      <c r="EA405" t="s">
        <v>3</v>
      </c>
      <c r="EB405" t="s">
        <v>3</v>
      </c>
      <c r="EC405" t="s">
        <v>3</v>
      </c>
      <c r="EE405">
        <v>1441815344</v>
      </c>
      <c r="EF405">
        <v>1</v>
      </c>
      <c r="EG405" t="s">
        <v>22</v>
      </c>
      <c r="EH405">
        <v>0</v>
      </c>
      <c r="EI405" t="s">
        <v>3</v>
      </c>
      <c r="EJ405">
        <v>4</v>
      </c>
      <c r="EK405">
        <v>0</v>
      </c>
      <c r="EL405" t="s">
        <v>23</v>
      </c>
      <c r="EM405" t="s">
        <v>24</v>
      </c>
      <c r="EO405" t="s">
        <v>3</v>
      </c>
      <c r="EQ405">
        <v>0</v>
      </c>
      <c r="ER405">
        <v>568.09</v>
      </c>
      <c r="ES405">
        <v>0</v>
      </c>
      <c r="ET405">
        <v>0</v>
      </c>
      <c r="EU405">
        <v>0</v>
      </c>
      <c r="EV405">
        <v>568.09</v>
      </c>
      <c r="EW405">
        <v>0.92</v>
      </c>
      <c r="EX405">
        <v>0</v>
      </c>
      <c r="EY405">
        <v>0</v>
      </c>
      <c r="FQ405">
        <v>0</v>
      </c>
      <c r="FR405">
        <f t="shared" ref="FR405:FR411" si="362">ROUND(IF(BI405=3,GM405,0),2)</f>
        <v>0</v>
      </c>
      <c r="FS405">
        <v>0</v>
      </c>
      <c r="FX405">
        <v>70</v>
      </c>
      <c r="FY405">
        <v>10</v>
      </c>
      <c r="GA405" t="s">
        <v>3</v>
      </c>
      <c r="GD405">
        <v>0</v>
      </c>
      <c r="GF405">
        <v>2082338734</v>
      </c>
      <c r="GG405">
        <v>2</v>
      </c>
      <c r="GH405">
        <v>1</v>
      </c>
      <c r="GI405">
        <v>-2</v>
      </c>
      <c r="GJ405">
        <v>0</v>
      </c>
      <c r="GK405">
        <f>ROUND(R405*(R12)/100,2)</f>
        <v>0</v>
      </c>
      <c r="GL405">
        <f t="shared" ref="GL405:GL411" si="363">ROUND(IF(AND(BH405=3,BI405=3,FS405&lt;&gt;0),P405,0),2)</f>
        <v>0</v>
      </c>
      <c r="GM405">
        <f t="shared" ref="GM405:GM411" si="364">ROUND(O405+X405+Y405+GK405,2)+GX405</f>
        <v>409.03</v>
      </c>
      <c r="GN405">
        <f t="shared" ref="GN405:GN411" si="365">IF(OR(BI405=0,BI405=1),GM405-GX405,0)</f>
        <v>0</v>
      </c>
      <c r="GO405">
        <f t="shared" ref="GO405:GO411" si="366">IF(BI405=2,GM405-GX405,0)</f>
        <v>0</v>
      </c>
      <c r="GP405">
        <f t="shared" ref="GP405:GP411" si="367">IF(BI405=4,GM405-GX405,0)</f>
        <v>409.03</v>
      </c>
      <c r="GR405">
        <v>0</v>
      </c>
      <c r="GS405">
        <v>3</v>
      </c>
      <c r="GT405">
        <v>0</v>
      </c>
      <c r="GU405" t="s">
        <v>3</v>
      </c>
      <c r="GV405">
        <f t="shared" ref="GV405:GV411" si="368">ROUND((GT405),6)</f>
        <v>0</v>
      </c>
      <c r="GW405">
        <v>1</v>
      </c>
      <c r="GX405">
        <f t="shared" ref="GX405:GX411" si="369">ROUND(HC405*I405,2)</f>
        <v>0</v>
      </c>
      <c r="HA405">
        <v>0</v>
      </c>
      <c r="HB405">
        <v>0</v>
      </c>
      <c r="HC405">
        <f t="shared" ref="HC405:HC411" si="370">GV405*GW405</f>
        <v>0</v>
      </c>
      <c r="HE405" t="s">
        <v>3</v>
      </c>
      <c r="HF405" t="s">
        <v>3</v>
      </c>
      <c r="HM405" t="s">
        <v>3</v>
      </c>
      <c r="HN405" t="s">
        <v>3</v>
      </c>
      <c r="HO405" t="s">
        <v>3</v>
      </c>
      <c r="HP405" t="s">
        <v>3</v>
      </c>
      <c r="HQ405" t="s">
        <v>3</v>
      </c>
      <c r="IK405">
        <v>0</v>
      </c>
    </row>
    <row r="406" spans="1:245" x14ac:dyDescent="0.2">
      <c r="A406">
        <v>17</v>
      </c>
      <c r="B406">
        <v>1</v>
      </c>
      <c r="D406">
        <f>ROW(EtalonRes!A189)</f>
        <v>189</v>
      </c>
      <c r="E406" t="s">
        <v>338</v>
      </c>
      <c r="F406" t="s">
        <v>30</v>
      </c>
      <c r="G406" t="s">
        <v>339</v>
      </c>
      <c r="H406" t="s">
        <v>20</v>
      </c>
      <c r="I406">
        <f>ROUND(2+2,9)</f>
        <v>4</v>
      </c>
      <c r="J406">
        <v>0</v>
      </c>
      <c r="K406">
        <f>ROUND(2+2,9)</f>
        <v>4</v>
      </c>
      <c r="O406">
        <f t="shared" si="343"/>
        <v>1144.72</v>
      </c>
      <c r="P406">
        <f t="shared" si="344"/>
        <v>0</v>
      </c>
      <c r="Q406">
        <f t="shared" si="345"/>
        <v>312.72000000000003</v>
      </c>
      <c r="R406">
        <f t="shared" si="346"/>
        <v>198.28</v>
      </c>
      <c r="S406">
        <f t="shared" si="347"/>
        <v>832</v>
      </c>
      <c r="T406">
        <f t="shared" si="348"/>
        <v>0</v>
      </c>
      <c r="U406">
        <f t="shared" si="349"/>
        <v>1.48</v>
      </c>
      <c r="V406">
        <f t="shared" si="350"/>
        <v>0</v>
      </c>
      <c r="W406">
        <f t="shared" si="351"/>
        <v>0</v>
      </c>
      <c r="X406">
        <f t="shared" si="352"/>
        <v>582.4</v>
      </c>
      <c r="Y406">
        <f t="shared" si="352"/>
        <v>83.2</v>
      </c>
      <c r="AA406">
        <v>1472506909</v>
      </c>
      <c r="AB406">
        <f t="shared" si="353"/>
        <v>286.18</v>
      </c>
      <c r="AC406">
        <f t="shared" si="354"/>
        <v>0</v>
      </c>
      <c r="AD406">
        <f>ROUND((((ET406)-(EU406))+AE406),6)</f>
        <v>78.180000000000007</v>
      </c>
      <c r="AE406">
        <f t="shared" si="355"/>
        <v>49.57</v>
      </c>
      <c r="AF406">
        <f t="shared" si="355"/>
        <v>208</v>
      </c>
      <c r="AG406">
        <f t="shared" si="356"/>
        <v>0</v>
      </c>
      <c r="AH406">
        <f t="shared" si="357"/>
        <v>0.37</v>
      </c>
      <c r="AI406">
        <f t="shared" si="357"/>
        <v>0</v>
      </c>
      <c r="AJ406">
        <f t="shared" si="358"/>
        <v>0</v>
      </c>
      <c r="AK406">
        <v>286.18</v>
      </c>
      <c r="AL406">
        <v>0</v>
      </c>
      <c r="AM406">
        <v>78.180000000000007</v>
      </c>
      <c r="AN406">
        <v>49.57</v>
      </c>
      <c r="AO406">
        <v>208</v>
      </c>
      <c r="AP406">
        <v>0</v>
      </c>
      <c r="AQ406">
        <v>0.37</v>
      </c>
      <c r="AR406">
        <v>0</v>
      </c>
      <c r="AS406">
        <v>0</v>
      </c>
      <c r="AT406">
        <v>70</v>
      </c>
      <c r="AU406">
        <v>10</v>
      </c>
      <c r="AV406">
        <v>1</v>
      </c>
      <c r="AW406">
        <v>1</v>
      </c>
      <c r="AZ406">
        <v>1</v>
      </c>
      <c r="BA406">
        <v>1</v>
      </c>
      <c r="BB406">
        <v>1</v>
      </c>
      <c r="BC406">
        <v>1</v>
      </c>
      <c r="BD406" t="s">
        <v>3</v>
      </c>
      <c r="BE406" t="s">
        <v>3</v>
      </c>
      <c r="BF406" t="s">
        <v>3</v>
      </c>
      <c r="BG406" t="s">
        <v>3</v>
      </c>
      <c r="BH406">
        <v>0</v>
      </c>
      <c r="BI406">
        <v>4</v>
      </c>
      <c r="BJ406" t="s">
        <v>32</v>
      </c>
      <c r="BM406">
        <v>0</v>
      </c>
      <c r="BN406">
        <v>0</v>
      </c>
      <c r="BO406" t="s">
        <v>3</v>
      </c>
      <c r="BP406">
        <v>0</v>
      </c>
      <c r="BQ406">
        <v>1</v>
      </c>
      <c r="BR406">
        <v>0</v>
      </c>
      <c r="BS406">
        <v>1</v>
      </c>
      <c r="BT406">
        <v>1</v>
      </c>
      <c r="BU406">
        <v>1</v>
      </c>
      <c r="BV406">
        <v>1</v>
      </c>
      <c r="BW406">
        <v>1</v>
      </c>
      <c r="BX406">
        <v>1</v>
      </c>
      <c r="BY406" t="s">
        <v>3</v>
      </c>
      <c r="BZ406">
        <v>70</v>
      </c>
      <c r="CA406">
        <v>10</v>
      </c>
      <c r="CB406" t="s">
        <v>3</v>
      </c>
      <c r="CE406">
        <v>0</v>
      </c>
      <c r="CF406">
        <v>0</v>
      </c>
      <c r="CG406">
        <v>0</v>
      </c>
      <c r="CM406">
        <v>0</v>
      </c>
      <c r="CN406" t="s">
        <v>3</v>
      </c>
      <c r="CO406">
        <v>0</v>
      </c>
      <c r="CP406">
        <f t="shared" si="359"/>
        <v>1144.72</v>
      </c>
      <c r="CQ406">
        <f>(AC406*BC406*AW406)</f>
        <v>0</v>
      </c>
      <c r="CR406">
        <f>((((ET406)*BB406-(EU406)*BS406)+AE406*BS406)*AV406)</f>
        <v>78.180000000000007</v>
      </c>
      <c r="CS406">
        <f>(AE406*BS406*AV406)</f>
        <v>49.57</v>
      </c>
      <c r="CT406">
        <f>(AF406*BA406*AV406)</f>
        <v>208</v>
      </c>
      <c r="CU406">
        <f t="shared" si="360"/>
        <v>0</v>
      </c>
      <c r="CV406">
        <f>(AH406*AV406)</f>
        <v>0.37</v>
      </c>
      <c r="CW406">
        <f t="shared" si="361"/>
        <v>0</v>
      </c>
      <c r="CX406">
        <f t="shared" si="361"/>
        <v>0</v>
      </c>
      <c r="CY406">
        <f>((S406*BZ406)/100)</f>
        <v>582.4</v>
      </c>
      <c r="CZ406">
        <f>((S406*CA406)/100)</f>
        <v>83.2</v>
      </c>
      <c r="DC406" t="s">
        <v>3</v>
      </c>
      <c r="DD406" t="s">
        <v>3</v>
      </c>
      <c r="DE406" t="s">
        <v>3</v>
      </c>
      <c r="DF406" t="s">
        <v>3</v>
      </c>
      <c r="DG406" t="s">
        <v>3</v>
      </c>
      <c r="DH406" t="s">
        <v>3</v>
      </c>
      <c r="DI406" t="s">
        <v>3</v>
      </c>
      <c r="DJ406" t="s">
        <v>3</v>
      </c>
      <c r="DK406" t="s">
        <v>3</v>
      </c>
      <c r="DL406" t="s">
        <v>3</v>
      </c>
      <c r="DM406" t="s">
        <v>3</v>
      </c>
      <c r="DN406">
        <v>0</v>
      </c>
      <c r="DO406">
        <v>0</v>
      </c>
      <c r="DP406">
        <v>1</v>
      </c>
      <c r="DQ406">
        <v>1</v>
      </c>
      <c r="DU406">
        <v>16987630</v>
      </c>
      <c r="DV406" t="s">
        <v>20</v>
      </c>
      <c r="DW406" t="s">
        <v>20</v>
      </c>
      <c r="DX406">
        <v>1</v>
      </c>
      <c r="DZ406" t="s">
        <v>3</v>
      </c>
      <c r="EA406" t="s">
        <v>3</v>
      </c>
      <c r="EB406" t="s">
        <v>3</v>
      </c>
      <c r="EC406" t="s">
        <v>3</v>
      </c>
      <c r="EE406">
        <v>1441815344</v>
      </c>
      <c r="EF406">
        <v>1</v>
      </c>
      <c r="EG406" t="s">
        <v>22</v>
      </c>
      <c r="EH406">
        <v>0</v>
      </c>
      <c r="EI406" t="s">
        <v>3</v>
      </c>
      <c r="EJ406">
        <v>4</v>
      </c>
      <c r="EK406">
        <v>0</v>
      </c>
      <c r="EL406" t="s">
        <v>23</v>
      </c>
      <c r="EM406" t="s">
        <v>24</v>
      </c>
      <c r="EO406" t="s">
        <v>3</v>
      </c>
      <c r="EQ406">
        <v>0</v>
      </c>
      <c r="ER406">
        <v>286.18</v>
      </c>
      <c r="ES406">
        <v>0</v>
      </c>
      <c r="ET406">
        <v>78.180000000000007</v>
      </c>
      <c r="EU406">
        <v>49.57</v>
      </c>
      <c r="EV406">
        <v>208</v>
      </c>
      <c r="EW406">
        <v>0.37</v>
      </c>
      <c r="EX406">
        <v>0</v>
      </c>
      <c r="EY406">
        <v>0</v>
      </c>
      <c r="FQ406">
        <v>0</v>
      </c>
      <c r="FR406">
        <f t="shared" si="362"/>
        <v>0</v>
      </c>
      <c r="FS406">
        <v>0</v>
      </c>
      <c r="FX406">
        <v>70</v>
      </c>
      <c r="FY406">
        <v>10</v>
      </c>
      <c r="GA406" t="s">
        <v>3</v>
      </c>
      <c r="GD406">
        <v>0</v>
      </c>
      <c r="GF406">
        <v>-1944242795</v>
      </c>
      <c r="GG406">
        <v>2</v>
      </c>
      <c r="GH406">
        <v>1</v>
      </c>
      <c r="GI406">
        <v>-2</v>
      </c>
      <c r="GJ406">
        <v>0</v>
      </c>
      <c r="GK406">
        <f>ROUND(R406*(R12)/100,2)</f>
        <v>214.14</v>
      </c>
      <c r="GL406">
        <f t="shared" si="363"/>
        <v>0</v>
      </c>
      <c r="GM406">
        <f t="shared" si="364"/>
        <v>2024.46</v>
      </c>
      <c r="GN406">
        <f t="shared" si="365"/>
        <v>0</v>
      </c>
      <c r="GO406">
        <f t="shared" si="366"/>
        <v>0</v>
      </c>
      <c r="GP406">
        <f t="shared" si="367"/>
        <v>2024.46</v>
      </c>
      <c r="GR406">
        <v>0</v>
      </c>
      <c r="GS406">
        <v>3</v>
      </c>
      <c r="GT406">
        <v>0</v>
      </c>
      <c r="GU406" t="s">
        <v>3</v>
      </c>
      <c r="GV406">
        <f t="shared" si="368"/>
        <v>0</v>
      </c>
      <c r="GW406">
        <v>1</v>
      </c>
      <c r="GX406">
        <f t="shared" si="369"/>
        <v>0</v>
      </c>
      <c r="HA406">
        <v>0</v>
      </c>
      <c r="HB406">
        <v>0</v>
      </c>
      <c r="HC406">
        <f t="shared" si="370"/>
        <v>0</v>
      </c>
      <c r="HE406" t="s">
        <v>3</v>
      </c>
      <c r="HF406" t="s">
        <v>3</v>
      </c>
      <c r="HM406" t="s">
        <v>3</v>
      </c>
      <c r="HN406" t="s">
        <v>3</v>
      </c>
      <c r="HO406" t="s">
        <v>3</v>
      </c>
      <c r="HP406" t="s">
        <v>3</v>
      </c>
      <c r="HQ406" t="s">
        <v>3</v>
      </c>
      <c r="IK406">
        <v>0</v>
      </c>
    </row>
    <row r="407" spans="1:245" x14ac:dyDescent="0.2">
      <c r="A407">
        <v>17</v>
      </c>
      <c r="B407">
        <v>1</v>
      </c>
      <c r="D407">
        <f>ROW(EtalonRes!A190)</f>
        <v>190</v>
      </c>
      <c r="E407" t="s">
        <v>340</v>
      </c>
      <c r="F407" t="s">
        <v>92</v>
      </c>
      <c r="G407" t="s">
        <v>93</v>
      </c>
      <c r="H407" t="s">
        <v>94</v>
      </c>
      <c r="I407">
        <f>ROUND((4+2)/10,9)</f>
        <v>0.6</v>
      </c>
      <c r="J407">
        <v>0</v>
      </c>
      <c r="K407">
        <f>ROUND((4+2)/10,9)</f>
        <v>0.6</v>
      </c>
      <c r="O407">
        <f t="shared" si="343"/>
        <v>166.72</v>
      </c>
      <c r="P407">
        <f t="shared" si="344"/>
        <v>0</v>
      </c>
      <c r="Q407">
        <f t="shared" si="345"/>
        <v>0</v>
      </c>
      <c r="R407">
        <f t="shared" si="346"/>
        <v>0</v>
      </c>
      <c r="S407">
        <f t="shared" si="347"/>
        <v>166.72</v>
      </c>
      <c r="T407">
        <f t="shared" si="348"/>
        <v>0</v>
      </c>
      <c r="U407">
        <f t="shared" si="349"/>
        <v>0.27</v>
      </c>
      <c r="V407">
        <f t="shared" si="350"/>
        <v>0</v>
      </c>
      <c r="W407">
        <f t="shared" si="351"/>
        <v>0</v>
      </c>
      <c r="X407">
        <f t="shared" si="352"/>
        <v>116.7</v>
      </c>
      <c r="Y407">
        <f t="shared" si="352"/>
        <v>16.670000000000002</v>
      </c>
      <c r="AA407">
        <v>1472506909</v>
      </c>
      <c r="AB407">
        <f t="shared" si="353"/>
        <v>277.87</v>
      </c>
      <c r="AC407">
        <f t="shared" si="354"/>
        <v>0</v>
      </c>
      <c r="AD407">
        <f>ROUND((((ET407)-(EU407))+AE407),6)</f>
        <v>0</v>
      </c>
      <c r="AE407">
        <f t="shared" si="355"/>
        <v>0</v>
      </c>
      <c r="AF407">
        <f t="shared" si="355"/>
        <v>277.87</v>
      </c>
      <c r="AG407">
        <f t="shared" si="356"/>
        <v>0</v>
      </c>
      <c r="AH407">
        <f t="shared" si="357"/>
        <v>0.45</v>
      </c>
      <c r="AI407">
        <f t="shared" si="357"/>
        <v>0</v>
      </c>
      <c r="AJ407">
        <f t="shared" si="358"/>
        <v>0</v>
      </c>
      <c r="AK407">
        <v>277.87</v>
      </c>
      <c r="AL407">
        <v>0</v>
      </c>
      <c r="AM407">
        <v>0</v>
      </c>
      <c r="AN407">
        <v>0</v>
      </c>
      <c r="AO407">
        <v>277.87</v>
      </c>
      <c r="AP407">
        <v>0</v>
      </c>
      <c r="AQ407">
        <v>0.45</v>
      </c>
      <c r="AR407">
        <v>0</v>
      </c>
      <c r="AS407">
        <v>0</v>
      </c>
      <c r="AT407">
        <v>70</v>
      </c>
      <c r="AU407">
        <v>10</v>
      </c>
      <c r="AV407">
        <v>1</v>
      </c>
      <c r="AW407">
        <v>1</v>
      </c>
      <c r="AZ407">
        <v>1</v>
      </c>
      <c r="BA407">
        <v>1</v>
      </c>
      <c r="BB407">
        <v>1</v>
      </c>
      <c r="BC407">
        <v>1</v>
      </c>
      <c r="BD407" t="s">
        <v>3</v>
      </c>
      <c r="BE407" t="s">
        <v>3</v>
      </c>
      <c r="BF407" t="s">
        <v>3</v>
      </c>
      <c r="BG407" t="s">
        <v>3</v>
      </c>
      <c r="BH407">
        <v>0</v>
      </c>
      <c r="BI407">
        <v>4</v>
      </c>
      <c r="BJ407" t="s">
        <v>95</v>
      </c>
      <c r="BM407">
        <v>0</v>
      </c>
      <c r="BN407">
        <v>0</v>
      </c>
      <c r="BO407" t="s">
        <v>3</v>
      </c>
      <c r="BP407">
        <v>0</v>
      </c>
      <c r="BQ407">
        <v>1</v>
      </c>
      <c r="BR407">
        <v>0</v>
      </c>
      <c r="BS407">
        <v>1</v>
      </c>
      <c r="BT407">
        <v>1</v>
      </c>
      <c r="BU407">
        <v>1</v>
      </c>
      <c r="BV407">
        <v>1</v>
      </c>
      <c r="BW407">
        <v>1</v>
      </c>
      <c r="BX407">
        <v>1</v>
      </c>
      <c r="BY407" t="s">
        <v>3</v>
      </c>
      <c r="BZ407">
        <v>70</v>
      </c>
      <c r="CA407">
        <v>10</v>
      </c>
      <c r="CB407" t="s">
        <v>3</v>
      </c>
      <c r="CE407">
        <v>0</v>
      </c>
      <c r="CF407">
        <v>0</v>
      </c>
      <c r="CG407">
        <v>0</v>
      </c>
      <c r="CM407">
        <v>0</v>
      </c>
      <c r="CN407" t="s">
        <v>3</v>
      </c>
      <c r="CO407">
        <v>0</v>
      </c>
      <c r="CP407">
        <f t="shared" si="359"/>
        <v>166.72</v>
      </c>
      <c r="CQ407">
        <f>(AC407*BC407*AW407)</f>
        <v>0</v>
      </c>
      <c r="CR407">
        <f>((((ET407)*BB407-(EU407)*BS407)+AE407*BS407)*AV407)</f>
        <v>0</v>
      </c>
      <c r="CS407">
        <f>(AE407*BS407*AV407)</f>
        <v>0</v>
      </c>
      <c r="CT407">
        <f>(AF407*BA407*AV407)</f>
        <v>277.87</v>
      </c>
      <c r="CU407">
        <f t="shared" si="360"/>
        <v>0</v>
      </c>
      <c r="CV407">
        <f>(AH407*AV407)</f>
        <v>0.45</v>
      </c>
      <c r="CW407">
        <f t="shared" si="361"/>
        <v>0</v>
      </c>
      <c r="CX407">
        <f t="shared" si="361"/>
        <v>0</v>
      </c>
      <c r="CY407">
        <f>((S407*BZ407)/100)</f>
        <v>116.70399999999999</v>
      </c>
      <c r="CZ407">
        <f>((S407*CA407)/100)</f>
        <v>16.672000000000001</v>
      </c>
      <c r="DC407" t="s">
        <v>3</v>
      </c>
      <c r="DD407" t="s">
        <v>3</v>
      </c>
      <c r="DE407" t="s">
        <v>3</v>
      </c>
      <c r="DF407" t="s">
        <v>3</v>
      </c>
      <c r="DG407" t="s">
        <v>3</v>
      </c>
      <c r="DH407" t="s">
        <v>3</v>
      </c>
      <c r="DI407" t="s">
        <v>3</v>
      </c>
      <c r="DJ407" t="s">
        <v>3</v>
      </c>
      <c r="DK407" t="s">
        <v>3</v>
      </c>
      <c r="DL407" t="s">
        <v>3</v>
      </c>
      <c r="DM407" t="s">
        <v>3</v>
      </c>
      <c r="DN407">
        <v>0</v>
      </c>
      <c r="DO407">
        <v>0</v>
      </c>
      <c r="DP407">
        <v>1</v>
      </c>
      <c r="DQ407">
        <v>1</v>
      </c>
      <c r="DU407">
        <v>16987630</v>
      </c>
      <c r="DV407" t="s">
        <v>94</v>
      </c>
      <c r="DW407" t="s">
        <v>94</v>
      </c>
      <c r="DX407">
        <v>10</v>
      </c>
      <c r="DZ407" t="s">
        <v>3</v>
      </c>
      <c r="EA407" t="s">
        <v>3</v>
      </c>
      <c r="EB407" t="s">
        <v>3</v>
      </c>
      <c r="EC407" t="s">
        <v>3</v>
      </c>
      <c r="EE407">
        <v>1441815344</v>
      </c>
      <c r="EF407">
        <v>1</v>
      </c>
      <c r="EG407" t="s">
        <v>22</v>
      </c>
      <c r="EH407">
        <v>0</v>
      </c>
      <c r="EI407" t="s">
        <v>3</v>
      </c>
      <c r="EJ407">
        <v>4</v>
      </c>
      <c r="EK407">
        <v>0</v>
      </c>
      <c r="EL407" t="s">
        <v>23</v>
      </c>
      <c r="EM407" t="s">
        <v>24</v>
      </c>
      <c r="EO407" t="s">
        <v>3</v>
      </c>
      <c r="EQ407">
        <v>0</v>
      </c>
      <c r="ER407">
        <v>277.87</v>
      </c>
      <c r="ES407">
        <v>0</v>
      </c>
      <c r="ET407">
        <v>0</v>
      </c>
      <c r="EU407">
        <v>0</v>
      </c>
      <c r="EV407">
        <v>277.87</v>
      </c>
      <c r="EW407">
        <v>0.45</v>
      </c>
      <c r="EX407">
        <v>0</v>
      </c>
      <c r="EY407">
        <v>0</v>
      </c>
      <c r="FQ407">
        <v>0</v>
      </c>
      <c r="FR407">
        <f t="shared" si="362"/>
        <v>0</v>
      </c>
      <c r="FS407">
        <v>0</v>
      </c>
      <c r="FX407">
        <v>70</v>
      </c>
      <c r="FY407">
        <v>10</v>
      </c>
      <c r="GA407" t="s">
        <v>3</v>
      </c>
      <c r="GD407">
        <v>0</v>
      </c>
      <c r="GF407">
        <v>-559430364</v>
      </c>
      <c r="GG407">
        <v>2</v>
      </c>
      <c r="GH407">
        <v>1</v>
      </c>
      <c r="GI407">
        <v>-2</v>
      </c>
      <c r="GJ407">
        <v>0</v>
      </c>
      <c r="GK407">
        <f>ROUND(R407*(R12)/100,2)</f>
        <v>0</v>
      </c>
      <c r="GL407">
        <f t="shared" si="363"/>
        <v>0</v>
      </c>
      <c r="GM407">
        <f t="shared" si="364"/>
        <v>300.08999999999997</v>
      </c>
      <c r="GN407">
        <f t="shared" si="365"/>
        <v>0</v>
      </c>
      <c r="GO407">
        <f t="shared" si="366"/>
        <v>0</v>
      </c>
      <c r="GP407">
        <f t="shared" si="367"/>
        <v>300.08999999999997</v>
      </c>
      <c r="GR407">
        <v>0</v>
      </c>
      <c r="GS407">
        <v>3</v>
      </c>
      <c r="GT407">
        <v>0</v>
      </c>
      <c r="GU407" t="s">
        <v>3</v>
      </c>
      <c r="GV407">
        <f t="shared" si="368"/>
        <v>0</v>
      </c>
      <c r="GW407">
        <v>1</v>
      </c>
      <c r="GX407">
        <f t="shared" si="369"/>
        <v>0</v>
      </c>
      <c r="HA407">
        <v>0</v>
      </c>
      <c r="HB407">
        <v>0</v>
      </c>
      <c r="HC407">
        <f t="shared" si="370"/>
        <v>0</v>
      </c>
      <c r="HE407" t="s">
        <v>3</v>
      </c>
      <c r="HF407" t="s">
        <v>3</v>
      </c>
      <c r="HM407" t="s">
        <v>3</v>
      </c>
      <c r="HN407" t="s">
        <v>3</v>
      </c>
      <c r="HO407" t="s">
        <v>3</v>
      </c>
      <c r="HP407" t="s">
        <v>3</v>
      </c>
      <c r="HQ407" t="s">
        <v>3</v>
      </c>
      <c r="IK407">
        <v>0</v>
      </c>
    </row>
    <row r="408" spans="1:245" x14ac:dyDescent="0.2">
      <c r="A408">
        <v>17</v>
      </c>
      <c r="B408">
        <v>1</v>
      </c>
      <c r="D408">
        <f>ROW(EtalonRes!A191)</f>
        <v>191</v>
      </c>
      <c r="E408" t="s">
        <v>3</v>
      </c>
      <c r="F408" t="s">
        <v>225</v>
      </c>
      <c r="G408" t="s">
        <v>226</v>
      </c>
      <c r="H408" t="s">
        <v>20</v>
      </c>
      <c r="I408">
        <v>9</v>
      </c>
      <c r="J408">
        <v>0</v>
      </c>
      <c r="K408">
        <v>9</v>
      </c>
      <c r="O408">
        <f t="shared" si="343"/>
        <v>6502.14</v>
      </c>
      <c r="P408">
        <f t="shared" si="344"/>
        <v>0</v>
      </c>
      <c r="Q408">
        <f t="shared" si="345"/>
        <v>0</v>
      </c>
      <c r="R408">
        <f t="shared" si="346"/>
        <v>0</v>
      </c>
      <c r="S408">
        <f t="shared" si="347"/>
        <v>6502.14</v>
      </c>
      <c r="T408">
        <f t="shared" si="348"/>
        <v>0</v>
      </c>
      <c r="U408">
        <f t="shared" si="349"/>
        <v>10.53</v>
      </c>
      <c r="V408">
        <f t="shared" si="350"/>
        <v>0</v>
      </c>
      <c r="W408">
        <f t="shared" si="351"/>
        <v>0</v>
      </c>
      <c r="X408">
        <f t="shared" si="352"/>
        <v>4551.5</v>
      </c>
      <c r="Y408">
        <f t="shared" si="352"/>
        <v>650.21</v>
      </c>
      <c r="AA408">
        <v>-1</v>
      </c>
      <c r="AB408">
        <f t="shared" si="353"/>
        <v>722.46</v>
      </c>
      <c r="AC408">
        <f t="shared" si="354"/>
        <v>0</v>
      </c>
      <c r="AD408">
        <f>ROUND((((ET408)-(EU408))+AE408),6)</f>
        <v>0</v>
      </c>
      <c r="AE408">
        <f t="shared" si="355"/>
        <v>0</v>
      </c>
      <c r="AF408">
        <f t="shared" si="355"/>
        <v>722.46</v>
      </c>
      <c r="AG408">
        <f t="shared" si="356"/>
        <v>0</v>
      </c>
      <c r="AH408">
        <f t="shared" si="357"/>
        <v>1.17</v>
      </c>
      <c r="AI408">
        <f t="shared" si="357"/>
        <v>0</v>
      </c>
      <c r="AJ408">
        <f t="shared" si="358"/>
        <v>0</v>
      </c>
      <c r="AK408">
        <v>722.46</v>
      </c>
      <c r="AL408">
        <v>0</v>
      </c>
      <c r="AM408">
        <v>0</v>
      </c>
      <c r="AN408">
        <v>0</v>
      </c>
      <c r="AO408">
        <v>722.46</v>
      </c>
      <c r="AP408">
        <v>0</v>
      </c>
      <c r="AQ408">
        <v>1.17</v>
      </c>
      <c r="AR408">
        <v>0</v>
      </c>
      <c r="AS408">
        <v>0</v>
      </c>
      <c r="AT408">
        <v>70</v>
      </c>
      <c r="AU408">
        <v>10</v>
      </c>
      <c r="AV408">
        <v>1</v>
      </c>
      <c r="AW408">
        <v>1</v>
      </c>
      <c r="AZ408">
        <v>1</v>
      </c>
      <c r="BA408">
        <v>1</v>
      </c>
      <c r="BB408">
        <v>1</v>
      </c>
      <c r="BC408">
        <v>1</v>
      </c>
      <c r="BD408" t="s">
        <v>3</v>
      </c>
      <c r="BE408" t="s">
        <v>3</v>
      </c>
      <c r="BF408" t="s">
        <v>3</v>
      </c>
      <c r="BG408" t="s">
        <v>3</v>
      </c>
      <c r="BH408">
        <v>0</v>
      </c>
      <c r="BI408">
        <v>4</v>
      </c>
      <c r="BJ408" t="s">
        <v>227</v>
      </c>
      <c r="BM408">
        <v>0</v>
      </c>
      <c r="BN408">
        <v>0</v>
      </c>
      <c r="BO408" t="s">
        <v>3</v>
      </c>
      <c r="BP408">
        <v>0</v>
      </c>
      <c r="BQ408">
        <v>1</v>
      </c>
      <c r="BR408">
        <v>0</v>
      </c>
      <c r="BS408">
        <v>1</v>
      </c>
      <c r="BT408">
        <v>1</v>
      </c>
      <c r="BU408">
        <v>1</v>
      </c>
      <c r="BV408">
        <v>1</v>
      </c>
      <c r="BW408">
        <v>1</v>
      </c>
      <c r="BX408">
        <v>1</v>
      </c>
      <c r="BY408" t="s">
        <v>3</v>
      </c>
      <c r="BZ408">
        <v>70</v>
      </c>
      <c r="CA408">
        <v>10</v>
      </c>
      <c r="CB408" t="s">
        <v>3</v>
      </c>
      <c r="CE408">
        <v>0</v>
      </c>
      <c r="CF408">
        <v>0</v>
      </c>
      <c r="CG408">
        <v>0</v>
      </c>
      <c r="CM408">
        <v>0</v>
      </c>
      <c r="CN408" t="s">
        <v>3</v>
      </c>
      <c r="CO408">
        <v>0</v>
      </c>
      <c r="CP408">
        <f t="shared" si="359"/>
        <v>6502.14</v>
      </c>
      <c r="CQ408">
        <f>(AC408*BC408*AW408)</f>
        <v>0</v>
      </c>
      <c r="CR408">
        <f>((((ET408)*BB408-(EU408)*BS408)+AE408*BS408)*AV408)</f>
        <v>0</v>
      </c>
      <c r="CS408">
        <f>(AE408*BS408*AV408)</f>
        <v>0</v>
      </c>
      <c r="CT408">
        <f>(AF408*BA408*AV408)</f>
        <v>722.46</v>
      </c>
      <c r="CU408">
        <f t="shared" si="360"/>
        <v>0</v>
      </c>
      <c r="CV408">
        <f>(AH408*AV408)</f>
        <v>1.17</v>
      </c>
      <c r="CW408">
        <f t="shared" si="361"/>
        <v>0</v>
      </c>
      <c r="CX408">
        <f t="shared" si="361"/>
        <v>0</v>
      </c>
      <c r="CY408">
        <f>((S408*BZ408)/100)</f>
        <v>4551.4980000000005</v>
      </c>
      <c r="CZ408">
        <f>((S408*CA408)/100)</f>
        <v>650.21400000000006</v>
      </c>
      <c r="DC408" t="s">
        <v>3</v>
      </c>
      <c r="DD408" t="s">
        <v>3</v>
      </c>
      <c r="DE408" t="s">
        <v>3</v>
      </c>
      <c r="DF408" t="s">
        <v>3</v>
      </c>
      <c r="DG408" t="s">
        <v>3</v>
      </c>
      <c r="DH408" t="s">
        <v>3</v>
      </c>
      <c r="DI408" t="s">
        <v>3</v>
      </c>
      <c r="DJ408" t="s">
        <v>3</v>
      </c>
      <c r="DK408" t="s">
        <v>3</v>
      </c>
      <c r="DL408" t="s">
        <v>3</v>
      </c>
      <c r="DM408" t="s">
        <v>3</v>
      </c>
      <c r="DN408">
        <v>0</v>
      </c>
      <c r="DO408">
        <v>0</v>
      </c>
      <c r="DP408">
        <v>1</v>
      </c>
      <c r="DQ408">
        <v>1</v>
      </c>
      <c r="DU408">
        <v>16987630</v>
      </c>
      <c r="DV408" t="s">
        <v>20</v>
      </c>
      <c r="DW408" t="s">
        <v>20</v>
      </c>
      <c r="DX408">
        <v>1</v>
      </c>
      <c r="DZ408" t="s">
        <v>3</v>
      </c>
      <c r="EA408" t="s">
        <v>3</v>
      </c>
      <c r="EB408" t="s">
        <v>3</v>
      </c>
      <c r="EC408" t="s">
        <v>3</v>
      </c>
      <c r="EE408">
        <v>1441815344</v>
      </c>
      <c r="EF408">
        <v>1</v>
      </c>
      <c r="EG408" t="s">
        <v>22</v>
      </c>
      <c r="EH408">
        <v>0</v>
      </c>
      <c r="EI408" t="s">
        <v>3</v>
      </c>
      <c r="EJ408">
        <v>4</v>
      </c>
      <c r="EK408">
        <v>0</v>
      </c>
      <c r="EL408" t="s">
        <v>23</v>
      </c>
      <c r="EM408" t="s">
        <v>24</v>
      </c>
      <c r="EO408" t="s">
        <v>3</v>
      </c>
      <c r="EQ408">
        <v>1024</v>
      </c>
      <c r="ER408">
        <v>722.46</v>
      </c>
      <c r="ES408">
        <v>0</v>
      </c>
      <c r="ET408">
        <v>0</v>
      </c>
      <c r="EU408">
        <v>0</v>
      </c>
      <c r="EV408">
        <v>722.46</v>
      </c>
      <c r="EW408">
        <v>1.17</v>
      </c>
      <c r="EX408">
        <v>0</v>
      </c>
      <c r="EY408">
        <v>0</v>
      </c>
      <c r="FQ408">
        <v>0</v>
      </c>
      <c r="FR408">
        <f t="shared" si="362"/>
        <v>0</v>
      </c>
      <c r="FS408">
        <v>0</v>
      </c>
      <c r="FX408">
        <v>70</v>
      </c>
      <c r="FY408">
        <v>10</v>
      </c>
      <c r="GA408" t="s">
        <v>3</v>
      </c>
      <c r="GD408">
        <v>0</v>
      </c>
      <c r="GF408">
        <v>1164262949</v>
      </c>
      <c r="GG408">
        <v>2</v>
      </c>
      <c r="GH408">
        <v>1</v>
      </c>
      <c r="GI408">
        <v>-2</v>
      </c>
      <c r="GJ408">
        <v>0</v>
      </c>
      <c r="GK408">
        <f>ROUND(R408*(R12)/100,2)</f>
        <v>0</v>
      </c>
      <c r="GL408">
        <f t="shared" si="363"/>
        <v>0</v>
      </c>
      <c r="GM408">
        <f t="shared" si="364"/>
        <v>11703.85</v>
      </c>
      <c r="GN408">
        <f t="shared" si="365"/>
        <v>0</v>
      </c>
      <c r="GO408">
        <f t="shared" si="366"/>
        <v>0</v>
      </c>
      <c r="GP408">
        <f t="shared" si="367"/>
        <v>11703.85</v>
      </c>
      <c r="GR408">
        <v>0</v>
      </c>
      <c r="GS408">
        <v>3</v>
      </c>
      <c r="GT408">
        <v>0</v>
      </c>
      <c r="GU408" t="s">
        <v>3</v>
      </c>
      <c r="GV408">
        <f t="shared" si="368"/>
        <v>0</v>
      </c>
      <c r="GW408">
        <v>1</v>
      </c>
      <c r="GX408">
        <f t="shared" si="369"/>
        <v>0</v>
      </c>
      <c r="HA408">
        <v>0</v>
      </c>
      <c r="HB408">
        <v>0</v>
      </c>
      <c r="HC408">
        <f t="shared" si="370"/>
        <v>0</v>
      </c>
      <c r="HE408" t="s">
        <v>3</v>
      </c>
      <c r="HF408" t="s">
        <v>3</v>
      </c>
      <c r="HM408" t="s">
        <v>3</v>
      </c>
      <c r="HN408" t="s">
        <v>3</v>
      </c>
      <c r="HO408" t="s">
        <v>3</v>
      </c>
      <c r="HP408" t="s">
        <v>3</v>
      </c>
      <c r="HQ408" t="s">
        <v>3</v>
      </c>
      <c r="IK408">
        <v>0</v>
      </c>
    </row>
    <row r="409" spans="1:245" x14ac:dyDescent="0.2">
      <c r="A409">
        <v>17</v>
      </c>
      <c r="B409">
        <v>1</v>
      </c>
      <c r="E409" t="s">
        <v>3</v>
      </c>
      <c r="F409" t="s">
        <v>187</v>
      </c>
      <c r="G409" t="s">
        <v>228</v>
      </c>
      <c r="H409" t="s">
        <v>189</v>
      </c>
      <c r="I409">
        <v>9</v>
      </c>
      <c r="J409">
        <v>0</v>
      </c>
      <c r="K409">
        <v>9</v>
      </c>
      <c r="O409">
        <f t="shared" si="343"/>
        <v>1620</v>
      </c>
      <c r="P409">
        <f t="shared" si="344"/>
        <v>1620</v>
      </c>
      <c r="Q409">
        <f t="shared" si="345"/>
        <v>0</v>
      </c>
      <c r="R409">
        <f t="shared" si="346"/>
        <v>0</v>
      </c>
      <c r="S409">
        <f t="shared" si="347"/>
        <v>0</v>
      </c>
      <c r="T409">
        <f t="shared" si="348"/>
        <v>0</v>
      </c>
      <c r="U409">
        <f t="shared" si="349"/>
        <v>0</v>
      </c>
      <c r="V409">
        <f t="shared" si="350"/>
        <v>0</v>
      </c>
      <c r="W409">
        <f t="shared" si="351"/>
        <v>0</v>
      </c>
      <c r="X409">
        <f t="shared" si="352"/>
        <v>0</v>
      </c>
      <c r="Y409">
        <f t="shared" si="352"/>
        <v>0</v>
      </c>
      <c r="AA409">
        <v>-1</v>
      </c>
      <c r="AB409">
        <f t="shared" si="353"/>
        <v>180</v>
      </c>
      <c r="AC409">
        <f t="shared" si="354"/>
        <v>180</v>
      </c>
      <c r="AD409">
        <f>ROUND((ET409),6)</f>
        <v>0</v>
      </c>
      <c r="AE409">
        <f t="shared" si="355"/>
        <v>0</v>
      </c>
      <c r="AF409">
        <f t="shared" si="355"/>
        <v>0</v>
      </c>
      <c r="AG409">
        <f t="shared" si="356"/>
        <v>0</v>
      </c>
      <c r="AH409">
        <f t="shared" si="357"/>
        <v>0</v>
      </c>
      <c r="AI409">
        <f t="shared" si="357"/>
        <v>0</v>
      </c>
      <c r="AJ409">
        <f t="shared" si="358"/>
        <v>0</v>
      </c>
      <c r="AK409">
        <v>180</v>
      </c>
      <c r="AL409">
        <v>180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1</v>
      </c>
      <c r="AW409">
        <v>1</v>
      </c>
      <c r="AZ409">
        <v>1</v>
      </c>
      <c r="BA409">
        <v>1</v>
      </c>
      <c r="BB409">
        <v>1</v>
      </c>
      <c r="BC409">
        <v>1</v>
      </c>
      <c r="BD409" t="s">
        <v>3</v>
      </c>
      <c r="BE409" t="s">
        <v>3</v>
      </c>
      <c r="BF409" t="s">
        <v>3</v>
      </c>
      <c r="BG409" t="s">
        <v>3</v>
      </c>
      <c r="BH409">
        <v>3</v>
      </c>
      <c r="BI409">
        <v>0</v>
      </c>
      <c r="BJ409" t="s">
        <v>3</v>
      </c>
      <c r="BM409">
        <v>356</v>
      </c>
      <c r="BN409">
        <v>0</v>
      </c>
      <c r="BO409" t="s">
        <v>3</v>
      </c>
      <c r="BP409">
        <v>0</v>
      </c>
      <c r="BQ409">
        <v>0</v>
      </c>
      <c r="BR409">
        <v>0</v>
      </c>
      <c r="BS409">
        <v>1</v>
      </c>
      <c r="BT409">
        <v>1</v>
      </c>
      <c r="BU409">
        <v>1</v>
      </c>
      <c r="BV409">
        <v>1</v>
      </c>
      <c r="BW409">
        <v>1</v>
      </c>
      <c r="BX409">
        <v>1</v>
      </c>
      <c r="BY409" t="s">
        <v>3</v>
      </c>
      <c r="BZ409">
        <v>0</v>
      </c>
      <c r="CA409">
        <v>0</v>
      </c>
      <c r="CB409" t="s">
        <v>3</v>
      </c>
      <c r="CE409">
        <v>0</v>
      </c>
      <c r="CF409">
        <v>0</v>
      </c>
      <c r="CG409">
        <v>0</v>
      </c>
      <c r="CM409">
        <v>0</v>
      </c>
      <c r="CN409" t="s">
        <v>3</v>
      </c>
      <c r="CO409">
        <v>0</v>
      </c>
      <c r="CP409">
        <f t="shared" si="359"/>
        <v>1620</v>
      </c>
      <c r="CQ409">
        <f>AC409*BC409</f>
        <v>180</v>
      </c>
      <c r="CR409">
        <f>AD409*BB409</f>
        <v>0</v>
      </c>
      <c r="CS409">
        <f>AE409*BS409</f>
        <v>0</v>
      </c>
      <c r="CT409">
        <f>AF409*BA409</f>
        <v>0</v>
      </c>
      <c r="CU409">
        <f t="shared" si="360"/>
        <v>0</v>
      </c>
      <c r="CV409">
        <f>AH409</f>
        <v>0</v>
      </c>
      <c r="CW409">
        <f t="shared" si="361"/>
        <v>0</v>
      </c>
      <c r="CX409">
        <f t="shared" si="361"/>
        <v>0</v>
      </c>
      <c r="CY409">
        <f>0</f>
        <v>0</v>
      </c>
      <c r="CZ409">
        <f>0</f>
        <v>0</v>
      </c>
      <c r="DC409" t="s">
        <v>3</v>
      </c>
      <c r="DD409" t="s">
        <v>3</v>
      </c>
      <c r="DE409" t="s">
        <v>3</v>
      </c>
      <c r="DF409" t="s">
        <v>3</v>
      </c>
      <c r="DG409" t="s">
        <v>3</v>
      </c>
      <c r="DH409" t="s">
        <v>3</v>
      </c>
      <c r="DI409" t="s">
        <v>3</v>
      </c>
      <c r="DJ409" t="s">
        <v>3</v>
      </c>
      <c r="DK409" t="s">
        <v>3</v>
      </c>
      <c r="DL409" t="s">
        <v>3</v>
      </c>
      <c r="DM409" t="s">
        <v>3</v>
      </c>
      <c r="DN409">
        <v>0</v>
      </c>
      <c r="DO409">
        <v>0</v>
      </c>
      <c r="DP409">
        <v>1</v>
      </c>
      <c r="DQ409">
        <v>1</v>
      </c>
      <c r="DU409">
        <v>1013</v>
      </c>
      <c r="DV409" t="s">
        <v>189</v>
      </c>
      <c r="DW409" t="s">
        <v>189</v>
      </c>
      <c r="DX409">
        <v>7.0999999999999994E-2</v>
      </c>
      <c r="DZ409" t="s">
        <v>3</v>
      </c>
      <c r="EA409" t="s">
        <v>3</v>
      </c>
      <c r="EB409" t="s">
        <v>3</v>
      </c>
      <c r="EC409" t="s">
        <v>3</v>
      </c>
      <c r="EE409">
        <v>0</v>
      </c>
      <c r="EF409">
        <v>0</v>
      </c>
      <c r="EG409" t="s">
        <v>3</v>
      </c>
      <c r="EH409">
        <v>0</v>
      </c>
      <c r="EI409" t="s">
        <v>3</v>
      </c>
      <c r="EJ409">
        <v>0</v>
      </c>
      <c r="EK409">
        <v>356</v>
      </c>
      <c r="EL409" t="s">
        <v>3</v>
      </c>
      <c r="EM409" t="s">
        <v>3</v>
      </c>
      <c r="EO409" t="s">
        <v>3</v>
      </c>
      <c r="EQ409">
        <v>1024</v>
      </c>
      <c r="ER409">
        <v>180</v>
      </c>
      <c r="ES409">
        <v>180</v>
      </c>
      <c r="ET409">
        <v>0</v>
      </c>
      <c r="EU409">
        <v>0</v>
      </c>
      <c r="EV409">
        <v>0</v>
      </c>
      <c r="EW409">
        <v>0</v>
      </c>
      <c r="EX409">
        <v>0</v>
      </c>
      <c r="EY409">
        <v>0</v>
      </c>
      <c r="FQ409">
        <v>1620</v>
      </c>
      <c r="FR409">
        <f t="shared" si="362"/>
        <v>0</v>
      </c>
      <c r="FS409">
        <v>1</v>
      </c>
      <c r="FX409">
        <v>0</v>
      </c>
      <c r="FY409">
        <v>0</v>
      </c>
      <c r="GA409" t="s">
        <v>3</v>
      </c>
      <c r="GD409">
        <v>0</v>
      </c>
      <c r="GF409">
        <v>-54322067</v>
      </c>
      <c r="GG409">
        <v>2</v>
      </c>
      <c r="GH409">
        <v>0</v>
      </c>
      <c r="GI409">
        <v>-2</v>
      </c>
      <c r="GJ409">
        <v>0</v>
      </c>
      <c r="GK409">
        <f>ROUND(R409*(R12)/100,2)</f>
        <v>0</v>
      </c>
      <c r="GL409">
        <f t="shared" si="363"/>
        <v>0</v>
      </c>
      <c r="GM409">
        <f t="shared" si="364"/>
        <v>1620</v>
      </c>
      <c r="GN409">
        <f t="shared" si="365"/>
        <v>1620</v>
      </c>
      <c r="GO409">
        <f t="shared" si="366"/>
        <v>0</v>
      </c>
      <c r="GP409">
        <f t="shared" si="367"/>
        <v>0</v>
      </c>
      <c r="GR409">
        <v>0</v>
      </c>
      <c r="GS409">
        <v>0</v>
      </c>
      <c r="GT409">
        <v>0</v>
      </c>
      <c r="GU409" t="s">
        <v>3</v>
      </c>
      <c r="GV409">
        <f t="shared" si="368"/>
        <v>0</v>
      </c>
      <c r="GW409">
        <v>1</v>
      </c>
      <c r="GX409">
        <f t="shared" si="369"/>
        <v>0</v>
      </c>
      <c r="HA409">
        <v>0</v>
      </c>
      <c r="HB409">
        <v>0</v>
      </c>
      <c r="HC409">
        <f t="shared" si="370"/>
        <v>0</v>
      </c>
      <c r="HE409" t="s">
        <v>3</v>
      </c>
      <c r="HF409" t="s">
        <v>3</v>
      </c>
      <c r="HM409" t="s">
        <v>3</v>
      </c>
      <c r="HN409" t="s">
        <v>3</v>
      </c>
      <c r="HO409" t="s">
        <v>3</v>
      </c>
      <c r="HP409" t="s">
        <v>3</v>
      </c>
      <c r="HQ409" t="s">
        <v>3</v>
      </c>
      <c r="IK409">
        <v>0</v>
      </c>
    </row>
    <row r="410" spans="1:245" x14ac:dyDescent="0.2">
      <c r="A410">
        <v>17</v>
      </c>
      <c r="B410">
        <v>1</v>
      </c>
      <c r="D410">
        <f>ROW(EtalonRes!A193)</f>
        <v>193</v>
      </c>
      <c r="E410" t="s">
        <v>3</v>
      </c>
      <c r="F410" t="s">
        <v>331</v>
      </c>
      <c r="G410" t="s">
        <v>332</v>
      </c>
      <c r="H410" t="s">
        <v>94</v>
      </c>
      <c r="I410">
        <f>ROUND(9/10,9)</f>
        <v>0.9</v>
      </c>
      <c r="J410">
        <v>0</v>
      </c>
      <c r="K410">
        <f>ROUND(9/10,9)</f>
        <v>0.9</v>
      </c>
      <c r="O410">
        <f t="shared" si="343"/>
        <v>500.45</v>
      </c>
      <c r="P410">
        <f t="shared" si="344"/>
        <v>0.28000000000000003</v>
      </c>
      <c r="Q410">
        <f t="shared" si="345"/>
        <v>0</v>
      </c>
      <c r="R410">
        <f t="shared" si="346"/>
        <v>0</v>
      </c>
      <c r="S410">
        <f t="shared" si="347"/>
        <v>500.17</v>
      </c>
      <c r="T410">
        <f t="shared" si="348"/>
        <v>0</v>
      </c>
      <c r="U410">
        <f t="shared" si="349"/>
        <v>0.81</v>
      </c>
      <c r="V410">
        <f t="shared" si="350"/>
        <v>0</v>
      </c>
      <c r="W410">
        <f t="shared" si="351"/>
        <v>0</v>
      </c>
      <c r="X410">
        <f t="shared" si="352"/>
        <v>350.12</v>
      </c>
      <c r="Y410">
        <f t="shared" si="352"/>
        <v>50.02</v>
      </c>
      <c r="AA410">
        <v>-1</v>
      </c>
      <c r="AB410">
        <f t="shared" si="353"/>
        <v>556.04999999999995</v>
      </c>
      <c r="AC410">
        <f t="shared" si="354"/>
        <v>0.31</v>
      </c>
      <c r="AD410">
        <f>ROUND((((ET410)-(EU410))+AE410),6)</f>
        <v>0</v>
      </c>
      <c r="AE410">
        <f t="shared" si="355"/>
        <v>0</v>
      </c>
      <c r="AF410">
        <f t="shared" si="355"/>
        <v>555.74</v>
      </c>
      <c r="AG410">
        <f t="shared" si="356"/>
        <v>0</v>
      </c>
      <c r="AH410">
        <f t="shared" si="357"/>
        <v>0.9</v>
      </c>
      <c r="AI410">
        <f t="shared" si="357"/>
        <v>0</v>
      </c>
      <c r="AJ410">
        <f t="shared" si="358"/>
        <v>0</v>
      </c>
      <c r="AK410">
        <v>556.04999999999995</v>
      </c>
      <c r="AL410">
        <v>0.31</v>
      </c>
      <c r="AM410">
        <v>0</v>
      </c>
      <c r="AN410">
        <v>0</v>
      </c>
      <c r="AO410">
        <v>555.74</v>
      </c>
      <c r="AP410">
        <v>0</v>
      </c>
      <c r="AQ410">
        <v>0.9</v>
      </c>
      <c r="AR410">
        <v>0</v>
      </c>
      <c r="AS410">
        <v>0</v>
      </c>
      <c r="AT410">
        <v>70</v>
      </c>
      <c r="AU410">
        <v>10</v>
      </c>
      <c r="AV410">
        <v>1</v>
      </c>
      <c r="AW410">
        <v>1</v>
      </c>
      <c r="AZ410">
        <v>1</v>
      </c>
      <c r="BA410">
        <v>1</v>
      </c>
      <c r="BB410">
        <v>1</v>
      </c>
      <c r="BC410">
        <v>1</v>
      </c>
      <c r="BD410" t="s">
        <v>3</v>
      </c>
      <c r="BE410" t="s">
        <v>3</v>
      </c>
      <c r="BF410" t="s">
        <v>3</v>
      </c>
      <c r="BG410" t="s">
        <v>3</v>
      </c>
      <c r="BH410">
        <v>0</v>
      </c>
      <c r="BI410">
        <v>4</v>
      </c>
      <c r="BJ410" t="s">
        <v>333</v>
      </c>
      <c r="BM410">
        <v>0</v>
      </c>
      <c r="BN410">
        <v>0</v>
      </c>
      <c r="BO410" t="s">
        <v>3</v>
      </c>
      <c r="BP410">
        <v>0</v>
      </c>
      <c r="BQ410">
        <v>1</v>
      </c>
      <c r="BR410">
        <v>0</v>
      </c>
      <c r="BS410">
        <v>1</v>
      </c>
      <c r="BT410">
        <v>1</v>
      </c>
      <c r="BU410">
        <v>1</v>
      </c>
      <c r="BV410">
        <v>1</v>
      </c>
      <c r="BW410">
        <v>1</v>
      </c>
      <c r="BX410">
        <v>1</v>
      </c>
      <c r="BY410" t="s">
        <v>3</v>
      </c>
      <c r="BZ410">
        <v>70</v>
      </c>
      <c r="CA410">
        <v>10</v>
      </c>
      <c r="CB410" t="s">
        <v>3</v>
      </c>
      <c r="CE410">
        <v>0</v>
      </c>
      <c r="CF410">
        <v>0</v>
      </c>
      <c r="CG410">
        <v>0</v>
      </c>
      <c r="CM410">
        <v>0</v>
      </c>
      <c r="CN410" t="s">
        <v>3</v>
      </c>
      <c r="CO410">
        <v>0</v>
      </c>
      <c r="CP410">
        <f t="shared" si="359"/>
        <v>500.45</v>
      </c>
      <c r="CQ410">
        <f>(AC410*BC410*AW410)</f>
        <v>0.31</v>
      </c>
      <c r="CR410">
        <f>((((ET410)*BB410-(EU410)*BS410)+AE410*BS410)*AV410)</f>
        <v>0</v>
      </c>
      <c r="CS410">
        <f>(AE410*BS410*AV410)</f>
        <v>0</v>
      </c>
      <c r="CT410">
        <f>(AF410*BA410*AV410)</f>
        <v>555.74</v>
      </c>
      <c r="CU410">
        <f t="shared" si="360"/>
        <v>0</v>
      </c>
      <c r="CV410">
        <f>(AH410*AV410)</f>
        <v>0.9</v>
      </c>
      <c r="CW410">
        <f t="shared" si="361"/>
        <v>0</v>
      </c>
      <c r="CX410">
        <f t="shared" si="361"/>
        <v>0</v>
      </c>
      <c r="CY410">
        <f>((S410*BZ410)/100)</f>
        <v>350.11900000000003</v>
      </c>
      <c r="CZ410">
        <f>((S410*CA410)/100)</f>
        <v>50.016999999999996</v>
      </c>
      <c r="DC410" t="s">
        <v>3</v>
      </c>
      <c r="DD410" t="s">
        <v>3</v>
      </c>
      <c r="DE410" t="s">
        <v>3</v>
      </c>
      <c r="DF410" t="s">
        <v>3</v>
      </c>
      <c r="DG410" t="s">
        <v>3</v>
      </c>
      <c r="DH410" t="s">
        <v>3</v>
      </c>
      <c r="DI410" t="s">
        <v>3</v>
      </c>
      <c r="DJ410" t="s">
        <v>3</v>
      </c>
      <c r="DK410" t="s">
        <v>3</v>
      </c>
      <c r="DL410" t="s">
        <v>3</v>
      </c>
      <c r="DM410" t="s">
        <v>3</v>
      </c>
      <c r="DN410">
        <v>0</v>
      </c>
      <c r="DO410">
        <v>0</v>
      </c>
      <c r="DP410">
        <v>1</v>
      </c>
      <c r="DQ410">
        <v>1</v>
      </c>
      <c r="DU410">
        <v>16987630</v>
      </c>
      <c r="DV410" t="s">
        <v>94</v>
      </c>
      <c r="DW410" t="s">
        <v>94</v>
      </c>
      <c r="DX410">
        <v>10</v>
      </c>
      <c r="DZ410" t="s">
        <v>3</v>
      </c>
      <c r="EA410" t="s">
        <v>3</v>
      </c>
      <c r="EB410" t="s">
        <v>3</v>
      </c>
      <c r="EC410" t="s">
        <v>3</v>
      </c>
      <c r="EE410">
        <v>1441815344</v>
      </c>
      <c r="EF410">
        <v>1</v>
      </c>
      <c r="EG410" t="s">
        <v>22</v>
      </c>
      <c r="EH410">
        <v>0</v>
      </c>
      <c r="EI410" t="s">
        <v>3</v>
      </c>
      <c r="EJ410">
        <v>4</v>
      </c>
      <c r="EK410">
        <v>0</v>
      </c>
      <c r="EL410" t="s">
        <v>23</v>
      </c>
      <c r="EM410" t="s">
        <v>24</v>
      </c>
      <c r="EO410" t="s">
        <v>3</v>
      </c>
      <c r="EQ410">
        <v>1024</v>
      </c>
      <c r="ER410">
        <v>556.04999999999995</v>
      </c>
      <c r="ES410">
        <v>0.31</v>
      </c>
      <c r="ET410">
        <v>0</v>
      </c>
      <c r="EU410">
        <v>0</v>
      </c>
      <c r="EV410">
        <v>555.74</v>
      </c>
      <c r="EW410">
        <v>0.9</v>
      </c>
      <c r="EX410">
        <v>0</v>
      </c>
      <c r="EY410">
        <v>0</v>
      </c>
      <c r="FQ410">
        <v>0</v>
      </c>
      <c r="FR410">
        <f t="shared" si="362"/>
        <v>0</v>
      </c>
      <c r="FS410">
        <v>0</v>
      </c>
      <c r="FX410">
        <v>70</v>
      </c>
      <c r="FY410">
        <v>10</v>
      </c>
      <c r="GA410" t="s">
        <v>3</v>
      </c>
      <c r="GD410">
        <v>0</v>
      </c>
      <c r="GF410">
        <v>505455875</v>
      </c>
      <c r="GG410">
        <v>2</v>
      </c>
      <c r="GH410">
        <v>1</v>
      </c>
      <c r="GI410">
        <v>-2</v>
      </c>
      <c r="GJ410">
        <v>0</v>
      </c>
      <c r="GK410">
        <f>ROUND(R410*(R12)/100,2)</f>
        <v>0</v>
      </c>
      <c r="GL410">
        <f t="shared" si="363"/>
        <v>0</v>
      </c>
      <c r="GM410">
        <f t="shared" si="364"/>
        <v>900.59</v>
      </c>
      <c r="GN410">
        <f t="shared" si="365"/>
        <v>0</v>
      </c>
      <c r="GO410">
        <f t="shared" si="366"/>
        <v>0</v>
      </c>
      <c r="GP410">
        <f t="shared" si="367"/>
        <v>900.59</v>
      </c>
      <c r="GR410">
        <v>0</v>
      </c>
      <c r="GS410">
        <v>3</v>
      </c>
      <c r="GT410">
        <v>0</v>
      </c>
      <c r="GU410" t="s">
        <v>3</v>
      </c>
      <c r="GV410">
        <f t="shared" si="368"/>
        <v>0</v>
      </c>
      <c r="GW410">
        <v>1</v>
      </c>
      <c r="GX410">
        <f t="shared" si="369"/>
        <v>0</v>
      </c>
      <c r="HA410">
        <v>0</v>
      </c>
      <c r="HB410">
        <v>0</v>
      </c>
      <c r="HC410">
        <f t="shared" si="370"/>
        <v>0</v>
      </c>
      <c r="HE410" t="s">
        <v>3</v>
      </c>
      <c r="HF410" t="s">
        <v>3</v>
      </c>
      <c r="HM410" t="s">
        <v>3</v>
      </c>
      <c r="HN410" t="s">
        <v>3</v>
      </c>
      <c r="HO410" t="s">
        <v>3</v>
      </c>
      <c r="HP410" t="s">
        <v>3</v>
      </c>
      <c r="HQ410" t="s">
        <v>3</v>
      </c>
      <c r="IK410">
        <v>0</v>
      </c>
    </row>
    <row r="411" spans="1:245" x14ac:dyDescent="0.2">
      <c r="A411">
        <v>17</v>
      </c>
      <c r="B411">
        <v>1</v>
      </c>
      <c r="D411">
        <f>ROW(EtalonRes!A196)</f>
        <v>196</v>
      </c>
      <c r="E411" t="s">
        <v>341</v>
      </c>
      <c r="F411" t="s">
        <v>328</v>
      </c>
      <c r="G411" t="s">
        <v>329</v>
      </c>
      <c r="H411" t="s">
        <v>20</v>
      </c>
      <c r="I411">
        <v>4</v>
      </c>
      <c r="J411">
        <v>0</v>
      </c>
      <c r="K411">
        <v>4</v>
      </c>
      <c r="O411">
        <f t="shared" si="343"/>
        <v>1913.04</v>
      </c>
      <c r="P411">
        <f t="shared" si="344"/>
        <v>153.12</v>
      </c>
      <c r="Q411">
        <f t="shared" si="345"/>
        <v>0</v>
      </c>
      <c r="R411">
        <f t="shared" si="346"/>
        <v>0</v>
      </c>
      <c r="S411">
        <f t="shared" si="347"/>
        <v>1759.92</v>
      </c>
      <c r="T411">
        <f t="shared" si="348"/>
        <v>0</v>
      </c>
      <c r="U411">
        <f t="shared" si="349"/>
        <v>2.48</v>
      </c>
      <c r="V411">
        <f t="shared" si="350"/>
        <v>0</v>
      </c>
      <c r="W411">
        <f t="shared" si="351"/>
        <v>0</v>
      </c>
      <c r="X411">
        <f t="shared" si="352"/>
        <v>1231.94</v>
      </c>
      <c r="Y411">
        <f t="shared" si="352"/>
        <v>175.99</v>
      </c>
      <c r="AA411">
        <v>1472506909</v>
      </c>
      <c r="AB411">
        <f t="shared" si="353"/>
        <v>478.26</v>
      </c>
      <c r="AC411">
        <f>ROUND(((ES411*2)),6)</f>
        <v>38.28</v>
      </c>
      <c r="AD411">
        <f>ROUND((((ET411)-(EU411))+AE411),6)</f>
        <v>0</v>
      </c>
      <c r="AE411">
        <f>ROUND((EU411),6)</f>
        <v>0</v>
      </c>
      <c r="AF411">
        <f>ROUND(((EV411*2)),6)</f>
        <v>439.98</v>
      </c>
      <c r="AG411">
        <f t="shared" si="356"/>
        <v>0</v>
      </c>
      <c r="AH411">
        <f>((EW411*2))</f>
        <v>0.62</v>
      </c>
      <c r="AI411">
        <f>(EX411)</f>
        <v>0</v>
      </c>
      <c r="AJ411">
        <f t="shared" si="358"/>
        <v>0</v>
      </c>
      <c r="AK411">
        <v>239.13</v>
      </c>
      <c r="AL411">
        <v>19.14</v>
      </c>
      <c r="AM411">
        <v>0</v>
      </c>
      <c r="AN411">
        <v>0</v>
      </c>
      <c r="AO411">
        <v>219.99</v>
      </c>
      <c r="AP411">
        <v>0</v>
      </c>
      <c r="AQ411">
        <v>0.31</v>
      </c>
      <c r="AR411">
        <v>0</v>
      </c>
      <c r="AS411">
        <v>0</v>
      </c>
      <c r="AT411">
        <v>70</v>
      </c>
      <c r="AU411">
        <v>10</v>
      </c>
      <c r="AV411">
        <v>1</v>
      </c>
      <c r="AW411">
        <v>1</v>
      </c>
      <c r="AZ411">
        <v>1</v>
      </c>
      <c r="BA411">
        <v>1</v>
      </c>
      <c r="BB411">
        <v>1</v>
      </c>
      <c r="BC411">
        <v>1</v>
      </c>
      <c r="BD411" t="s">
        <v>3</v>
      </c>
      <c r="BE411" t="s">
        <v>3</v>
      </c>
      <c r="BF411" t="s">
        <v>3</v>
      </c>
      <c r="BG411" t="s">
        <v>3</v>
      </c>
      <c r="BH411">
        <v>0</v>
      </c>
      <c r="BI411">
        <v>4</v>
      </c>
      <c r="BJ411" t="s">
        <v>330</v>
      </c>
      <c r="BM411">
        <v>0</v>
      </c>
      <c r="BN411">
        <v>0</v>
      </c>
      <c r="BO411" t="s">
        <v>3</v>
      </c>
      <c r="BP411">
        <v>0</v>
      </c>
      <c r="BQ411">
        <v>1</v>
      </c>
      <c r="BR411">
        <v>0</v>
      </c>
      <c r="BS411">
        <v>1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70</v>
      </c>
      <c r="CA411">
        <v>10</v>
      </c>
      <c r="CB411" t="s">
        <v>3</v>
      </c>
      <c r="CE411">
        <v>0</v>
      </c>
      <c r="CF411">
        <v>0</v>
      </c>
      <c r="CG411">
        <v>0</v>
      </c>
      <c r="CM411">
        <v>0</v>
      </c>
      <c r="CN411" t="s">
        <v>3</v>
      </c>
      <c r="CO411">
        <v>0</v>
      </c>
      <c r="CP411">
        <f t="shared" si="359"/>
        <v>1913.04</v>
      </c>
      <c r="CQ411">
        <f>(AC411*BC411*AW411)</f>
        <v>38.28</v>
      </c>
      <c r="CR411">
        <f>((((ET411)*BB411-(EU411)*BS411)+AE411*BS411)*AV411)</f>
        <v>0</v>
      </c>
      <c r="CS411">
        <f>(AE411*BS411*AV411)</f>
        <v>0</v>
      </c>
      <c r="CT411">
        <f>(AF411*BA411*AV411)</f>
        <v>439.98</v>
      </c>
      <c r="CU411">
        <f t="shared" si="360"/>
        <v>0</v>
      </c>
      <c r="CV411">
        <f>(AH411*AV411)</f>
        <v>0.62</v>
      </c>
      <c r="CW411">
        <f t="shared" si="361"/>
        <v>0</v>
      </c>
      <c r="CX411">
        <f t="shared" si="361"/>
        <v>0</v>
      </c>
      <c r="CY411">
        <f>((S411*BZ411)/100)</f>
        <v>1231.9440000000002</v>
      </c>
      <c r="CZ411">
        <f>((S411*CA411)/100)</f>
        <v>175.99200000000002</v>
      </c>
      <c r="DC411" t="s">
        <v>3</v>
      </c>
      <c r="DD411" t="s">
        <v>28</v>
      </c>
      <c r="DE411" t="s">
        <v>3</v>
      </c>
      <c r="DF411" t="s">
        <v>3</v>
      </c>
      <c r="DG411" t="s">
        <v>28</v>
      </c>
      <c r="DH411" t="s">
        <v>3</v>
      </c>
      <c r="DI411" t="s">
        <v>28</v>
      </c>
      <c r="DJ411" t="s">
        <v>3</v>
      </c>
      <c r="DK411" t="s">
        <v>3</v>
      </c>
      <c r="DL411" t="s">
        <v>3</v>
      </c>
      <c r="DM411" t="s">
        <v>3</v>
      </c>
      <c r="DN411">
        <v>0</v>
      </c>
      <c r="DO411">
        <v>0</v>
      </c>
      <c r="DP411">
        <v>1</v>
      </c>
      <c r="DQ411">
        <v>1</v>
      </c>
      <c r="DU411">
        <v>16987630</v>
      </c>
      <c r="DV411" t="s">
        <v>20</v>
      </c>
      <c r="DW411" t="s">
        <v>20</v>
      </c>
      <c r="DX411">
        <v>1</v>
      </c>
      <c r="DZ411" t="s">
        <v>3</v>
      </c>
      <c r="EA411" t="s">
        <v>3</v>
      </c>
      <c r="EB411" t="s">
        <v>3</v>
      </c>
      <c r="EC411" t="s">
        <v>3</v>
      </c>
      <c r="EE411">
        <v>1441815344</v>
      </c>
      <c r="EF411">
        <v>1</v>
      </c>
      <c r="EG411" t="s">
        <v>22</v>
      </c>
      <c r="EH411">
        <v>0</v>
      </c>
      <c r="EI411" t="s">
        <v>3</v>
      </c>
      <c r="EJ411">
        <v>4</v>
      </c>
      <c r="EK411">
        <v>0</v>
      </c>
      <c r="EL411" t="s">
        <v>23</v>
      </c>
      <c r="EM411" t="s">
        <v>24</v>
      </c>
      <c r="EO411" t="s">
        <v>3</v>
      </c>
      <c r="EQ411">
        <v>0</v>
      </c>
      <c r="ER411">
        <v>239.13</v>
      </c>
      <c r="ES411">
        <v>19.14</v>
      </c>
      <c r="ET411">
        <v>0</v>
      </c>
      <c r="EU411">
        <v>0</v>
      </c>
      <c r="EV411">
        <v>219.99</v>
      </c>
      <c r="EW411">
        <v>0.31</v>
      </c>
      <c r="EX411">
        <v>0</v>
      </c>
      <c r="EY411">
        <v>0</v>
      </c>
      <c r="FQ411">
        <v>0</v>
      </c>
      <c r="FR411">
        <f t="shared" si="362"/>
        <v>0</v>
      </c>
      <c r="FS411">
        <v>0</v>
      </c>
      <c r="FX411">
        <v>70</v>
      </c>
      <c r="FY411">
        <v>10</v>
      </c>
      <c r="GA411" t="s">
        <v>3</v>
      </c>
      <c r="GD411">
        <v>0</v>
      </c>
      <c r="GF411">
        <v>-1042054303</v>
      </c>
      <c r="GG411">
        <v>2</v>
      </c>
      <c r="GH411">
        <v>1</v>
      </c>
      <c r="GI411">
        <v>-2</v>
      </c>
      <c r="GJ411">
        <v>0</v>
      </c>
      <c r="GK411">
        <f>ROUND(R411*(R12)/100,2)</f>
        <v>0</v>
      </c>
      <c r="GL411">
        <f t="shared" si="363"/>
        <v>0</v>
      </c>
      <c r="GM411">
        <f t="shared" si="364"/>
        <v>3320.97</v>
      </c>
      <c r="GN411">
        <f t="shared" si="365"/>
        <v>0</v>
      </c>
      <c r="GO411">
        <f t="shared" si="366"/>
        <v>0</v>
      </c>
      <c r="GP411">
        <f t="shared" si="367"/>
        <v>3320.97</v>
      </c>
      <c r="GR411">
        <v>0</v>
      </c>
      <c r="GS411">
        <v>3</v>
      </c>
      <c r="GT411">
        <v>0</v>
      </c>
      <c r="GU411" t="s">
        <v>3</v>
      </c>
      <c r="GV411">
        <f t="shared" si="368"/>
        <v>0</v>
      </c>
      <c r="GW411">
        <v>1</v>
      </c>
      <c r="GX411">
        <f t="shared" si="369"/>
        <v>0</v>
      </c>
      <c r="HA411">
        <v>0</v>
      </c>
      <c r="HB411">
        <v>0</v>
      </c>
      <c r="HC411">
        <f t="shared" si="370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2" spans="1:245" x14ac:dyDescent="0.2">
      <c r="A412">
        <v>19</v>
      </c>
      <c r="B412">
        <v>1</v>
      </c>
      <c r="F412" t="s">
        <v>3</v>
      </c>
      <c r="G412" t="s">
        <v>342</v>
      </c>
      <c r="H412" t="s">
        <v>3</v>
      </c>
      <c r="AA412">
        <v>1</v>
      </c>
      <c r="IK412">
        <v>0</v>
      </c>
    </row>
    <row r="413" spans="1:245" x14ac:dyDescent="0.2">
      <c r="A413">
        <v>17</v>
      </c>
      <c r="B413">
        <v>1</v>
      </c>
      <c r="D413">
        <f>ROW(EtalonRes!A197)</f>
        <v>197</v>
      </c>
      <c r="E413" t="s">
        <v>343</v>
      </c>
      <c r="F413" t="s">
        <v>324</v>
      </c>
      <c r="G413" t="s">
        <v>344</v>
      </c>
      <c r="H413" t="s">
        <v>20</v>
      </c>
      <c r="I413">
        <v>1</v>
      </c>
      <c r="J413">
        <v>0</v>
      </c>
      <c r="K413">
        <v>1</v>
      </c>
      <c r="O413">
        <f t="shared" ref="O413:O426" si="371">ROUND(CP413,2)</f>
        <v>1631.48</v>
      </c>
      <c r="P413">
        <f t="shared" ref="P413:P426" si="372">ROUND(CQ413*I413,2)</f>
        <v>0</v>
      </c>
      <c r="Q413">
        <f t="shared" ref="Q413:Q426" si="373">ROUND(CR413*I413,2)</f>
        <v>0</v>
      </c>
      <c r="R413">
        <f t="shared" ref="R413:R426" si="374">ROUND(CS413*I413,2)</f>
        <v>0</v>
      </c>
      <c r="S413">
        <f t="shared" ref="S413:S426" si="375">ROUND(CT413*I413,2)</f>
        <v>1631.48</v>
      </c>
      <c r="T413">
        <f t="shared" ref="T413:T426" si="376">ROUND(CU413*I413,2)</f>
        <v>0</v>
      </c>
      <c r="U413">
        <f t="shared" ref="U413:U426" si="377">CV413*I413</f>
        <v>2.12</v>
      </c>
      <c r="V413">
        <f t="shared" ref="V413:V426" si="378">CW413*I413</f>
        <v>0</v>
      </c>
      <c r="W413">
        <f t="shared" ref="W413:W426" si="379">ROUND(CX413*I413,2)</f>
        <v>0</v>
      </c>
      <c r="X413">
        <f t="shared" ref="X413:X426" si="380">ROUND(CY413,2)</f>
        <v>1142.04</v>
      </c>
      <c r="Y413">
        <f t="shared" ref="Y413:Y426" si="381">ROUND(CZ413,2)</f>
        <v>163.15</v>
      </c>
      <c r="AA413">
        <v>1472506909</v>
      </c>
      <c r="AB413">
        <f t="shared" ref="AB413:AB426" si="382">ROUND((AC413+AD413+AF413),6)</f>
        <v>1631.48</v>
      </c>
      <c r="AC413">
        <f>ROUND((ES413),6)</f>
        <v>0</v>
      </c>
      <c r="AD413">
        <f>ROUND(((((ET413*2))-((EU413*2)))+AE413),6)</f>
        <v>0</v>
      </c>
      <c r="AE413">
        <f>ROUND(((EU413*2)),6)</f>
        <v>0</v>
      </c>
      <c r="AF413">
        <f>ROUND(((EV413*2)),6)</f>
        <v>1631.48</v>
      </c>
      <c r="AG413">
        <f t="shared" ref="AG413:AG426" si="383">ROUND((AP413),6)</f>
        <v>0</v>
      </c>
      <c r="AH413">
        <f>((EW413*2))</f>
        <v>2.12</v>
      </c>
      <c r="AI413">
        <f>((EX413*2))</f>
        <v>0</v>
      </c>
      <c r="AJ413">
        <f t="shared" ref="AJ413:AJ426" si="384">(AS413)</f>
        <v>0</v>
      </c>
      <c r="AK413">
        <v>815.74</v>
      </c>
      <c r="AL413">
        <v>0</v>
      </c>
      <c r="AM413">
        <v>0</v>
      </c>
      <c r="AN413">
        <v>0</v>
      </c>
      <c r="AO413">
        <v>815.74</v>
      </c>
      <c r="AP413">
        <v>0</v>
      </c>
      <c r="AQ413">
        <v>1.06</v>
      </c>
      <c r="AR413">
        <v>0</v>
      </c>
      <c r="AS413">
        <v>0</v>
      </c>
      <c r="AT413">
        <v>70</v>
      </c>
      <c r="AU413">
        <v>10</v>
      </c>
      <c r="AV413">
        <v>1</v>
      </c>
      <c r="AW413">
        <v>1</v>
      </c>
      <c r="AZ413">
        <v>1</v>
      </c>
      <c r="BA413">
        <v>1</v>
      </c>
      <c r="BB413">
        <v>1</v>
      </c>
      <c r="BC413">
        <v>1</v>
      </c>
      <c r="BD413" t="s">
        <v>3</v>
      </c>
      <c r="BE413" t="s">
        <v>3</v>
      </c>
      <c r="BF413" t="s">
        <v>3</v>
      </c>
      <c r="BG413" t="s">
        <v>3</v>
      </c>
      <c r="BH413">
        <v>0</v>
      </c>
      <c r="BI413">
        <v>4</v>
      </c>
      <c r="BJ413" t="s">
        <v>326</v>
      </c>
      <c r="BM413">
        <v>0</v>
      </c>
      <c r="BN413">
        <v>0</v>
      </c>
      <c r="BO413" t="s">
        <v>3</v>
      </c>
      <c r="BP413">
        <v>0</v>
      </c>
      <c r="BQ413">
        <v>1</v>
      </c>
      <c r="BR413">
        <v>0</v>
      </c>
      <c r="BS413">
        <v>1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70</v>
      </c>
      <c r="CA413">
        <v>10</v>
      </c>
      <c r="CB413" t="s">
        <v>3</v>
      </c>
      <c r="CE413">
        <v>0</v>
      </c>
      <c r="CF413">
        <v>0</v>
      </c>
      <c r="CG413">
        <v>0</v>
      </c>
      <c r="CM413">
        <v>0</v>
      </c>
      <c r="CN413" t="s">
        <v>3</v>
      </c>
      <c r="CO413">
        <v>0</v>
      </c>
      <c r="CP413">
        <f t="shared" ref="CP413:CP426" si="385">(P413+Q413+S413)</f>
        <v>1631.48</v>
      </c>
      <c r="CQ413">
        <f t="shared" ref="CQ413:CQ421" si="386">(AC413*BC413*AW413)</f>
        <v>0</v>
      </c>
      <c r="CR413">
        <f>(((((ET413*2))*BB413-((EU413*2))*BS413)+AE413*BS413)*AV413)</f>
        <v>0</v>
      </c>
      <c r="CS413">
        <f t="shared" ref="CS413:CS421" si="387">(AE413*BS413*AV413)</f>
        <v>0</v>
      </c>
      <c r="CT413">
        <f t="shared" ref="CT413:CT421" si="388">(AF413*BA413*AV413)</f>
        <v>1631.48</v>
      </c>
      <c r="CU413">
        <f t="shared" ref="CU413:CU426" si="389">AG413</f>
        <v>0</v>
      </c>
      <c r="CV413">
        <f t="shared" ref="CV413:CV421" si="390">(AH413*AV413)</f>
        <v>2.12</v>
      </c>
      <c r="CW413">
        <f t="shared" ref="CW413:CW426" si="391">AI413</f>
        <v>0</v>
      </c>
      <c r="CX413">
        <f t="shared" ref="CX413:CX426" si="392">AJ413</f>
        <v>0</v>
      </c>
      <c r="CY413">
        <f t="shared" ref="CY413:CY421" si="393">((S413*BZ413)/100)</f>
        <v>1142.0360000000001</v>
      </c>
      <c r="CZ413">
        <f t="shared" ref="CZ413:CZ421" si="394">((S413*CA413)/100)</f>
        <v>163.148</v>
      </c>
      <c r="DC413" t="s">
        <v>3</v>
      </c>
      <c r="DD413" t="s">
        <v>3</v>
      </c>
      <c r="DE413" t="s">
        <v>28</v>
      </c>
      <c r="DF413" t="s">
        <v>28</v>
      </c>
      <c r="DG413" t="s">
        <v>28</v>
      </c>
      <c r="DH413" t="s">
        <v>3</v>
      </c>
      <c r="DI413" t="s">
        <v>28</v>
      </c>
      <c r="DJ413" t="s">
        <v>28</v>
      </c>
      <c r="DK413" t="s">
        <v>3</v>
      </c>
      <c r="DL413" t="s">
        <v>3</v>
      </c>
      <c r="DM413" t="s">
        <v>3</v>
      </c>
      <c r="DN413">
        <v>0</v>
      </c>
      <c r="DO413">
        <v>0</v>
      </c>
      <c r="DP413">
        <v>1</v>
      </c>
      <c r="DQ413">
        <v>1</v>
      </c>
      <c r="DU413">
        <v>16987630</v>
      </c>
      <c r="DV413" t="s">
        <v>20</v>
      </c>
      <c r="DW413" t="s">
        <v>20</v>
      </c>
      <c r="DX413">
        <v>1</v>
      </c>
      <c r="DZ413" t="s">
        <v>3</v>
      </c>
      <c r="EA413" t="s">
        <v>3</v>
      </c>
      <c r="EB413" t="s">
        <v>3</v>
      </c>
      <c r="EC413" t="s">
        <v>3</v>
      </c>
      <c r="EE413">
        <v>1441815344</v>
      </c>
      <c r="EF413">
        <v>1</v>
      </c>
      <c r="EG413" t="s">
        <v>22</v>
      </c>
      <c r="EH413">
        <v>0</v>
      </c>
      <c r="EI413" t="s">
        <v>3</v>
      </c>
      <c r="EJ413">
        <v>4</v>
      </c>
      <c r="EK413">
        <v>0</v>
      </c>
      <c r="EL413" t="s">
        <v>23</v>
      </c>
      <c r="EM413" t="s">
        <v>24</v>
      </c>
      <c r="EO413" t="s">
        <v>3</v>
      </c>
      <c r="EQ413">
        <v>0</v>
      </c>
      <c r="ER413">
        <v>815.74</v>
      </c>
      <c r="ES413">
        <v>0</v>
      </c>
      <c r="ET413">
        <v>0</v>
      </c>
      <c r="EU413">
        <v>0</v>
      </c>
      <c r="EV413">
        <v>815.74</v>
      </c>
      <c r="EW413">
        <v>1.06</v>
      </c>
      <c r="EX413">
        <v>0</v>
      </c>
      <c r="EY413">
        <v>0</v>
      </c>
      <c r="FQ413">
        <v>0</v>
      </c>
      <c r="FR413">
        <f t="shared" ref="FR413:FR426" si="395">ROUND(IF(BI413=3,GM413,0),2)</f>
        <v>0</v>
      </c>
      <c r="FS413">
        <v>0</v>
      </c>
      <c r="FX413">
        <v>70</v>
      </c>
      <c r="FY413">
        <v>10</v>
      </c>
      <c r="GA413" t="s">
        <v>3</v>
      </c>
      <c r="GD413">
        <v>0</v>
      </c>
      <c r="GF413">
        <v>-1590466121</v>
      </c>
      <c r="GG413">
        <v>2</v>
      </c>
      <c r="GH413">
        <v>1</v>
      </c>
      <c r="GI413">
        <v>-2</v>
      </c>
      <c r="GJ413">
        <v>0</v>
      </c>
      <c r="GK413">
        <f>ROUND(R413*(R12)/100,2)</f>
        <v>0</v>
      </c>
      <c r="GL413">
        <f t="shared" ref="GL413:GL426" si="396">ROUND(IF(AND(BH413=3,BI413=3,FS413&lt;&gt;0),P413,0),2)</f>
        <v>0</v>
      </c>
      <c r="GM413">
        <f t="shared" ref="GM413:GM426" si="397">ROUND(O413+X413+Y413+GK413,2)+GX413</f>
        <v>2936.67</v>
      </c>
      <c r="GN413">
        <f t="shared" ref="GN413:GN426" si="398">IF(OR(BI413=0,BI413=1),GM413-GX413,0)</f>
        <v>0</v>
      </c>
      <c r="GO413">
        <f t="shared" ref="GO413:GO426" si="399">IF(BI413=2,GM413-GX413,0)</f>
        <v>0</v>
      </c>
      <c r="GP413">
        <f t="shared" ref="GP413:GP426" si="400">IF(BI413=4,GM413-GX413,0)</f>
        <v>2936.67</v>
      </c>
      <c r="GR413">
        <v>0</v>
      </c>
      <c r="GS413">
        <v>3</v>
      </c>
      <c r="GT413">
        <v>0</v>
      </c>
      <c r="GU413" t="s">
        <v>3</v>
      </c>
      <c r="GV413">
        <f t="shared" ref="GV413:GV426" si="401">ROUND((GT413),6)</f>
        <v>0</v>
      </c>
      <c r="GW413">
        <v>1</v>
      </c>
      <c r="GX413">
        <f t="shared" ref="GX413:GX426" si="402">ROUND(HC413*I413,2)</f>
        <v>0</v>
      </c>
      <c r="HA413">
        <v>0</v>
      </c>
      <c r="HB413">
        <v>0</v>
      </c>
      <c r="HC413">
        <f t="shared" ref="HC413:HC426" si="403">GV413*GW413</f>
        <v>0</v>
      </c>
      <c r="HE413" t="s">
        <v>3</v>
      </c>
      <c r="HF413" t="s">
        <v>3</v>
      </c>
      <c r="HM413" t="s">
        <v>3</v>
      </c>
      <c r="HN413" t="s">
        <v>3</v>
      </c>
      <c r="HO413" t="s">
        <v>3</v>
      </c>
      <c r="HP413" t="s">
        <v>3</v>
      </c>
      <c r="HQ413" t="s">
        <v>3</v>
      </c>
      <c r="IK413">
        <v>0</v>
      </c>
    </row>
    <row r="414" spans="1:245" x14ac:dyDescent="0.2">
      <c r="A414">
        <v>17</v>
      </c>
      <c r="B414">
        <v>1</v>
      </c>
      <c r="D414">
        <f>ROW(EtalonRes!A198)</f>
        <v>198</v>
      </c>
      <c r="E414" t="s">
        <v>345</v>
      </c>
      <c r="F414" t="s">
        <v>346</v>
      </c>
      <c r="G414" t="s">
        <v>347</v>
      </c>
      <c r="H414" t="s">
        <v>20</v>
      </c>
      <c r="I414">
        <v>2</v>
      </c>
      <c r="J414">
        <v>0</v>
      </c>
      <c r="K414">
        <v>2</v>
      </c>
      <c r="O414">
        <f t="shared" si="371"/>
        <v>3285.04</v>
      </c>
      <c r="P414">
        <f t="shared" si="372"/>
        <v>0</v>
      </c>
      <c r="Q414">
        <f t="shared" si="373"/>
        <v>0</v>
      </c>
      <c r="R414">
        <f t="shared" si="374"/>
        <v>0</v>
      </c>
      <c r="S414">
        <f t="shared" si="375"/>
        <v>3285.04</v>
      </c>
      <c r="T414">
        <f t="shared" si="376"/>
        <v>0</v>
      </c>
      <c r="U414">
        <f t="shared" si="377"/>
        <v>5.32</v>
      </c>
      <c r="V414">
        <f t="shared" si="378"/>
        <v>0</v>
      </c>
      <c r="W414">
        <f t="shared" si="379"/>
        <v>0</v>
      </c>
      <c r="X414">
        <f t="shared" si="380"/>
        <v>2299.5300000000002</v>
      </c>
      <c r="Y414">
        <f t="shared" si="381"/>
        <v>328.5</v>
      </c>
      <c r="AA414">
        <v>1472506909</v>
      </c>
      <c r="AB414">
        <f t="shared" si="382"/>
        <v>1642.52</v>
      </c>
      <c r="AC414">
        <f>ROUND((ES414),6)</f>
        <v>0</v>
      </c>
      <c r="AD414">
        <f>ROUND(((((ET414*2))-((EU414*2)))+AE414),6)</f>
        <v>0</v>
      </c>
      <c r="AE414">
        <f>ROUND(((EU414*2)),6)</f>
        <v>0</v>
      </c>
      <c r="AF414">
        <f>ROUND(((EV414*2)),6)</f>
        <v>1642.52</v>
      </c>
      <c r="AG414">
        <f t="shared" si="383"/>
        <v>0</v>
      </c>
      <c r="AH414">
        <f>((EW414*2))</f>
        <v>2.66</v>
      </c>
      <c r="AI414">
        <f>((EX414*2))</f>
        <v>0</v>
      </c>
      <c r="AJ414">
        <f t="shared" si="384"/>
        <v>0</v>
      </c>
      <c r="AK414">
        <v>821.26</v>
      </c>
      <c r="AL414">
        <v>0</v>
      </c>
      <c r="AM414">
        <v>0</v>
      </c>
      <c r="AN414">
        <v>0</v>
      </c>
      <c r="AO414">
        <v>821.26</v>
      </c>
      <c r="AP414">
        <v>0</v>
      </c>
      <c r="AQ414">
        <v>1.33</v>
      </c>
      <c r="AR414">
        <v>0</v>
      </c>
      <c r="AS414">
        <v>0</v>
      </c>
      <c r="AT414">
        <v>70</v>
      </c>
      <c r="AU414">
        <v>10</v>
      </c>
      <c r="AV414">
        <v>1</v>
      </c>
      <c r="AW414">
        <v>1</v>
      </c>
      <c r="AZ414">
        <v>1</v>
      </c>
      <c r="BA414">
        <v>1</v>
      </c>
      <c r="BB414">
        <v>1</v>
      </c>
      <c r="BC414">
        <v>1</v>
      </c>
      <c r="BD414" t="s">
        <v>3</v>
      </c>
      <c r="BE414" t="s">
        <v>3</v>
      </c>
      <c r="BF414" t="s">
        <v>3</v>
      </c>
      <c r="BG414" t="s">
        <v>3</v>
      </c>
      <c r="BH414">
        <v>0</v>
      </c>
      <c r="BI414">
        <v>4</v>
      </c>
      <c r="BJ414" t="s">
        <v>348</v>
      </c>
      <c r="BM414">
        <v>0</v>
      </c>
      <c r="BN414">
        <v>0</v>
      </c>
      <c r="BO414" t="s">
        <v>3</v>
      </c>
      <c r="BP414">
        <v>0</v>
      </c>
      <c r="BQ414">
        <v>1</v>
      </c>
      <c r="BR414">
        <v>0</v>
      </c>
      <c r="BS414">
        <v>1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70</v>
      </c>
      <c r="CA414">
        <v>10</v>
      </c>
      <c r="CB414" t="s">
        <v>3</v>
      </c>
      <c r="CE414">
        <v>0</v>
      </c>
      <c r="CF414">
        <v>0</v>
      </c>
      <c r="CG414">
        <v>0</v>
      </c>
      <c r="CM414">
        <v>0</v>
      </c>
      <c r="CN414" t="s">
        <v>3</v>
      </c>
      <c r="CO414">
        <v>0</v>
      </c>
      <c r="CP414">
        <f t="shared" si="385"/>
        <v>3285.04</v>
      </c>
      <c r="CQ414">
        <f t="shared" si="386"/>
        <v>0</v>
      </c>
      <c r="CR414">
        <f>(((((ET414*2))*BB414-((EU414*2))*BS414)+AE414*BS414)*AV414)</f>
        <v>0</v>
      </c>
      <c r="CS414">
        <f t="shared" si="387"/>
        <v>0</v>
      </c>
      <c r="CT414">
        <f t="shared" si="388"/>
        <v>1642.52</v>
      </c>
      <c r="CU414">
        <f t="shared" si="389"/>
        <v>0</v>
      </c>
      <c r="CV414">
        <f t="shared" si="390"/>
        <v>2.66</v>
      </c>
      <c r="CW414">
        <f t="shared" si="391"/>
        <v>0</v>
      </c>
      <c r="CX414">
        <f t="shared" si="392"/>
        <v>0</v>
      </c>
      <c r="CY414">
        <f t="shared" si="393"/>
        <v>2299.5279999999998</v>
      </c>
      <c r="CZ414">
        <f t="shared" si="394"/>
        <v>328.50400000000002</v>
      </c>
      <c r="DC414" t="s">
        <v>3</v>
      </c>
      <c r="DD414" t="s">
        <v>3</v>
      </c>
      <c r="DE414" t="s">
        <v>28</v>
      </c>
      <c r="DF414" t="s">
        <v>28</v>
      </c>
      <c r="DG414" t="s">
        <v>28</v>
      </c>
      <c r="DH414" t="s">
        <v>3</v>
      </c>
      <c r="DI414" t="s">
        <v>28</v>
      </c>
      <c r="DJ414" t="s">
        <v>28</v>
      </c>
      <c r="DK414" t="s">
        <v>3</v>
      </c>
      <c r="DL414" t="s">
        <v>3</v>
      </c>
      <c r="DM414" t="s">
        <v>3</v>
      </c>
      <c r="DN414">
        <v>0</v>
      </c>
      <c r="DO414">
        <v>0</v>
      </c>
      <c r="DP414">
        <v>1</v>
      </c>
      <c r="DQ414">
        <v>1</v>
      </c>
      <c r="DU414">
        <v>16987630</v>
      </c>
      <c r="DV414" t="s">
        <v>20</v>
      </c>
      <c r="DW414" t="s">
        <v>20</v>
      </c>
      <c r="DX414">
        <v>1</v>
      </c>
      <c r="DZ414" t="s">
        <v>3</v>
      </c>
      <c r="EA414" t="s">
        <v>3</v>
      </c>
      <c r="EB414" t="s">
        <v>3</v>
      </c>
      <c r="EC414" t="s">
        <v>3</v>
      </c>
      <c r="EE414">
        <v>1441815344</v>
      </c>
      <c r="EF414">
        <v>1</v>
      </c>
      <c r="EG414" t="s">
        <v>22</v>
      </c>
      <c r="EH414">
        <v>0</v>
      </c>
      <c r="EI414" t="s">
        <v>3</v>
      </c>
      <c r="EJ414">
        <v>4</v>
      </c>
      <c r="EK414">
        <v>0</v>
      </c>
      <c r="EL414" t="s">
        <v>23</v>
      </c>
      <c r="EM414" t="s">
        <v>24</v>
      </c>
      <c r="EO414" t="s">
        <v>3</v>
      </c>
      <c r="EQ414">
        <v>0</v>
      </c>
      <c r="ER414">
        <v>821.26</v>
      </c>
      <c r="ES414">
        <v>0</v>
      </c>
      <c r="ET414">
        <v>0</v>
      </c>
      <c r="EU414">
        <v>0</v>
      </c>
      <c r="EV414">
        <v>821.26</v>
      </c>
      <c r="EW414">
        <v>1.33</v>
      </c>
      <c r="EX414">
        <v>0</v>
      </c>
      <c r="EY414">
        <v>0</v>
      </c>
      <c r="FQ414">
        <v>0</v>
      </c>
      <c r="FR414">
        <f t="shared" si="395"/>
        <v>0</v>
      </c>
      <c r="FS414">
        <v>0</v>
      </c>
      <c r="FX414">
        <v>70</v>
      </c>
      <c r="FY414">
        <v>10</v>
      </c>
      <c r="GA414" t="s">
        <v>3</v>
      </c>
      <c r="GD414">
        <v>0</v>
      </c>
      <c r="GF414">
        <v>1565350841</v>
      </c>
      <c r="GG414">
        <v>2</v>
      </c>
      <c r="GH414">
        <v>1</v>
      </c>
      <c r="GI414">
        <v>-2</v>
      </c>
      <c r="GJ414">
        <v>0</v>
      </c>
      <c r="GK414">
        <f>ROUND(R414*(R12)/100,2)</f>
        <v>0</v>
      </c>
      <c r="GL414">
        <f t="shared" si="396"/>
        <v>0</v>
      </c>
      <c r="GM414">
        <f t="shared" si="397"/>
        <v>5913.07</v>
      </c>
      <c r="GN414">
        <f t="shared" si="398"/>
        <v>0</v>
      </c>
      <c r="GO414">
        <f t="shared" si="399"/>
        <v>0</v>
      </c>
      <c r="GP414">
        <f t="shared" si="400"/>
        <v>5913.07</v>
      </c>
      <c r="GR414">
        <v>0</v>
      </c>
      <c r="GS414">
        <v>3</v>
      </c>
      <c r="GT414">
        <v>0</v>
      </c>
      <c r="GU414" t="s">
        <v>3</v>
      </c>
      <c r="GV414">
        <f t="shared" si="401"/>
        <v>0</v>
      </c>
      <c r="GW414">
        <v>1</v>
      </c>
      <c r="GX414">
        <f t="shared" si="402"/>
        <v>0</v>
      </c>
      <c r="HA414">
        <v>0</v>
      </c>
      <c r="HB414">
        <v>0</v>
      </c>
      <c r="HC414">
        <f t="shared" si="403"/>
        <v>0</v>
      </c>
      <c r="HE414" t="s">
        <v>3</v>
      </c>
      <c r="HF414" t="s">
        <v>3</v>
      </c>
      <c r="HM414" t="s">
        <v>3</v>
      </c>
      <c r="HN414" t="s">
        <v>3</v>
      </c>
      <c r="HO414" t="s">
        <v>3</v>
      </c>
      <c r="HP414" t="s">
        <v>3</v>
      </c>
      <c r="HQ414" t="s">
        <v>3</v>
      </c>
      <c r="IK414">
        <v>0</v>
      </c>
    </row>
    <row r="415" spans="1:245" x14ac:dyDescent="0.2">
      <c r="A415">
        <v>17</v>
      </c>
      <c r="B415">
        <v>1</v>
      </c>
      <c r="D415">
        <f>ROW(EtalonRes!A199)</f>
        <v>199</v>
      </c>
      <c r="E415" t="s">
        <v>349</v>
      </c>
      <c r="F415" t="s">
        <v>306</v>
      </c>
      <c r="G415" t="s">
        <v>307</v>
      </c>
      <c r="H415" t="s">
        <v>94</v>
      </c>
      <c r="I415">
        <f>ROUND((4+2)/10,9)</f>
        <v>0.6</v>
      </c>
      <c r="J415">
        <v>0</v>
      </c>
      <c r="K415">
        <f>ROUND((4+2)/10,9)</f>
        <v>0.6</v>
      </c>
      <c r="O415">
        <f t="shared" si="371"/>
        <v>340.85</v>
      </c>
      <c r="P415">
        <f t="shared" si="372"/>
        <v>0</v>
      </c>
      <c r="Q415">
        <f t="shared" si="373"/>
        <v>0</v>
      </c>
      <c r="R415">
        <f t="shared" si="374"/>
        <v>0</v>
      </c>
      <c r="S415">
        <f t="shared" si="375"/>
        <v>340.85</v>
      </c>
      <c r="T415">
        <f t="shared" si="376"/>
        <v>0</v>
      </c>
      <c r="U415">
        <f t="shared" si="377"/>
        <v>0.55200000000000005</v>
      </c>
      <c r="V415">
        <f t="shared" si="378"/>
        <v>0</v>
      </c>
      <c r="W415">
        <f t="shared" si="379"/>
        <v>0</v>
      </c>
      <c r="X415">
        <f t="shared" si="380"/>
        <v>238.6</v>
      </c>
      <c r="Y415">
        <f t="shared" si="381"/>
        <v>34.090000000000003</v>
      </c>
      <c r="AA415">
        <v>1472506909</v>
      </c>
      <c r="AB415">
        <f t="shared" si="382"/>
        <v>568.09</v>
      </c>
      <c r="AC415">
        <f>ROUND((ES415),6)</f>
        <v>0</v>
      </c>
      <c r="AD415">
        <f t="shared" ref="AD415:AD421" si="404">ROUND((((ET415)-(EU415))+AE415),6)</f>
        <v>0</v>
      </c>
      <c r="AE415">
        <f>ROUND((EU415),6)</f>
        <v>0</v>
      </c>
      <c r="AF415">
        <f>ROUND((EV415),6)</f>
        <v>568.09</v>
      </c>
      <c r="AG415">
        <f t="shared" si="383"/>
        <v>0</v>
      </c>
      <c r="AH415">
        <f>(EW415)</f>
        <v>0.92</v>
      </c>
      <c r="AI415">
        <f>(EX415)</f>
        <v>0</v>
      </c>
      <c r="AJ415">
        <f t="shared" si="384"/>
        <v>0</v>
      </c>
      <c r="AK415">
        <v>568.09</v>
      </c>
      <c r="AL415">
        <v>0</v>
      </c>
      <c r="AM415">
        <v>0</v>
      </c>
      <c r="AN415">
        <v>0</v>
      </c>
      <c r="AO415">
        <v>568.09</v>
      </c>
      <c r="AP415">
        <v>0</v>
      </c>
      <c r="AQ415">
        <v>0.92</v>
      </c>
      <c r="AR415">
        <v>0</v>
      </c>
      <c r="AS415">
        <v>0</v>
      </c>
      <c r="AT415">
        <v>70</v>
      </c>
      <c r="AU415">
        <v>10</v>
      </c>
      <c r="AV415">
        <v>1</v>
      </c>
      <c r="AW415">
        <v>1</v>
      </c>
      <c r="AZ415">
        <v>1</v>
      </c>
      <c r="BA415">
        <v>1</v>
      </c>
      <c r="BB415">
        <v>1</v>
      </c>
      <c r="BC415">
        <v>1</v>
      </c>
      <c r="BD415" t="s">
        <v>3</v>
      </c>
      <c r="BE415" t="s">
        <v>3</v>
      </c>
      <c r="BF415" t="s">
        <v>3</v>
      </c>
      <c r="BG415" t="s">
        <v>3</v>
      </c>
      <c r="BH415">
        <v>0</v>
      </c>
      <c r="BI415">
        <v>4</v>
      </c>
      <c r="BJ415" t="s">
        <v>308</v>
      </c>
      <c r="BM415">
        <v>0</v>
      </c>
      <c r="BN415">
        <v>0</v>
      </c>
      <c r="BO415" t="s">
        <v>3</v>
      </c>
      <c r="BP415">
        <v>0</v>
      </c>
      <c r="BQ415">
        <v>1</v>
      </c>
      <c r="BR415">
        <v>0</v>
      </c>
      <c r="BS415">
        <v>1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70</v>
      </c>
      <c r="CA415">
        <v>10</v>
      </c>
      <c r="CB415" t="s">
        <v>3</v>
      </c>
      <c r="CE415">
        <v>0</v>
      </c>
      <c r="CF415">
        <v>0</v>
      </c>
      <c r="CG415">
        <v>0</v>
      </c>
      <c r="CM415">
        <v>0</v>
      </c>
      <c r="CN415" t="s">
        <v>3</v>
      </c>
      <c r="CO415">
        <v>0</v>
      </c>
      <c r="CP415">
        <f t="shared" si="385"/>
        <v>340.85</v>
      </c>
      <c r="CQ415">
        <f t="shared" si="386"/>
        <v>0</v>
      </c>
      <c r="CR415">
        <f t="shared" ref="CR415:CR421" si="405">((((ET415)*BB415-(EU415)*BS415)+AE415*BS415)*AV415)</f>
        <v>0</v>
      </c>
      <c r="CS415">
        <f t="shared" si="387"/>
        <v>0</v>
      </c>
      <c r="CT415">
        <f t="shared" si="388"/>
        <v>568.09</v>
      </c>
      <c r="CU415">
        <f t="shared" si="389"/>
        <v>0</v>
      </c>
      <c r="CV415">
        <f t="shared" si="390"/>
        <v>0.92</v>
      </c>
      <c r="CW415">
        <f t="shared" si="391"/>
        <v>0</v>
      </c>
      <c r="CX415">
        <f t="shared" si="392"/>
        <v>0</v>
      </c>
      <c r="CY415">
        <f t="shared" si="393"/>
        <v>238.595</v>
      </c>
      <c r="CZ415">
        <f t="shared" si="394"/>
        <v>34.085000000000001</v>
      </c>
      <c r="DC415" t="s">
        <v>3</v>
      </c>
      <c r="DD415" t="s">
        <v>3</v>
      </c>
      <c r="DE415" t="s">
        <v>3</v>
      </c>
      <c r="DF415" t="s">
        <v>3</v>
      </c>
      <c r="DG415" t="s">
        <v>3</v>
      </c>
      <c r="DH415" t="s">
        <v>3</v>
      </c>
      <c r="DI415" t="s">
        <v>3</v>
      </c>
      <c r="DJ415" t="s">
        <v>3</v>
      </c>
      <c r="DK415" t="s">
        <v>3</v>
      </c>
      <c r="DL415" t="s">
        <v>3</v>
      </c>
      <c r="DM415" t="s">
        <v>3</v>
      </c>
      <c r="DN415">
        <v>0</v>
      </c>
      <c r="DO415">
        <v>0</v>
      </c>
      <c r="DP415">
        <v>1</v>
      </c>
      <c r="DQ415">
        <v>1</v>
      </c>
      <c r="DU415">
        <v>16987630</v>
      </c>
      <c r="DV415" t="s">
        <v>94</v>
      </c>
      <c r="DW415" t="s">
        <v>94</v>
      </c>
      <c r="DX415">
        <v>10</v>
      </c>
      <c r="DZ415" t="s">
        <v>3</v>
      </c>
      <c r="EA415" t="s">
        <v>3</v>
      </c>
      <c r="EB415" t="s">
        <v>3</v>
      </c>
      <c r="EC415" t="s">
        <v>3</v>
      </c>
      <c r="EE415">
        <v>1441815344</v>
      </c>
      <c r="EF415">
        <v>1</v>
      </c>
      <c r="EG415" t="s">
        <v>22</v>
      </c>
      <c r="EH415">
        <v>0</v>
      </c>
      <c r="EI415" t="s">
        <v>3</v>
      </c>
      <c r="EJ415">
        <v>4</v>
      </c>
      <c r="EK415">
        <v>0</v>
      </c>
      <c r="EL415" t="s">
        <v>23</v>
      </c>
      <c r="EM415" t="s">
        <v>24</v>
      </c>
      <c r="EO415" t="s">
        <v>3</v>
      </c>
      <c r="EQ415">
        <v>0</v>
      </c>
      <c r="ER415">
        <v>568.09</v>
      </c>
      <c r="ES415">
        <v>0</v>
      </c>
      <c r="ET415">
        <v>0</v>
      </c>
      <c r="EU415">
        <v>0</v>
      </c>
      <c r="EV415">
        <v>568.09</v>
      </c>
      <c r="EW415">
        <v>0.92</v>
      </c>
      <c r="EX415">
        <v>0</v>
      </c>
      <c r="EY415">
        <v>0</v>
      </c>
      <c r="FQ415">
        <v>0</v>
      </c>
      <c r="FR415">
        <f t="shared" si="395"/>
        <v>0</v>
      </c>
      <c r="FS415">
        <v>0</v>
      </c>
      <c r="FX415">
        <v>70</v>
      </c>
      <c r="FY415">
        <v>10</v>
      </c>
      <c r="GA415" t="s">
        <v>3</v>
      </c>
      <c r="GD415">
        <v>0</v>
      </c>
      <c r="GF415">
        <v>2082338734</v>
      </c>
      <c r="GG415">
        <v>2</v>
      </c>
      <c r="GH415">
        <v>1</v>
      </c>
      <c r="GI415">
        <v>-2</v>
      </c>
      <c r="GJ415">
        <v>0</v>
      </c>
      <c r="GK415">
        <f>ROUND(R415*(R12)/100,2)</f>
        <v>0</v>
      </c>
      <c r="GL415">
        <f t="shared" si="396"/>
        <v>0</v>
      </c>
      <c r="GM415">
        <f t="shared" si="397"/>
        <v>613.54</v>
      </c>
      <c r="GN415">
        <f t="shared" si="398"/>
        <v>0</v>
      </c>
      <c r="GO415">
        <f t="shared" si="399"/>
        <v>0</v>
      </c>
      <c r="GP415">
        <f t="shared" si="400"/>
        <v>613.54</v>
      </c>
      <c r="GR415">
        <v>0</v>
      </c>
      <c r="GS415">
        <v>3</v>
      </c>
      <c r="GT415">
        <v>0</v>
      </c>
      <c r="GU415" t="s">
        <v>3</v>
      </c>
      <c r="GV415">
        <f t="shared" si="401"/>
        <v>0</v>
      </c>
      <c r="GW415">
        <v>1</v>
      </c>
      <c r="GX415">
        <f t="shared" si="402"/>
        <v>0</v>
      </c>
      <c r="HA415">
        <v>0</v>
      </c>
      <c r="HB415">
        <v>0</v>
      </c>
      <c r="HC415">
        <f t="shared" si="403"/>
        <v>0</v>
      </c>
      <c r="HE415" t="s">
        <v>3</v>
      </c>
      <c r="HF415" t="s">
        <v>3</v>
      </c>
      <c r="HM415" t="s">
        <v>3</v>
      </c>
      <c r="HN415" t="s">
        <v>3</v>
      </c>
      <c r="HO415" t="s">
        <v>3</v>
      </c>
      <c r="HP415" t="s">
        <v>3</v>
      </c>
      <c r="HQ415" t="s">
        <v>3</v>
      </c>
      <c r="IK415">
        <v>0</v>
      </c>
    </row>
    <row r="416" spans="1:245" x14ac:dyDescent="0.2">
      <c r="A416">
        <v>17</v>
      </c>
      <c r="B416">
        <v>1</v>
      </c>
      <c r="D416">
        <f>ROW(EtalonRes!A203)</f>
        <v>203</v>
      </c>
      <c r="E416" t="s">
        <v>350</v>
      </c>
      <c r="F416" t="s">
        <v>351</v>
      </c>
      <c r="G416" t="s">
        <v>352</v>
      </c>
      <c r="H416" t="s">
        <v>20</v>
      </c>
      <c r="I416">
        <v>2</v>
      </c>
      <c r="J416">
        <v>0</v>
      </c>
      <c r="K416">
        <v>2</v>
      </c>
      <c r="O416">
        <f t="shared" si="371"/>
        <v>1415.12</v>
      </c>
      <c r="P416">
        <f t="shared" si="372"/>
        <v>80.959999999999994</v>
      </c>
      <c r="Q416">
        <f t="shared" si="373"/>
        <v>0</v>
      </c>
      <c r="R416">
        <f t="shared" si="374"/>
        <v>0</v>
      </c>
      <c r="S416">
        <f t="shared" si="375"/>
        <v>1334.16</v>
      </c>
      <c r="T416">
        <f t="shared" si="376"/>
        <v>0</v>
      </c>
      <c r="U416">
        <f t="shared" si="377"/>
        <v>1.88</v>
      </c>
      <c r="V416">
        <f t="shared" si="378"/>
        <v>0</v>
      </c>
      <c r="W416">
        <f t="shared" si="379"/>
        <v>0</v>
      </c>
      <c r="X416">
        <f t="shared" si="380"/>
        <v>933.91</v>
      </c>
      <c r="Y416">
        <f t="shared" si="381"/>
        <v>133.41999999999999</v>
      </c>
      <c r="AA416">
        <v>1472506909</v>
      </c>
      <c r="AB416">
        <f t="shared" si="382"/>
        <v>707.56</v>
      </c>
      <c r="AC416">
        <f>ROUND(((ES416*2)),6)</f>
        <v>40.479999999999997</v>
      </c>
      <c r="AD416">
        <f t="shared" si="404"/>
        <v>0</v>
      </c>
      <c r="AE416">
        <f t="shared" ref="AE416:AE426" si="406">ROUND((EU416),6)</f>
        <v>0</v>
      </c>
      <c r="AF416">
        <f>ROUND(((EV416*2)),6)</f>
        <v>667.08</v>
      </c>
      <c r="AG416">
        <f t="shared" si="383"/>
        <v>0</v>
      </c>
      <c r="AH416">
        <f>((EW416*2))</f>
        <v>0.94</v>
      </c>
      <c r="AI416">
        <f t="shared" ref="AI416:AI426" si="407">(EX416)</f>
        <v>0</v>
      </c>
      <c r="AJ416">
        <f t="shared" si="384"/>
        <v>0</v>
      </c>
      <c r="AK416">
        <v>353.78</v>
      </c>
      <c r="AL416">
        <v>20.239999999999998</v>
      </c>
      <c r="AM416">
        <v>0</v>
      </c>
      <c r="AN416">
        <v>0</v>
      </c>
      <c r="AO416">
        <v>333.54</v>
      </c>
      <c r="AP416">
        <v>0</v>
      </c>
      <c r="AQ416">
        <v>0.47</v>
      </c>
      <c r="AR416">
        <v>0</v>
      </c>
      <c r="AS416">
        <v>0</v>
      </c>
      <c r="AT416">
        <v>70</v>
      </c>
      <c r="AU416">
        <v>10</v>
      </c>
      <c r="AV416">
        <v>1</v>
      </c>
      <c r="AW416">
        <v>1</v>
      </c>
      <c r="AZ416">
        <v>1</v>
      </c>
      <c r="BA416">
        <v>1</v>
      </c>
      <c r="BB416">
        <v>1</v>
      </c>
      <c r="BC416">
        <v>1</v>
      </c>
      <c r="BD416" t="s">
        <v>3</v>
      </c>
      <c r="BE416" t="s">
        <v>3</v>
      </c>
      <c r="BF416" t="s">
        <v>3</v>
      </c>
      <c r="BG416" t="s">
        <v>3</v>
      </c>
      <c r="BH416">
        <v>0</v>
      </c>
      <c r="BI416">
        <v>4</v>
      </c>
      <c r="BJ416" t="s">
        <v>353</v>
      </c>
      <c r="BM416">
        <v>0</v>
      </c>
      <c r="BN416">
        <v>0</v>
      </c>
      <c r="BO416" t="s">
        <v>3</v>
      </c>
      <c r="BP416">
        <v>0</v>
      </c>
      <c r="BQ416">
        <v>1</v>
      </c>
      <c r="BR416">
        <v>0</v>
      </c>
      <c r="BS416">
        <v>1</v>
      </c>
      <c r="BT416">
        <v>1</v>
      </c>
      <c r="BU416">
        <v>1</v>
      </c>
      <c r="BV416">
        <v>1</v>
      </c>
      <c r="BW416">
        <v>1</v>
      </c>
      <c r="BX416">
        <v>1</v>
      </c>
      <c r="BY416" t="s">
        <v>3</v>
      </c>
      <c r="BZ416">
        <v>70</v>
      </c>
      <c r="CA416">
        <v>10</v>
      </c>
      <c r="CB416" t="s">
        <v>3</v>
      </c>
      <c r="CE416">
        <v>0</v>
      </c>
      <c r="CF416">
        <v>0</v>
      </c>
      <c r="CG416">
        <v>0</v>
      </c>
      <c r="CM416">
        <v>0</v>
      </c>
      <c r="CN416" t="s">
        <v>3</v>
      </c>
      <c r="CO416">
        <v>0</v>
      </c>
      <c r="CP416">
        <f t="shared" si="385"/>
        <v>1415.1200000000001</v>
      </c>
      <c r="CQ416">
        <f t="shared" si="386"/>
        <v>40.479999999999997</v>
      </c>
      <c r="CR416">
        <f t="shared" si="405"/>
        <v>0</v>
      </c>
      <c r="CS416">
        <f t="shared" si="387"/>
        <v>0</v>
      </c>
      <c r="CT416">
        <f t="shared" si="388"/>
        <v>667.08</v>
      </c>
      <c r="CU416">
        <f t="shared" si="389"/>
        <v>0</v>
      </c>
      <c r="CV416">
        <f t="shared" si="390"/>
        <v>0.94</v>
      </c>
      <c r="CW416">
        <f t="shared" si="391"/>
        <v>0</v>
      </c>
      <c r="CX416">
        <f t="shared" si="392"/>
        <v>0</v>
      </c>
      <c r="CY416">
        <f t="shared" si="393"/>
        <v>933.91200000000015</v>
      </c>
      <c r="CZ416">
        <f t="shared" si="394"/>
        <v>133.416</v>
      </c>
      <c r="DC416" t="s">
        <v>3</v>
      </c>
      <c r="DD416" t="s">
        <v>28</v>
      </c>
      <c r="DE416" t="s">
        <v>3</v>
      </c>
      <c r="DF416" t="s">
        <v>3</v>
      </c>
      <c r="DG416" t="s">
        <v>28</v>
      </c>
      <c r="DH416" t="s">
        <v>3</v>
      </c>
      <c r="DI416" t="s">
        <v>28</v>
      </c>
      <c r="DJ416" t="s">
        <v>3</v>
      </c>
      <c r="DK416" t="s">
        <v>3</v>
      </c>
      <c r="DL416" t="s">
        <v>3</v>
      </c>
      <c r="DM416" t="s">
        <v>3</v>
      </c>
      <c r="DN416">
        <v>0</v>
      </c>
      <c r="DO416">
        <v>0</v>
      </c>
      <c r="DP416">
        <v>1</v>
      </c>
      <c r="DQ416">
        <v>1</v>
      </c>
      <c r="DU416">
        <v>16987630</v>
      </c>
      <c r="DV416" t="s">
        <v>20</v>
      </c>
      <c r="DW416" t="s">
        <v>20</v>
      </c>
      <c r="DX416">
        <v>1</v>
      </c>
      <c r="DZ416" t="s">
        <v>3</v>
      </c>
      <c r="EA416" t="s">
        <v>3</v>
      </c>
      <c r="EB416" t="s">
        <v>3</v>
      </c>
      <c r="EC416" t="s">
        <v>3</v>
      </c>
      <c r="EE416">
        <v>1441815344</v>
      </c>
      <c r="EF416">
        <v>1</v>
      </c>
      <c r="EG416" t="s">
        <v>22</v>
      </c>
      <c r="EH416">
        <v>0</v>
      </c>
      <c r="EI416" t="s">
        <v>3</v>
      </c>
      <c r="EJ416">
        <v>4</v>
      </c>
      <c r="EK416">
        <v>0</v>
      </c>
      <c r="EL416" t="s">
        <v>23</v>
      </c>
      <c r="EM416" t="s">
        <v>24</v>
      </c>
      <c r="EO416" t="s">
        <v>3</v>
      </c>
      <c r="EQ416">
        <v>0</v>
      </c>
      <c r="ER416">
        <v>353.78</v>
      </c>
      <c r="ES416">
        <v>20.239999999999998</v>
      </c>
      <c r="ET416">
        <v>0</v>
      </c>
      <c r="EU416">
        <v>0</v>
      </c>
      <c r="EV416">
        <v>333.54</v>
      </c>
      <c r="EW416">
        <v>0.47</v>
      </c>
      <c r="EX416">
        <v>0</v>
      </c>
      <c r="EY416">
        <v>0</v>
      </c>
      <c r="FQ416">
        <v>0</v>
      </c>
      <c r="FR416">
        <f t="shared" si="395"/>
        <v>0</v>
      </c>
      <c r="FS416">
        <v>0</v>
      </c>
      <c r="FX416">
        <v>70</v>
      </c>
      <c r="FY416">
        <v>10</v>
      </c>
      <c r="GA416" t="s">
        <v>3</v>
      </c>
      <c r="GD416">
        <v>0</v>
      </c>
      <c r="GF416">
        <v>-1204453859</v>
      </c>
      <c r="GG416">
        <v>2</v>
      </c>
      <c r="GH416">
        <v>1</v>
      </c>
      <c r="GI416">
        <v>-2</v>
      </c>
      <c r="GJ416">
        <v>0</v>
      </c>
      <c r="GK416">
        <f>ROUND(R416*(R12)/100,2)</f>
        <v>0</v>
      </c>
      <c r="GL416">
        <f t="shared" si="396"/>
        <v>0</v>
      </c>
      <c r="GM416">
        <f t="shared" si="397"/>
        <v>2482.4499999999998</v>
      </c>
      <c r="GN416">
        <f t="shared" si="398"/>
        <v>0</v>
      </c>
      <c r="GO416">
        <f t="shared" si="399"/>
        <v>0</v>
      </c>
      <c r="GP416">
        <f t="shared" si="400"/>
        <v>2482.4499999999998</v>
      </c>
      <c r="GR416">
        <v>0</v>
      </c>
      <c r="GS416">
        <v>3</v>
      </c>
      <c r="GT416">
        <v>0</v>
      </c>
      <c r="GU416" t="s">
        <v>3</v>
      </c>
      <c r="GV416">
        <f t="shared" si="401"/>
        <v>0</v>
      </c>
      <c r="GW416">
        <v>1</v>
      </c>
      <c r="GX416">
        <f t="shared" si="402"/>
        <v>0</v>
      </c>
      <c r="HA416">
        <v>0</v>
      </c>
      <c r="HB416">
        <v>0</v>
      </c>
      <c r="HC416">
        <f t="shared" si="403"/>
        <v>0</v>
      </c>
      <c r="HE416" t="s">
        <v>3</v>
      </c>
      <c r="HF416" t="s">
        <v>3</v>
      </c>
      <c r="HM416" t="s">
        <v>3</v>
      </c>
      <c r="HN416" t="s">
        <v>3</v>
      </c>
      <c r="HO416" t="s">
        <v>3</v>
      </c>
      <c r="HP416" t="s">
        <v>3</v>
      </c>
      <c r="HQ416" t="s">
        <v>3</v>
      </c>
      <c r="IK416">
        <v>0</v>
      </c>
    </row>
    <row r="417" spans="1:245" x14ac:dyDescent="0.2">
      <c r="A417">
        <v>17</v>
      </c>
      <c r="B417">
        <v>1</v>
      </c>
      <c r="D417">
        <f>ROW(EtalonRes!A206)</f>
        <v>206</v>
      </c>
      <c r="E417" t="s">
        <v>354</v>
      </c>
      <c r="F417" t="s">
        <v>245</v>
      </c>
      <c r="G417" t="s">
        <v>355</v>
      </c>
      <c r="H417" t="s">
        <v>94</v>
      </c>
      <c r="I417">
        <f>ROUND(2/10,9)</f>
        <v>0.2</v>
      </c>
      <c r="J417">
        <v>0</v>
      </c>
      <c r="K417">
        <f>ROUND(2/10,9)</f>
        <v>0.2</v>
      </c>
      <c r="O417">
        <f t="shared" si="371"/>
        <v>3555.26</v>
      </c>
      <c r="P417">
        <f t="shared" si="372"/>
        <v>6.96</v>
      </c>
      <c r="Q417">
        <f t="shared" si="373"/>
        <v>0</v>
      </c>
      <c r="R417">
        <f t="shared" si="374"/>
        <v>0</v>
      </c>
      <c r="S417">
        <f t="shared" si="375"/>
        <v>3548.3</v>
      </c>
      <c r="T417">
        <f t="shared" si="376"/>
        <v>0</v>
      </c>
      <c r="U417">
        <f t="shared" si="377"/>
        <v>5</v>
      </c>
      <c r="V417">
        <f t="shared" si="378"/>
        <v>0</v>
      </c>
      <c r="W417">
        <f t="shared" si="379"/>
        <v>0</v>
      </c>
      <c r="X417">
        <f t="shared" si="380"/>
        <v>2483.81</v>
      </c>
      <c r="Y417">
        <f t="shared" si="381"/>
        <v>354.83</v>
      </c>
      <c r="AA417">
        <v>1472506909</v>
      </c>
      <c r="AB417">
        <f t="shared" si="382"/>
        <v>17776.28</v>
      </c>
      <c r="AC417">
        <f>ROUND(((ES417*2)),6)</f>
        <v>34.78</v>
      </c>
      <c r="AD417">
        <f t="shared" si="404"/>
        <v>0</v>
      </c>
      <c r="AE417">
        <f t="shared" si="406"/>
        <v>0</v>
      </c>
      <c r="AF417">
        <f>ROUND(((EV417*2)),6)</f>
        <v>17741.5</v>
      </c>
      <c r="AG417">
        <f t="shared" si="383"/>
        <v>0</v>
      </c>
      <c r="AH417">
        <f>((EW417*2))</f>
        <v>25</v>
      </c>
      <c r="AI417">
        <f t="shared" si="407"/>
        <v>0</v>
      </c>
      <c r="AJ417">
        <f t="shared" si="384"/>
        <v>0</v>
      </c>
      <c r="AK417">
        <v>8888.14</v>
      </c>
      <c r="AL417">
        <v>17.39</v>
      </c>
      <c r="AM417">
        <v>0</v>
      </c>
      <c r="AN417">
        <v>0</v>
      </c>
      <c r="AO417">
        <v>8870.75</v>
      </c>
      <c r="AP417">
        <v>0</v>
      </c>
      <c r="AQ417">
        <v>12.5</v>
      </c>
      <c r="AR417">
        <v>0</v>
      </c>
      <c r="AS417">
        <v>0</v>
      </c>
      <c r="AT417">
        <v>70</v>
      </c>
      <c r="AU417">
        <v>10</v>
      </c>
      <c r="AV417">
        <v>1</v>
      </c>
      <c r="AW417">
        <v>1</v>
      </c>
      <c r="AZ417">
        <v>1</v>
      </c>
      <c r="BA417">
        <v>1</v>
      </c>
      <c r="BB417">
        <v>1</v>
      </c>
      <c r="BC417">
        <v>1</v>
      </c>
      <c r="BD417" t="s">
        <v>3</v>
      </c>
      <c r="BE417" t="s">
        <v>3</v>
      </c>
      <c r="BF417" t="s">
        <v>3</v>
      </c>
      <c r="BG417" t="s">
        <v>3</v>
      </c>
      <c r="BH417">
        <v>0</v>
      </c>
      <c r="BI417">
        <v>4</v>
      </c>
      <c r="BJ417" t="s">
        <v>247</v>
      </c>
      <c r="BM417">
        <v>0</v>
      </c>
      <c r="BN417">
        <v>0</v>
      </c>
      <c r="BO417" t="s">
        <v>3</v>
      </c>
      <c r="BP417">
        <v>0</v>
      </c>
      <c r="BQ417">
        <v>1</v>
      </c>
      <c r="BR417">
        <v>0</v>
      </c>
      <c r="BS417">
        <v>1</v>
      </c>
      <c r="BT417">
        <v>1</v>
      </c>
      <c r="BU417">
        <v>1</v>
      </c>
      <c r="BV417">
        <v>1</v>
      </c>
      <c r="BW417">
        <v>1</v>
      </c>
      <c r="BX417">
        <v>1</v>
      </c>
      <c r="BY417" t="s">
        <v>3</v>
      </c>
      <c r="BZ417">
        <v>70</v>
      </c>
      <c r="CA417">
        <v>10</v>
      </c>
      <c r="CB417" t="s">
        <v>3</v>
      </c>
      <c r="CE417">
        <v>0</v>
      </c>
      <c r="CF417">
        <v>0</v>
      </c>
      <c r="CG417">
        <v>0</v>
      </c>
      <c r="CM417">
        <v>0</v>
      </c>
      <c r="CN417" t="s">
        <v>3</v>
      </c>
      <c r="CO417">
        <v>0</v>
      </c>
      <c r="CP417">
        <f t="shared" si="385"/>
        <v>3555.26</v>
      </c>
      <c r="CQ417">
        <f t="shared" si="386"/>
        <v>34.78</v>
      </c>
      <c r="CR417">
        <f t="shared" si="405"/>
        <v>0</v>
      </c>
      <c r="CS417">
        <f t="shared" si="387"/>
        <v>0</v>
      </c>
      <c r="CT417">
        <f t="shared" si="388"/>
        <v>17741.5</v>
      </c>
      <c r="CU417">
        <f t="shared" si="389"/>
        <v>0</v>
      </c>
      <c r="CV417">
        <f t="shared" si="390"/>
        <v>25</v>
      </c>
      <c r="CW417">
        <f t="shared" si="391"/>
        <v>0</v>
      </c>
      <c r="CX417">
        <f t="shared" si="392"/>
        <v>0</v>
      </c>
      <c r="CY417">
        <f t="shared" si="393"/>
        <v>2483.81</v>
      </c>
      <c r="CZ417">
        <f t="shared" si="394"/>
        <v>354.83</v>
      </c>
      <c r="DC417" t="s">
        <v>3</v>
      </c>
      <c r="DD417" t="s">
        <v>28</v>
      </c>
      <c r="DE417" t="s">
        <v>3</v>
      </c>
      <c r="DF417" t="s">
        <v>3</v>
      </c>
      <c r="DG417" t="s">
        <v>28</v>
      </c>
      <c r="DH417" t="s">
        <v>3</v>
      </c>
      <c r="DI417" t="s">
        <v>28</v>
      </c>
      <c r="DJ417" t="s">
        <v>3</v>
      </c>
      <c r="DK417" t="s">
        <v>3</v>
      </c>
      <c r="DL417" t="s">
        <v>3</v>
      </c>
      <c r="DM417" t="s">
        <v>3</v>
      </c>
      <c r="DN417">
        <v>0</v>
      </c>
      <c r="DO417">
        <v>0</v>
      </c>
      <c r="DP417">
        <v>1</v>
      </c>
      <c r="DQ417">
        <v>1</v>
      </c>
      <c r="DU417">
        <v>16987630</v>
      </c>
      <c r="DV417" t="s">
        <v>94</v>
      </c>
      <c r="DW417" t="s">
        <v>94</v>
      </c>
      <c r="DX417">
        <v>10</v>
      </c>
      <c r="DZ417" t="s">
        <v>3</v>
      </c>
      <c r="EA417" t="s">
        <v>3</v>
      </c>
      <c r="EB417" t="s">
        <v>3</v>
      </c>
      <c r="EC417" t="s">
        <v>3</v>
      </c>
      <c r="EE417">
        <v>1441815344</v>
      </c>
      <c r="EF417">
        <v>1</v>
      </c>
      <c r="EG417" t="s">
        <v>22</v>
      </c>
      <c r="EH417">
        <v>0</v>
      </c>
      <c r="EI417" t="s">
        <v>3</v>
      </c>
      <c r="EJ417">
        <v>4</v>
      </c>
      <c r="EK417">
        <v>0</v>
      </c>
      <c r="EL417" t="s">
        <v>23</v>
      </c>
      <c r="EM417" t="s">
        <v>24</v>
      </c>
      <c r="EO417" t="s">
        <v>3</v>
      </c>
      <c r="EQ417">
        <v>0</v>
      </c>
      <c r="ER417">
        <v>8888.14</v>
      </c>
      <c r="ES417">
        <v>17.39</v>
      </c>
      <c r="ET417">
        <v>0</v>
      </c>
      <c r="EU417">
        <v>0</v>
      </c>
      <c r="EV417">
        <v>8870.75</v>
      </c>
      <c r="EW417">
        <v>12.5</v>
      </c>
      <c r="EX417">
        <v>0</v>
      </c>
      <c r="EY417">
        <v>0</v>
      </c>
      <c r="FQ417">
        <v>0</v>
      </c>
      <c r="FR417">
        <f t="shared" si="395"/>
        <v>0</v>
      </c>
      <c r="FS417">
        <v>0</v>
      </c>
      <c r="FX417">
        <v>70</v>
      </c>
      <c r="FY417">
        <v>10</v>
      </c>
      <c r="GA417" t="s">
        <v>3</v>
      </c>
      <c r="GD417">
        <v>0</v>
      </c>
      <c r="GF417">
        <v>1857006097</v>
      </c>
      <c r="GG417">
        <v>2</v>
      </c>
      <c r="GH417">
        <v>1</v>
      </c>
      <c r="GI417">
        <v>-2</v>
      </c>
      <c r="GJ417">
        <v>0</v>
      </c>
      <c r="GK417">
        <f>ROUND(R417*(R12)/100,2)</f>
        <v>0</v>
      </c>
      <c r="GL417">
        <f t="shared" si="396"/>
        <v>0</v>
      </c>
      <c r="GM417">
        <f t="shared" si="397"/>
        <v>6393.9</v>
      </c>
      <c r="GN417">
        <f t="shared" si="398"/>
        <v>0</v>
      </c>
      <c r="GO417">
        <f t="shared" si="399"/>
        <v>0</v>
      </c>
      <c r="GP417">
        <f t="shared" si="400"/>
        <v>6393.9</v>
      </c>
      <c r="GR417">
        <v>0</v>
      </c>
      <c r="GS417">
        <v>3</v>
      </c>
      <c r="GT417">
        <v>0</v>
      </c>
      <c r="GU417" t="s">
        <v>3</v>
      </c>
      <c r="GV417">
        <f t="shared" si="401"/>
        <v>0</v>
      </c>
      <c r="GW417">
        <v>1</v>
      </c>
      <c r="GX417">
        <f t="shared" si="402"/>
        <v>0</v>
      </c>
      <c r="HA417">
        <v>0</v>
      </c>
      <c r="HB417">
        <v>0</v>
      </c>
      <c r="HC417">
        <f t="shared" si="403"/>
        <v>0</v>
      </c>
      <c r="HE417" t="s">
        <v>3</v>
      </c>
      <c r="HF417" t="s">
        <v>3</v>
      </c>
      <c r="HM417" t="s">
        <v>3</v>
      </c>
      <c r="HN417" t="s">
        <v>3</v>
      </c>
      <c r="HO417" t="s">
        <v>3</v>
      </c>
      <c r="HP417" t="s">
        <v>3</v>
      </c>
      <c r="HQ417" t="s">
        <v>3</v>
      </c>
      <c r="IK417">
        <v>0</v>
      </c>
    </row>
    <row r="418" spans="1:245" x14ac:dyDescent="0.2">
      <c r="A418">
        <v>17</v>
      </c>
      <c r="B418">
        <v>1</v>
      </c>
      <c r="D418">
        <f>ROW(EtalonRes!A207)</f>
        <v>207</v>
      </c>
      <c r="E418" t="s">
        <v>356</v>
      </c>
      <c r="F418" t="s">
        <v>92</v>
      </c>
      <c r="G418" t="s">
        <v>93</v>
      </c>
      <c r="H418" t="s">
        <v>94</v>
      </c>
      <c r="I418">
        <f>ROUND((4+6+2)/10,9)</f>
        <v>1.2</v>
      </c>
      <c r="J418">
        <v>0</v>
      </c>
      <c r="K418">
        <f>ROUND((4+6+2)/10,9)</f>
        <v>1.2</v>
      </c>
      <c r="O418">
        <f t="shared" si="371"/>
        <v>333.44</v>
      </c>
      <c r="P418">
        <f t="shared" si="372"/>
        <v>0</v>
      </c>
      <c r="Q418">
        <f t="shared" si="373"/>
        <v>0</v>
      </c>
      <c r="R418">
        <f t="shared" si="374"/>
        <v>0</v>
      </c>
      <c r="S418">
        <f t="shared" si="375"/>
        <v>333.44</v>
      </c>
      <c r="T418">
        <f t="shared" si="376"/>
        <v>0</v>
      </c>
      <c r="U418">
        <f t="shared" si="377"/>
        <v>0.54</v>
      </c>
      <c r="V418">
        <f t="shared" si="378"/>
        <v>0</v>
      </c>
      <c r="W418">
        <f t="shared" si="379"/>
        <v>0</v>
      </c>
      <c r="X418">
        <f t="shared" si="380"/>
        <v>233.41</v>
      </c>
      <c r="Y418">
        <f t="shared" si="381"/>
        <v>33.340000000000003</v>
      </c>
      <c r="AA418">
        <v>1472506909</v>
      </c>
      <c r="AB418">
        <f t="shared" si="382"/>
        <v>277.87</v>
      </c>
      <c r="AC418">
        <f t="shared" ref="AC418:AC423" si="408">ROUND((ES418),6)</f>
        <v>0</v>
      </c>
      <c r="AD418">
        <f t="shared" si="404"/>
        <v>0</v>
      </c>
      <c r="AE418">
        <f t="shared" si="406"/>
        <v>0</v>
      </c>
      <c r="AF418">
        <f t="shared" ref="AF418:AF423" si="409">ROUND((EV418),6)</f>
        <v>277.87</v>
      </c>
      <c r="AG418">
        <f t="shared" si="383"/>
        <v>0</v>
      </c>
      <c r="AH418">
        <f t="shared" ref="AH418:AH423" si="410">(EW418)</f>
        <v>0.45</v>
      </c>
      <c r="AI418">
        <f t="shared" si="407"/>
        <v>0</v>
      </c>
      <c r="AJ418">
        <f t="shared" si="384"/>
        <v>0</v>
      </c>
      <c r="AK418">
        <v>277.87</v>
      </c>
      <c r="AL418">
        <v>0</v>
      </c>
      <c r="AM418">
        <v>0</v>
      </c>
      <c r="AN418">
        <v>0</v>
      </c>
      <c r="AO418">
        <v>277.87</v>
      </c>
      <c r="AP418">
        <v>0</v>
      </c>
      <c r="AQ418">
        <v>0.45</v>
      </c>
      <c r="AR418">
        <v>0</v>
      </c>
      <c r="AS418">
        <v>0</v>
      </c>
      <c r="AT418">
        <v>70</v>
      </c>
      <c r="AU418">
        <v>10</v>
      </c>
      <c r="AV418">
        <v>1</v>
      </c>
      <c r="AW418">
        <v>1</v>
      </c>
      <c r="AZ418">
        <v>1</v>
      </c>
      <c r="BA418">
        <v>1</v>
      </c>
      <c r="BB418">
        <v>1</v>
      </c>
      <c r="BC418">
        <v>1</v>
      </c>
      <c r="BD418" t="s">
        <v>3</v>
      </c>
      <c r="BE418" t="s">
        <v>3</v>
      </c>
      <c r="BF418" t="s">
        <v>3</v>
      </c>
      <c r="BG418" t="s">
        <v>3</v>
      </c>
      <c r="BH418">
        <v>0</v>
      </c>
      <c r="BI418">
        <v>4</v>
      </c>
      <c r="BJ418" t="s">
        <v>95</v>
      </c>
      <c r="BM418">
        <v>0</v>
      </c>
      <c r="BN418">
        <v>0</v>
      </c>
      <c r="BO418" t="s">
        <v>3</v>
      </c>
      <c r="BP418">
        <v>0</v>
      </c>
      <c r="BQ418">
        <v>1</v>
      </c>
      <c r="BR418">
        <v>0</v>
      </c>
      <c r="BS418">
        <v>1</v>
      </c>
      <c r="BT418">
        <v>1</v>
      </c>
      <c r="BU418">
        <v>1</v>
      </c>
      <c r="BV418">
        <v>1</v>
      </c>
      <c r="BW418">
        <v>1</v>
      </c>
      <c r="BX418">
        <v>1</v>
      </c>
      <c r="BY418" t="s">
        <v>3</v>
      </c>
      <c r="BZ418">
        <v>70</v>
      </c>
      <c r="CA418">
        <v>10</v>
      </c>
      <c r="CB418" t="s">
        <v>3</v>
      </c>
      <c r="CE418">
        <v>0</v>
      </c>
      <c r="CF418">
        <v>0</v>
      </c>
      <c r="CG418">
        <v>0</v>
      </c>
      <c r="CM418">
        <v>0</v>
      </c>
      <c r="CN418" t="s">
        <v>3</v>
      </c>
      <c r="CO418">
        <v>0</v>
      </c>
      <c r="CP418">
        <f t="shared" si="385"/>
        <v>333.44</v>
      </c>
      <c r="CQ418">
        <f t="shared" si="386"/>
        <v>0</v>
      </c>
      <c r="CR418">
        <f t="shared" si="405"/>
        <v>0</v>
      </c>
      <c r="CS418">
        <f t="shared" si="387"/>
        <v>0</v>
      </c>
      <c r="CT418">
        <f t="shared" si="388"/>
        <v>277.87</v>
      </c>
      <c r="CU418">
        <f t="shared" si="389"/>
        <v>0</v>
      </c>
      <c r="CV418">
        <f t="shared" si="390"/>
        <v>0.45</v>
      </c>
      <c r="CW418">
        <f t="shared" si="391"/>
        <v>0</v>
      </c>
      <c r="CX418">
        <f t="shared" si="392"/>
        <v>0</v>
      </c>
      <c r="CY418">
        <f t="shared" si="393"/>
        <v>233.40799999999999</v>
      </c>
      <c r="CZ418">
        <f t="shared" si="394"/>
        <v>33.344000000000001</v>
      </c>
      <c r="DC418" t="s">
        <v>3</v>
      </c>
      <c r="DD418" t="s">
        <v>3</v>
      </c>
      <c r="DE418" t="s">
        <v>3</v>
      </c>
      <c r="DF418" t="s">
        <v>3</v>
      </c>
      <c r="DG418" t="s">
        <v>3</v>
      </c>
      <c r="DH418" t="s">
        <v>3</v>
      </c>
      <c r="DI418" t="s">
        <v>3</v>
      </c>
      <c r="DJ418" t="s">
        <v>3</v>
      </c>
      <c r="DK418" t="s">
        <v>3</v>
      </c>
      <c r="DL418" t="s">
        <v>3</v>
      </c>
      <c r="DM418" t="s">
        <v>3</v>
      </c>
      <c r="DN418">
        <v>0</v>
      </c>
      <c r="DO418">
        <v>0</v>
      </c>
      <c r="DP418">
        <v>1</v>
      </c>
      <c r="DQ418">
        <v>1</v>
      </c>
      <c r="DU418">
        <v>16987630</v>
      </c>
      <c r="DV418" t="s">
        <v>94</v>
      </c>
      <c r="DW418" t="s">
        <v>94</v>
      </c>
      <c r="DX418">
        <v>10</v>
      </c>
      <c r="DZ418" t="s">
        <v>3</v>
      </c>
      <c r="EA418" t="s">
        <v>3</v>
      </c>
      <c r="EB418" t="s">
        <v>3</v>
      </c>
      <c r="EC418" t="s">
        <v>3</v>
      </c>
      <c r="EE418">
        <v>1441815344</v>
      </c>
      <c r="EF418">
        <v>1</v>
      </c>
      <c r="EG418" t="s">
        <v>22</v>
      </c>
      <c r="EH418">
        <v>0</v>
      </c>
      <c r="EI418" t="s">
        <v>3</v>
      </c>
      <c r="EJ418">
        <v>4</v>
      </c>
      <c r="EK418">
        <v>0</v>
      </c>
      <c r="EL418" t="s">
        <v>23</v>
      </c>
      <c r="EM418" t="s">
        <v>24</v>
      </c>
      <c r="EO418" t="s">
        <v>3</v>
      </c>
      <c r="EQ418">
        <v>0</v>
      </c>
      <c r="ER418">
        <v>277.87</v>
      </c>
      <c r="ES418">
        <v>0</v>
      </c>
      <c r="ET418">
        <v>0</v>
      </c>
      <c r="EU418">
        <v>0</v>
      </c>
      <c r="EV418">
        <v>277.87</v>
      </c>
      <c r="EW418">
        <v>0.45</v>
      </c>
      <c r="EX418">
        <v>0</v>
      </c>
      <c r="EY418">
        <v>0</v>
      </c>
      <c r="FQ418">
        <v>0</v>
      </c>
      <c r="FR418">
        <f t="shared" si="395"/>
        <v>0</v>
      </c>
      <c r="FS418">
        <v>0</v>
      </c>
      <c r="FX418">
        <v>70</v>
      </c>
      <c r="FY418">
        <v>10</v>
      </c>
      <c r="GA418" t="s">
        <v>3</v>
      </c>
      <c r="GD418">
        <v>0</v>
      </c>
      <c r="GF418">
        <v>-559430364</v>
      </c>
      <c r="GG418">
        <v>2</v>
      </c>
      <c r="GH418">
        <v>1</v>
      </c>
      <c r="GI418">
        <v>-2</v>
      </c>
      <c r="GJ418">
        <v>0</v>
      </c>
      <c r="GK418">
        <f>ROUND(R418*(R12)/100,2)</f>
        <v>0</v>
      </c>
      <c r="GL418">
        <f t="shared" si="396"/>
        <v>0</v>
      </c>
      <c r="GM418">
        <f t="shared" si="397"/>
        <v>600.19000000000005</v>
      </c>
      <c r="GN418">
        <f t="shared" si="398"/>
        <v>0</v>
      </c>
      <c r="GO418">
        <f t="shared" si="399"/>
        <v>0</v>
      </c>
      <c r="GP418">
        <f t="shared" si="400"/>
        <v>600.19000000000005</v>
      </c>
      <c r="GR418">
        <v>0</v>
      </c>
      <c r="GS418">
        <v>3</v>
      </c>
      <c r="GT418">
        <v>0</v>
      </c>
      <c r="GU418" t="s">
        <v>3</v>
      </c>
      <c r="GV418">
        <f t="shared" si="401"/>
        <v>0</v>
      </c>
      <c r="GW418">
        <v>1</v>
      </c>
      <c r="GX418">
        <f t="shared" si="402"/>
        <v>0</v>
      </c>
      <c r="HA418">
        <v>0</v>
      </c>
      <c r="HB418">
        <v>0</v>
      </c>
      <c r="HC418">
        <f t="shared" si="403"/>
        <v>0</v>
      </c>
      <c r="HE418" t="s">
        <v>3</v>
      </c>
      <c r="HF418" t="s">
        <v>3</v>
      </c>
      <c r="HM418" t="s">
        <v>3</v>
      </c>
      <c r="HN418" t="s">
        <v>3</v>
      </c>
      <c r="HO418" t="s">
        <v>3</v>
      </c>
      <c r="HP418" t="s">
        <v>3</v>
      </c>
      <c r="HQ418" t="s">
        <v>3</v>
      </c>
      <c r="IK418">
        <v>0</v>
      </c>
    </row>
    <row r="419" spans="1:245" x14ac:dyDescent="0.2">
      <c r="A419">
        <v>17</v>
      </c>
      <c r="B419">
        <v>1</v>
      </c>
      <c r="D419">
        <f>ROW(EtalonRes!A210)</f>
        <v>210</v>
      </c>
      <c r="E419" t="s">
        <v>357</v>
      </c>
      <c r="F419" t="s">
        <v>358</v>
      </c>
      <c r="G419" t="s">
        <v>359</v>
      </c>
      <c r="H419" t="s">
        <v>94</v>
      </c>
      <c r="I419">
        <f>ROUND(2/10,9)</f>
        <v>0.2</v>
      </c>
      <c r="J419">
        <v>0</v>
      </c>
      <c r="K419">
        <f>ROUND(2/10,9)</f>
        <v>0.2</v>
      </c>
      <c r="O419">
        <f t="shared" si="371"/>
        <v>859.5</v>
      </c>
      <c r="P419">
        <f t="shared" si="372"/>
        <v>0.5</v>
      </c>
      <c r="Q419">
        <f t="shared" si="373"/>
        <v>0</v>
      </c>
      <c r="R419">
        <f t="shared" si="374"/>
        <v>0</v>
      </c>
      <c r="S419">
        <f t="shared" si="375"/>
        <v>859</v>
      </c>
      <c r="T419">
        <f t="shared" si="376"/>
        <v>0</v>
      </c>
      <c r="U419">
        <f t="shared" si="377"/>
        <v>1.528</v>
      </c>
      <c r="V419">
        <f t="shared" si="378"/>
        <v>0</v>
      </c>
      <c r="W419">
        <f t="shared" si="379"/>
        <v>0</v>
      </c>
      <c r="X419">
        <f t="shared" si="380"/>
        <v>601.29999999999995</v>
      </c>
      <c r="Y419">
        <f t="shared" si="381"/>
        <v>85.9</v>
      </c>
      <c r="AA419">
        <v>1472506909</v>
      </c>
      <c r="AB419">
        <f t="shared" si="382"/>
        <v>4297.5</v>
      </c>
      <c r="AC419">
        <f t="shared" si="408"/>
        <v>2.52</v>
      </c>
      <c r="AD419">
        <f t="shared" si="404"/>
        <v>0</v>
      </c>
      <c r="AE419">
        <f t="shared" si="406"/>
        <v>0</v>
      </c>
      <c r="AF419">
        <f t="shared" si="409"/>
        <v>4294.9799999999996</v>
      </c>
      <c r="AG419">
        <f t="shared" si="383"/>
        <v>0</v>
      </c>
      <c r="AH419">
        <f t="shared" si="410"/>
        <v>7.64</v>
      </c>
      <c r="AI419">
        <f t="shared" si="407"/>
        <v>0</v>
      </c>
      <c r="AJ419">
        <f t="shared" si="384"/>
        <v>0</v>
      </c>
      <c r="AK419">
        <v>4297.5</v>
      </c>
      <c r="AL419">
        <v>2.52</v>
      </c>
      <c r="AM419">
        <v>0</v>
      </c>
      <c r="AN419">
        <v>0</v>
      </c>
      <c r="AO419">
        <v>4294.9799999999996</v>
      </c>
      <c r="AP419">
        <v>0</v>
      </c>
      <c r="AQ419">
        <v>7.64</v>
      </c>
      <c r="AR419">
        <v>0</v>
      </c>
      <c r="AS419">
        <v>0</v>
      </c>
      <c r="AT419">
        <v>70</v>
      </c>
      <c r="AU419">
        <v>10</v>
      </c>
      <c r="AV419">
        <v>1</v>
      </c>
      <c r="AW419">
        <v>1</v>
      </c>
      <c r="AZ419">
        <v>1</v>
      </c>
      <c r="BA419">
        <v>1</v>
      </c>
      <c r="BB419">
        <v>1</v>
      </c>
      <c r="BC419">
        <v>1</v>
      </c>
      <c r="BD419" t="s">
        <v>3</v>
      </c>
      <c r="BE419" t="s">
        <v>3</v>
      </c>
      <c r="BF419" t="s">
        <v>3</v>
      </c>
      <c r="BG419" t="s">
        <v>3</v>
      </c>
      <c r="BH419">
        <v>0</v>
      </c>
      <c r="BI419">
        <v>4</v>
      </c>
      <c r="BJ419" t="s">
        <v>360</v>
      </c>
      <c r="BM419">
        <v>0</v>
      </c>
      <c r="BN419">
        <v>0</v>
      </c>
      <c r="BO419" t="s">
        <v>3</v>
      </c>
      <c r="BP419">
        <v>0</v>
      </c>
      <c r="BQ419">
        <v>1</v>
      </c>
      <c r="BR419">
        <v>0</v>
      </c>
      <c r="BS419">
        <v>1</v>
      </c>
      <c r="BT419">
        <v>1</v>
      </c>
      <c r="BU419">
        <v>1</v>
      </c>
      <c r="BV419">
        <v>1</v>
      </c>
      <c r="BW419">
        <v>1</v>
      </c>
      <c r="BX419">
        <v>1</v>
      </c>
      <c r="BY419" t="s">
        <v>3</v>
      </c>
      <c r="BZ419">
        <v>70</v>
      </c>
      <c r="CA419">
        <v>10</v>
      </c>
      <c r="CB419" t="s">
        <v>3</v>
      </c>
      <c r="CE419">
        <v>0</v>
      </c>
      <c r="CF419">
        <v>0</v>
      </c>
      <c r="CG419">
        <v>0</v>
      </c>
      <c r="CM419">
        <v>0</v>
      </c>
      <c r="CN419" t="s">
        <v>3</v>
      </c>
      <c r="CO419">
        <v>0</v>
      </c>
      <c r="CP419">
        <f t="shared" si="385"/>
        <v>859.5</v>
      </c>
      <c r="CQ419">
        <f t="shared" si="386"/>
        <v>2.52</v>
      </c>
      <c r="CR419">
        <f t="shared" si="405"/>
        <v>0</v>
      </c>
      <c r="CS419">
        <f t="shared" si="387"/>
        <v>0</v>
      </c>
      <c r="CT419">
        <f t="shared" si="388"/>
        <v>4294.9799999999996</v>
      </c>
      <c r="CU419">
        <f t="shared" si="389"/>
        <v>0</v>
      </c>
      <c r="CV419">
        <f t="shared" si="390"/>
        <v>7.64</v>
      </c>
      <c r="CW419">
        <f t="shared" si="391"/>
        <v>0</v>
      </c>
      <c r="CX419">
        <f t="shared" si="392"/>
        <v>0</v>
      </c>
      <c r="CY419">
        <f t="shared" si="393"/>
        <v>601.29999999999995</v>
      </c>
      <c r="CZ419">
        <f t="shared" si="394"/>
        <v>85.9</v>
      </c>
      <c r="DC419" t="s">
        <v>3</v>
      </c>
      <c r="DD419" t="s">
        <v>3</v>
      </c>
      <c r="DE419" t="s">
        <v>3</v>
      </c>
      <c r="DF419" t="s">
        <v>3</v>
      </c>
      <c r="DG419" t="s">
        <v>3</v>
      </c>
      <c r="DH419" t="s">
        <v>3</v>
      </c>
      <c r="DI419" t="s">
        <v>3</v>
      </c>
      <c r="DJ419" t="s">
        <v>3</v>
      </c>
      <c r="DK419" t="s">
        <v>3</v>
      </c>
      <c r="DL419" t="s">
        <v>3</v>
      </c>
      <c r="DM419" t="s">
        <v>3</v>
      </c>
      <c r="DN419">
        <v>0</v>
      </c>
      <c r="DO419">
        <v>0</v>
      </c>
      <c r="DP419">
        <v>1</v>
      </c>
      <c r="DQ419">
        <v>1</v>
      </c>
      <c r="DU419">
        <v>16987630</v>
      </c>
      <c r="DV419" t="s">
        <v>94</v>
      </c>
      <c r="DW419" t="s">
        <v>94</v>
      </c>
      <c r="DX419">
        <v>10</v>
      </c>
      <c r="DZ419" t="s">
        <v>3</v>
      </c>
      <c r="EA419" t="s">
        <v>3</v>
      </c>
      <c r="EB419" t="s">
        <v>3</v>
      </c>
      <c r="EC419" t="s">
        <v>3</v>
      </c>
      <c r="EE419">
        <v>1441815344</v>
      </c>
      <c r="EF419">
        <v>1</v>
      </c>
      <c r="EG419" t="s">
        <v>22</v>
      </c>
      <c r="EH419">
        <v>0</v>
      </c>
      <c r="EI419" t="s">
        <v>3</v>
      </c>
      <c r="EJ419">
        <v>4</v>
      </c>
      <c r="EK419">
        <v>0</v>
      </c>
      <c r="EL419" t="s">
        <v>23</v>
      </c>
      <c r="EM419" t="s">
        <v>24</v>
      </c>
      <c r="EO419" t="s">
        <v>3</v>
      </c>
      <c r="EQ419">
        <v>0</v>
      </c>
      <c r="ER419">
        <v>4297.5</v>
      </c>
      <c r="ES419">
        <v>2.52</v>
      </c>
      <c r="ET419">
        <v>0</v>
      </c>
      <c r="EU419">
        <v>0</v>
      </c>
      <c r="EV419">
        <v>4294.9799999999996</v>
      </c>
      <c r="EW419">
        <v>7.64</v>
      </c>
      <c r="EX419">
        <v>0</v>
      </c>
      <c r="EY419">
        <v>0</v>
      </c>
      <c r="FQ419">
        <v>0</v>
      </c>
      <c r="FR419">
        <f t="shared" si="395"/>
        <v>0</v>
      </c>
      <c r="FS419">
        <v>0</v>
      </c>
      <c r="FX419">
        <v>70</v>
      </c>
      <c r="FY419">
        <v>10</v>
      </c>
      <c r="GA419" t="s">
        <v>3</v>
      </c>
      <c r="GD419">
        <v>0</v>
      </c>
      <c r="GF419">
        <v>-869592219</v>
      </c>
      <c r="GG419">
        <v>2</v>
      </c>
      <c r="GH419">
        <v>1</v>
      </c>
      <c r="GI419">
        <v>-2</v>
      </c>
      <c r="GJ419">
        <v>0</v>
      </c>
      <c r="GK419">
        <f>ROUND(R419*(R12)/100,2)</f>
        <v>0</v>
      </c>
      <c r="GL419">
        <f t="shared" si="396"/>
        <v>0</v>
      </c>
      <c r="GM419">
        <f t="shared" si="397"/>
        <v>1546.7</v>
      </c>
      <c r="GN419">
        <f t="shared" si="398"/>
        <v>0</v>
      </c>
      <c r="GO419">
        <f t="shared" si="399"/>
        <v>0</v>
      </c>
      <c r="GP419">
        <f t="shared" si="400"/>
        <v>1546.7</v>
      </c>
      <c r="GR419">
        <v>0</v>
      </c>
      <c r="GS419">
        <v>3</v>
      </c>
      <c r="GT419">
        <v>0</v>
      </c>
      <c r="GU419" t="s">
        <v>3</v>
      </c>
      <c r="GV419">
        <f t="shared" si="401"/>
        <v>0</v>
      </c>
      <c r="GW419">
        <v>1</v>
      </c>
      <c r="GX419">
        <f t="shared" si="402"/>
        <v>0</v>
      </c>
      <c r="HA419">
        <v>0</v>
      </c>
      <c r="HB419">
        <v>0</v>
      </c>
      <c r="HC419">
        <f t="shared" si="403"/>
        <v>0</v>
      </c>
      <c r="HE419" t="s">
        <v>3</v>
      </c>
      <c r="HF419" t="s">
        <v>3</v>
      </c>
      <c r="HM419" t="s">
        <v>3</v>
      </c>
      <c r="HN419" t="s">
        <v>3</v>
      </c>
      <c r="HO419" t="s">
        <v>3</v>
      </c>
      <c r="HP419" t="s">
        <v>3</v>
      </c>
      <c r="HQ419" t="s">
        <v>3</v>
      </c>
      <c r="IK419">
        <v>0</v>
      </c>
    </row>
    <row r="420" spans="1:245" x14ac:dyDescent="0.2">
      <c r="A420">
        <v>18</v>
      </c>
      <c r="B420">
        <v>1</v>
      </c>
      <c r="E420" t="s">
        <v>361</v>
      </c>
      <c r="F420" t="s">
        <v>362</v>
      </c>
      <c r="G420" t="s">
        <v>363</v>
      </c>
      <c r="H420" t="s">
        <v>20</v>
      </c>
      <c r="I420">
        <f>I419*J420</f>
        <v>2</v>
      </c>
      <c r="J420">
        <v>10</v>
      </c>
      <c r="K420">
        <v>10</v>
      </c>
      <c r="O420">
        <f t="shared" si="371"/>
        <v>1479.62</v>
      </c>
      <c r="P420">
        <f t="shared" si="372"/>
        <v>1479.62</v>
      </c>
      <c r="Q420">
        <f t="shared" si="373"/>
        <v>0</v>
      </c>
      <c r="R420">
        <f t="shared" si="374"/>
        <v>0</v>
      </c>
      <c r="S420">
        <f t="shared" si="375"/>
        <v>0</v>
      </c>
      <c r="T420">
        <f t="shared" si="376"/>
        <v>0</v>
      </c>
      <c r="U420">
        <f t="shared" si="377"/>
        <v>0</v>
      </c>
      <c r="V420">
        <f t="shared" si="378"/>
        <v>0</v>
      </c>
      <c r="W420">
        <f t="shared" si="379"/>
        <v>0</v>
      </c>
      <c r="X420">
        <f t="shared" si="380"/>
        <v>0</v>
      </c>
      <c r="Y420">
        <f t="shared" si="381"/>
        <v>0</v>
      </c>
      <c r="AA420">
        <v>1472506909</v>
      </c>
      <c r="AB420">
        <f t="shared" si="382"/>
        <v>739.81</v>
      </c>
      <c r="AC420">
        <f t="shared" si="408"/>
        <v>739.81</v>
      </c>
      <c r="AD420">
        <f t="shared" si="404"/>
        <v>0</v>
      </c>
      <c r="AE420">
        <f t="shared" si="406"/>
        <v>0</v>
      </c>
      <c r="AF420">
        <f t="shared" si="409"/>
        <v>0</v>
      </c>
      <c r="AG420">
        <f t="shared" si="383"/>
        <v>0</v>
      </c>
      <c r="AH420">
        <f t="shared" si="410"/>
        <v>0</v>
      </c>
      <c r="AI420">
        <f t="shared" si="407"/>
        <v>0</v>
      </c>
      <c r="AJ420">
        <f t="shared" si="384"/>
        <v>0</v>
      </c>
      <c r="AK420">
        <v>739.81</v>
      </c>
      <c r="AL420">
        <v>739.81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70</v>
      </c>
      <c r="AU420">
        <v>10</v>
      </c>
      <c r="AV420">
        <v>1</v>
      </c>
      <c r="AW420">
        <v>1</v>
      </c>
      <c r="AZ420">
        <v>1</v>
      </c>
      <c r="BA420">
        <v>1</v>
      </c>
      <c r="BB420">
        <v>1</v>
      </c>
      <c r="BC420">
        <v>1</v>
      </c>
      <c r="BD420" t="s">
        <v>3</v>
      </c>
      <c r="BE420" t="s">
        <v>3</v>
      </c>
      <c r="BF420" t="s">
        <v>3</v>
      </c>
      <c r="BG420" t="s">
        <v>3</v>
      </c>
      <c r="BH420">
        <v>3</v>
      </c>
      <c r="BI420">
        <v>4</v>
      </c>
      <c r="BJ420" t="s">
        <v>364</v>
      </c>
      <c r="BM420">
        <v>0</v>
      </c>
      <c r="BN420">
        <v>0</v>
      </c>
      <c r="BO420" t="s">
        <v>3</v>
      </c>
      <c r="BP420">
        <v>0</v>
      </c>
      <c r="BQ420">
        <v>1</v>
      </c>
      <c r="BR420">
        <v>0</v>
      </c>
      <c r="BS420">
        <v>1</v>
      </c>
      <c r="BT420">
        <v>1</v>
      </c>
      <c r="BU420">
        <v>1</v>
      </c>
      <c r="BV420">
        <v>1</v>
      </c>
      <c r="BW420">
        <v>1</v>
      </c>
      <c r="BX420">
        <v>1</v>
      </c>
      <c r="BY420" t="s">
        <v>3</v>
      </c>
      <c r="BZ420">
        <v>70</v>
      </c>
      <c r="CA420">
        <v>10</v>
      </c>
      <c r="CB420" t="s">
        <v>3</v>
      </c>
      <c r="CE420">
        <v>0</v>
      </c>
      <c r="CF420">
        <v>0</v>
      </c>
      <c r="CG420">
        <v>0</v>
      </c>
      <c r="CM420">
        <v>0</v>
      </c>
      <c r="CN420" t="s">
        <v>3</v>
      </c>
      <c r="CO420">
        <v>0</v>
      </c>
      <c r="CP420">
        <f t="shared" si="385"/>
        <v>1479.62</v>
      </c>
      <c r="CQ420">
        <f t="shared" si="386"/>
        <v>739.81</v>
      </c>
      <c r="CR420">
        <f t="shared" si="405"/>
        <v>0</v>
      </c>
      <c r="CS420">
        <f t="shared" si="387"/>
        <v>0</v>
      </c>
      <c r="CT420">
        <f t="shared" si="388"/>
        <v>0</v>
      </c>
      <c r="CU420">
        <f t="shared" si="389"/>
        <v>0</v>
      </c>
      <c r="CV420">
        <f t="shared" si="390"/>
        <v>0</v>
      </c>
      <c r="CW420">
        <f t="shared" si="391"/>
        <v>0</v>
      </c>
      <c r="CX420">
        <f t="shared" si="392"/>
        <v>0</v>
      </c>
      <c r="CY420">
        <f t="shared" si="393"/>
        <v>0</v>
      </c>
      <c r="CZ420">
        <f t="shared" si="394"/>
        <v>0</v>
      </c>
      <c r="DC420" t="s">
        <v>3</v>
      </c>
      <c r="DD420" t="s">
        <v>3</v>
      </c>
      <c r="DE420" t="s">
        <v>3</v>
      </c>
      <c r="DF420" t="s">
        <v>3</v>
      </c>
      <c r="DG420" t="s">
        <v>3</v>
      </c>
      <c r="DH420" t="s">
        <v>3</v>
      </c>
      <c r="DI420" t="s">
        <v>3</v>
      </c>
      <c r="DJ420" t="s">
        <v>3</v>
      </c>
      <c r="DK420" t="s">
        <v>3</v>
      </c>
      <c r="DL420" t="s">
        <v>3</v>
      </c>
      <c r="DM420" t="s">
        <v>3</v>
      </c>
      <c r="DN420">
        <v>0</v>
      </c>
      <c r="DO420">
        <v>0</v>
      </c>
      <c r="DP420">
        <v>1</v>
      </c>
      <c r="DQ420">
        <v>1</v>
      </c>
      <c r="DU420">
        <v>16987630</v>
      </c>
      <c r="DV420" t="s">
        <v>20</v>
      </c>
      <c r="DW420" t="s">
        <v>20</v>
      </c>
      <c r="DX420">
        <v>1</v>
      </c>
      <c r="DZ420" t="s">
        <v>3</v>
      </c>
      <c r="EA420" t="s">
        <v>3</v>
      </c>
      <c r="EB420" t="s">
        <v>3</v>
      </c>
      <c r="EC420" t="s">
        <v>3</v>
      </c>
      <c r="EE420">
        <v>1441815344</v>
      </c>
      <c r="EF420">
        <v>1</v>
      </c>
      <c r="EG420" t="s">
        <v>22</v>
      </c>
      <c r="EH420">
        <v>0</v>
      </c>
      <c r="EI420" t="s">
        <v>3</v>
      </c>
      <c r="EJ420">
        <v>4</v>
      </c>
      <c r="EK420">
        <v>0</v>
      </c>
      <c r="EL420" t="s">
        <v>23</v>
      </c>
      <c r="EM420" t="s">
        <v>24</v>
      </c>
      <c r="EO420" t="s">
        <v>3</v>
      </c>
      <c r="EQ420">
        <v>0</v>
      </c>
      <c r="ER420">
        <v>739.81</v>
      </c>
      <c r="ES420">
        <v>739.81</v>
      </c>
      <c r="ET420">
        <v>0</v>
      </c>
      <c r="EU420">
        <v>0</v>
      </c>
      <c r="EV420">
        <v>0</v>
      </c>
      <c r="EW420">
        <v>0</v>
      </c>
      <c r="EX420">
        <v>0</v>
      </c>
      <c r="FQ420">
        <v>0</v>
      </c>
      <c r="FR420">
        <f t="shared" si="395"/>
        <v>0</v>
      </c>
      <c r="FS420">
        <v>0</v>
      </c>
      <c r="FX420">
        <v>70</v>
      </c>
      <c r="FY420">
        <v>10</v>
      </c>
      <c r="GA420" t="s">
        <v>3</v>
      </c>
      <c r="GD420">
        <v>0</v>
      </c>
      <c r="GF420">
        <v>320879687</v>
      </c>
      <c r="GG420">
        <v>2</v>
      </c>
      <c r="GH420">
        <v>1</v>
      </c>
      <c r="GI420">
        <v>-2</v>
      </c>
      <c r="GJ420">
        <v>0</v>
      </c>
      <c r="GK420">
        <f>ROUND(R420*(R12)/100,2)</f>
        <v>0</v>
      </c>
      <c r="GL420">
        <f t="shared" si="396"/>
        <v>0</v>
      </c>
      <c r="GM420">
        <f t="shared" si="397"/>
        <v>1479.62</v>
      </c>
      <c r="GN420">
        <f t="shared" si="398"/>
        <v>0</v>
      </c>
      <c r="GO420">
        <f t="shared" si="399"/>
        <v>0</v>
      </c>
      <c r="GP420">
        <f t="shared" si="400"/>
        <v>1479.62</v>
      </c>
      <c r="GR420">
        <v>0</v>
      </c>
      <c r="GS420">
        <v>3</v>
      </c>
      <c r="GT420">
        <v>0</v>
      </c>
      <c r="GU420" t="s">
        <v>3</v>
      </c>
      <c r="GV420">
        <f t="shared" si="401"/>
        <v>0</v>
      </c>
      <c r="GW420">
        <v>1</v>
      </c>
      <c r="GX420">
        <f t="shared" si="402"/>
        <v>0</v>
      </c>
      <c r="HA420">
        <v>0</v>
      </c>
      <c r="HB420">
        <v>0</v>
      </c>
      <c r="HC420">
        <f t="shared" si="403"/>
        <v>0</v>
      </c>
      <c r="HE420" t="s">
        <v>3</v>
      </c>
      <c r="HF420" t="s">
        <v>3</v>
      </c>
      <c r="HM420" t="s">
        <v>3</v>
      </c>
      <c r="HN420" t="s">
        <v>3</v>
      </c>
      <c r="HO420" t="s">
        <v>3</v>
      </c>
      <c r="HP420" t="s">
        <v>3</v>
      </c>
      <c r="HQ420" t="s">
        <v>3</v>
      </c>
      <c r="IK420">
        <v>0</v>
      </c>
    </row>
    <row r="421" spans="1:245" x14ac:dyDescent="0.2">
      <c r="A421">
        <v>17</v>
      </c>
      <c r="B421">
        <v>1</v>
      </c>
      <c r="D421">
        <f>ROW(EtalonRes!A211)</f>
        <v>211</v>
      </c>
      <c r="E421" t="s">
        <v>3</v>
      </c>
      <c r="F421" t="s">
        <v>225</v>
      </c>
      <c r="G421" t="s">
        <v>226</v>
      </c>
      <c r="H421" t="s">
        <v>20</v>
      </c>
      <c r="I421">
        <f>ROUND(4+8,9)</f>
        <v>12</v>
      </c>
      <c r="J421">
        <v>0</v>
      </c>
      <c r="K421">
        <f>ROUND(4+8,9)</f>
        <v>12</v>
      </c>
      <c r="O421">
        <f t="shared" si="371"/>
        <v>8669.52</v>
      </c>
      <c r="P421">
        <f t="shared" si="372"/>
        <v>0</v>
      </c>
      <c r="Q421">
        <f t="shared" si="373"/>
        <v>0</v>
      </c>
      <c r="R421">
        <f t="shared" si="374"/>
        <v>0</v>
      </c>
      <c r="S421">
        <f t="shared" si="375"/>
        <v>8669.52</v>
      </c>
      <c r="T421">
        <f t="shared" si="376"/>
        <v>0</v>
      </c>
      <c r="U421">
        <f t="shared" si="377"/>
        <v>14.04</v>
      </c>
      <c r="V421">
        <f t="shared" si="378"/>
        <v>0</v>
      </c>
      <c r="W421">
        <f t="shared" si="379"/>
        <v>0</v>
      </c>
      <c r="X421">
        <f t="shared" si="380"/>
        <v>6068.66</v>
      </c>
      <c r="Y421">
        <f t="shared" si="381"/>
        <v>866.95</v>
      </c>
      <c r="AA421">
        <v>-1</v>
      </c>
      <c r="AB421">
        <f t="shared" si="382"/>
        <v>722.46</v>
      </c>
      <c r="AC421">
        <f t="shared" si="408"/>
        <v>0</v>
      </c>
      <c r="AD421">
        <f t="shared" si="404"/>
        <v>0</v>
      </c>
      <c r="AE421">
        <f t="shared" si="406"/>
        <v>0</v>
      </c>
      <c r="AF421">
        <f t="shared" si="409"/>
        <v>722.46</v>
      </c>
      <c r="AG421">
        <f t="shared" si="383"/>
        <v>0</v>
      </c>
      <c r="AH421">
        <f t="shared" si="410"/>
        <v>1.17</v>
      </c>
      <c r="AI421">
        <f t="shared" si="407"/>
        <v>0</v>
      </c>
      <c r="AJ421">
        <f t="shared" si="384"/>
        <v>0</v>
      </c>
      <c r="AK421">
        <v>722.46</v>
      </c>
      <c r="AL421">
        <v>0</v>
      </c>
      <c r="AM421">
        <v>0</v>
      </c>
      <c r="AN421">
        <v>0</v>
      </c>
      <c r="AO421">
        <v>722.46</v>
      </c>
      <c r="AP421">
        <v>0</v>
      </c>
      <c r="AQ421">
        <v>1.17</v>
      </c>
      <c r="AR421">
        <v>0</v>
      </c>
      <c r="AS421">
        <v>0</v>
      </c>
      <c r="AT421">
        <v>70</v>
      </c>
      <c r="AU421">
        <v>10</v>
      </c>
      <c r="AV421">
        <v>1</v>
      </c>
      <c r="AW421">
        <v>1</v>
      </c>
      <c r="AZ421">
        <v>1</v>
      </c>
      <c r="BA421">
        <v>1</v>
      </c>
      <c r="BB421">
        <v>1</v>
      </c>
      <c r="BC421">
        <v>1</v>
      </c>
      <c r="BD421" t="s">
        <v>3</v>
      </c>
      <c r="BE421" t="s">
        <v>3</v>
      </c>
      <c r="BF421" t="s">
        <v>3</v>
      </c>
      <c r="BG421" t="s">
        <v>3</v>
      </c>
      <c r="BH421">
        <v>0</v>
      </c>
      <c r="BI421">
        <v>4</v>
      </c>
      <c r="BJ421" t="s">
        <v>227</v>
      </c>
      <c r="BM421">
        <v>0</v>
      </c>
      <c r="BN421">
        <v>0</v>
      </c>
      <c r="BO421" t="s">
        <v>3</v>
      </c>
      <c r="BP421">
        <v>0</v>
      </c>
      <c r="BQ421">
        <v>1</v>
      </c>
      <c r="BR421">
        <v>0</v>
      </c>
      <c r="BS421">
        <v>1</v>
      </c>
      <c r="BT421">
        <v>1</v>
      </c>
      <c r="BU421">
        <v>1</v>
      </c>
      <c r="BV421">
        <v>1</v>
      </c>
      <c r="BW421">
        <v>1</v>
      </c>
      <c r="BX421">
        <v>1</v>
      </c>
      <c r="BY421" t="s">
        <v>3</v>
      </c>
      <c r="BZ421">
        <v>70</v>
      </c>
      <c r="CA421">
        <v>10</v>
      </c>
      <c r="CB421" t="s">
        <v>3</v>
      </c>
      <c r="CE421">
        <v>0</v>
      </c>
      <c r="CF421">
        <v>0</v>
      </c>
      <c r="CG421">
        <v>0</v>
      </c>
      <c r="CM421">
        <v>0</v>
      </c>
      <c r="CN421" t="s">
        <v>3</v>
      </c>
      <c r="CO421">
        <v>0</v>
      </c>
      <c r="CP421">
        <f t="shared" si="385"/>
        <v>8669.52</v>
      </c>
      <c r="CQ421">
        <f t="shared" si="386"/>
        <v>0</v>
      </c>
      <c r="CR421">
        <f t="shared" si="405"/>
        <v>0</v>
      </c>
      <c r="CS421">
        <f t="shared" si="387"/>
        <v>0</v>
      </c>
      <c r="CT421">
        <f t="shared" si="388"/>
        <v>722.46</v>
      </c>
      <c r="CU421">
        <f t="shared" si="389"/>
        <v>0</v>
      </c>
      <c r="CV421">
        <f t="shared" si="390"/>
        <v>1.17</v>
      </c>
      <c r="CW421">
        <f t="shared" si="391"/>
        <v>0</v>
      </c>
      <c r="CX421">
        <f t="shared" si="392"/>
        <v>0</v>
      </c>
      <c r="CY421">
        <f t="shared" si="393"/>
        <v>6068.6640000000007</v>
      </c>
      <c r="CZ421">
        <f t="shared" si="394"/>
        <v>866.95200000000011</v>
      </c>
      <c r="DC421" t="s">
        <v>3</v>
      </c>
      <c r="DD421" t="s">
        <v>3</v>
      </c>
      <c r="DE421" t="s">
        <v>3</v>
      </c>
      <c r="DF421" t="s">
        <v>3</v>
      </c>
      <c r="DG421" t="s">
        <v>3</v>
      </c>
      <c r="DH421" t="s">
        <v>3</v>
      </c>
      <c r="DI421" t="s">
        <v>3</v>
      </c>
      <c r="DJ421" t="s">
        <v>3</v>
      </c>
      <c r="DK421" t="s">
        <v>3</v>
      </c>
      <c r="DL421" t="s">
        <v>3</v>
      </c>
      <c r="DM421" t="s">
        <v>3</v>
      </c>
      <c r="DN421">
        <v>0</v>
      </c>
      <c r="DO421">
        <v>0</v>
      </c>
      <c r="DP421">
        <v>1</v>
      </c>
      <c r="DQ421">
        <v>1</v>
      </c>
      <c r="DU421">
        <v>16987630</v>
      </c>
      <c r="DV421" t="s">
        <v>20</v>
      </c>
      <c r="DW421" t="s">
        <v>20</v>
      </c>
      <c r="DX421">
        <v>1</v>
      </c>
      <c r="DZ421" t="s">
        <v>3</v>
      </c>
      <c r="EA421" t="s">
        <v>3</v>
      </c>
      <c r="EB421" t="s">
        <v>3</v>
      </c>
      <c r="EC421" t="s">
        <v>3</v>
      </c>
      <c r="EE421">
        <v>1441815344</v>
      </c>
      <c r="EF421">
        <v>1</v>
      </c>
      <c r="EG421" t="s">
        <v>22</v>
      </c>
      <c r="EH421">
        <v>0</v>
      </c>
      <c r="EI421" t="s">
        <v>3</v>
      </c>
      <c r="EJ421">
        <v>4</v>
      </c>
      <c r="EK421">
        <v>0</v>
      </c>
      <c r="EL421" t="s">
        <v>23</v>
      </c>
      <c r="EM421" t="s">
        <v>24</v>
      </c>
      <c r="EO421" t="s">
        <v>3</v>
      </c>
      <c r="EQ421">
        <v>1024</v>
      </c>
      <c r="ER421">
        <v>722.46</v>
      </c>
      <c r="ES421">
        <v>0</v>
      </c>
      <c r="ET421">
        <v>0</v>
      </c>
      <c r="EU421">
        <v>0</v>
      </c>
      <c r="EV421">
        <v>722.46</v>
      </c>
      <c r="EW421">
        <v>1.17</v>
      </c>
      <c r="EX421">
        <v>0</v>
      </c>
      <c r="EY421">
        <v>0</v>
      </c>
      <c r="FQ421">
        <v>0</v>
      </c>
      <c r="FR421">
        <f t="shared" si="395"/>
        <v>0</v>
      </c>
      <c r="FS421">
        <v>0</v>
      </c>
      <c r="FX421">
        <v>70</v>
      </c>
      <c r="FY421">
        <v>10</v>
      </c>
      <c r="GA421" t="s">
        <v>3</v>
      </c>
      <c r="GD421">
        <v>0</v>
      </c>
      <c r="GF421">
        <v>1164262949</v>
      </c>
      <c r="GG421">
        <v>2</v>
      </c>
      <c r="GH421">
        <v>1</v>
      </c>
      <c r="GI421">
        <v>-2</v>
      </c>
      <c r="GJ421">
        <v>0</v>
      </c>
      <c r="GK421">
        <f>ROUND(R421*(R12)/100,2)</f>
        <v>0</v>
      </c>
      <c r="GL421">
        <f t="shared" si="396"/>
        <v>0</v>
      </c>
      <c r="GM421">
        <f t="shared" si="397"/>
        <v>15605.13</v>
      </c>
      <c r="GN421">
        <f t="shared" si="398"/>
        <v>0</v>
      </c>
      <c r="GO421">
        <f t="shared" si="399"/>
        <v>0</v>
      </c>
      <c r="GP421">
        <f t="shared" si="400"/>
        <v>15605.13</v>
      </c>
      <c r="GR421">
        <v>0</v>
      </c>
      <c r="GS421">
        <v>3</v>
      </c>
      <c r="GT421">
        <v>0</v>
      </c>
      <c r="GU421" t="s">
        <v>3</v>
      </c>
      <c r="GV421">
        <f t="shared" si="401"/>
        <v>0</v>
      </c>
      <c r="GW421">
        <v>1</v>
      </c>
      <c r="GX421">
        <f t="shared" si="402"/>
        <v>0</v>
      </c>
      <c r="HA421">
        <v>0</v>
      </c>
      <c r="HB421">
        <v>0</v>
      </c>
      <c r="HC421">
        <f t="shared" si="403"/>
        <v>0</v>
      </c>
      <c r="HE421" t="s">
        <v>3</v>
      </c>
      <c r="HF421" t="s">
        <v>3</v>
      </c>
      <c r="HM421" t="s">
        <v>3</v>
      </c>
      <c r="HN421" t="s">
        <v>3</v>
      </c>
      <c r="HO421" t="s">
        <v>3</v>
      </c>
      <c r="HP421" t="s">
        <v>3</v>
      </c>
      <c r="HQ421" t="s">
        <v>3</v>
      </c>
      <c r="IK421">
        <v>0</v>
      </c>
    </row>
    <row r="422" spans="1:245" x14ac:dyDescent="0.2">
      <c r="A422">
        <v>17</v>
      </c>
      <c r="B422">
        <v>1</v>
      </c>
      <c r="E422" t="s">
        <v>3</v>
      </c>
      <c r="F422" t="s">
        <v>187</v>
      </c>
      <c r="G422" t="s">
        <v>228</v>
      </c>
      <c r="H422" t="s">
        <v>189</v>
      </c>
      <c r="I422">
        <v>12</v>
      </c>
      <c r="J422">
        <v>0</v>
      </c>
      <c r="K422">
        <v>12</v>
      </c>
      <c r="O422">
        <f t="shared" si="371"/>
        <v>2160</v>
      </c>
      <c r="P422">
        <f t="shared" si="372"/>
        <v>2160</v>
      </c>
      <c r="Q422">
        <f t="shared" si="373"/>
        <v>0</v>
      </c>
      <c r="R422">
        <f t="shared" si="374"/>
        <v>0</v>
      </c>
      <c r="S422">
        <f t="shared" si="375"/>
        <v>0</v>
      </c>
      <c r="T422">
        <f t="shared" si="376"/>
        <v>0</v>
      </c>
      <c r="U422">
        <f t="shared" si="377"/>
        <v>0</v>
      </c>
      <c r="V422">
        <f t="shared" si="378"/>
        <v>0</v>
      </c>
      <c r="W422">
        <f t="shared" si="379"/>
        <v>0</v>
      </c>
      <c r="X422">
        <f t="shared" si="380"/>
        <v>0</v>
      </c>
      <c r="Y422">
        <f t="shared" si="381"/>
        <v>0</v>
      </c>
      <c r="AA422">
        <v>-1</v>
      </c>
      <c r="AB422">
        <f t="shared" si="382"/>
        <v>180</v>
      </c>
      <c r="AC422">
        <f t="shared" si="408"/>
        <v>180</v>
      </c>
      <c r="AD422">
        <f>ROUND((ET422),6)</f>
        <v>0</v>
      </c>
      <c r="AE422">
        <f t="shared" si="406"/>
        <v>0</v>
      </c>
      <c r="AF422">
        <f t="shared" si="409"/>
        <v>0</v>
      </c>
      <c r="AG422">
        <f t="shared" si="383"/>
        <v>0</v>
      </c>
      <c r="AH422">
        <f t="shared" si="410"/>
        <v>0</v>
      </c>
      <c r="AI422">
        <f t="shared" si="407"/>
        <v>0</v>
      </c>
      <c r="AJ422">
        <f t="shared" si="384"/>
        <v>0</v>
      </c>
      <c r="AK422">
        <v>180</v>
      </c>
      <c r="AL422">
        <v>180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1</v>
      </c>
      <c r="AW422">
        <v>1</v>
      </c>
      <c r="AZ422">
        <v>1</v>
      </c>
      <c r="BA422">
        <v>1</v>
      </c>
      <c r="BB422">
        <v>1</v>
      </c>
      <c r="BC422">
        <v>1</v>
      </c>
      <c r="BD422" t="s">
        <v>3</v>
      </c>
      <c r="BE422" t="s">
        <v>3</v>
      </c>
      <c r="BF422" t="s">
        <v>3</v>
      </c>
      <c r="BG422" t="s">
        <v>3</v>
      </c>
      <c r="BH422">
        <v>3</v>
      </c>
      <c r="BI422">
        <v>0</v>
      </c>
      <c r="BJ422" t="s">
        <v>3</v>
      </c>
      <c r="BM422">
        <v>356</v>
      </c>
      <c r="BN422">
        <v>0</v>
      </c>
      <c r="BO422" t="s">
        <v>3</v>
      </c>
      <c r="BP422">
        <v>0</v>
      </c>
      <c r="BQ422">
        <v>0</v>
      </c>
      <c r="BR422">
        <v>0</v>
      </c>
      <c r="BS422">
        <v>1</v>
      </c>
      <c r="BT422">
        <v>1</v>
      </c>
      <c r="BU422">
        <v>1</v>
      </c>
      <c r="BV422">
        <v>1</v>
      </c>
      <c r="BW422">
        <v>1</v>
      </c>
      <c r="BX422">
        <v>1</v>
      </c>
      <c r="BY422" t="s">
        <v>3</v>
      </c>
      <c r="BZ422">
        <v>0</v>
      </c>
      <c r="CA422">
        <v>0</v>
      </c>
      <c r="CB422" t="s">
        <v>3</v>
      </c>
      <c r="CE422">
        <v>0</v>
      </c>
      <c r="CF422">
        <v>0</v>
      </c>
      <c r="CG422">
        <v>0</v>
      </c>
      <c r="CM422">
        <v>0</v>
      </c>
      <c r="CN422" t="s">
        <v>3</v>
      </c>
      <c r="CO422">
        <v>0</v>
      </c>
      <c r="CP422">
        <f t="shared" si="385"/>
        <v>2160</v>
      </c>
      <c r="CQ422">
        <f>AC422*BC422</f>
        <v>180</v>
      </c>
      <c r="CR422">
        <f>AD422*BB422</f>
        <v>0</v>
      </c>
      <c r="CS422">
        <f>AE422*BS422</f>
        <v>0</v>
      </c>
      <c r="CT422">
        <f>AF422*BA422</f>
        <v>0</v>
      </c>
      <c r="CU422">
        <f t="shared" si="389"/>
        <v>0</v>
      </c>
      <c r="CV422">
        <f>AH422</f>
        <v>0</v>
      </c>
      <c r="CW422">
        <f t="shared" si="391"/>
        <v>0</v>
      </c>
      <c r="CX422">
        <f t="shared" si="392"/>
        <v>0</v>
      </c>
      <c r="CY422">
        <f>0</f>
        <v>0</v>
      </c>
      <c r="CZ422">
        <f>0</f>
        <v>0</v>
      </c>
      <c r="DC422" t="s">
        <v>3</v>
      </c>
      <c r="DD422" t="s">
        <v>3</v>
      </c>
      <c r="DE422" t="s">
        <v>3</v>
      </c>
      <c r="DF422" t="s">
        <v>3</v>
      </c>
      <c r="DG422" t="s">
        <v>3</v>
      </c>
      <c r="DH422" t="s">
        <v>3</v>
      </c>
      <c r="DI422" t="s">
        <v>3</v>
      </c>
      <c r="DJ422" t="s">
        <v>3</v>
      </c>
      <c r="DK422" t="s">
        <v>3</v>
      </c>
      <c r="DL422" t="s">
        <v>3</v>
      </c>
      <c r="DM422" t="s">
        <v>3</v>
      </c>
      <c r="DN422">
        <v>0</v>
      </c>
      <c r="DO422">
        <v>0</v>
      </c>
      <c r="DP422">
        <v>1</v>
      </c>
      <c r="DQ422">
        <v>1</v>
      </c>
      <c r="DU422">
        <v>1013</v>
      </c>
      <c r="DV422" t="s">
        <v>189</v>
      </c>
      <c r="DW422" t="s">
        <v>189</v>
      </c>
      <c r="DX422">
        <v>7.0999999999999994E-2</v>
      </c>
      <c r="DZ422" t="s">
        <v>3</v>
      </c>
      <c r="EA422" t="s">
        <v>3</v>
      </c>
      <c r="EB422" t="s">
        <v>3</v>
      </c>
      <c r="EC422" t="s">
        <v>3</v>
      </c>
      <c r="EE422">
        <v>0</v>
      </c>
      <c r="EF422">
        <v>0</v>
      </c>
      <c r="EG422" t="s">
        <v>3</v>
      </c>
      <c r="EH422">
        <v>0</v>
      </c>
      <c r="EI422" t="s">
        <v>3</v>
      </c>
      <c r="EJ422">
        <v>0</v>
      </c>
      <c r="EK422">
        <v>356</v>
      </c>
      <c r="EL422" t="s">
        <v>3</v>
      </c>
      <c r="EM422" t="s">
        <v>3</v>
      </c>
      <c r="EO422" t="s">
        <v>3</v>
      </c>
      <c r="EQ422">
        <v>1024</v>
      </c>
      <c r="ER422">
        <v>180</v>
      </c>
      <c r="ES422">
        <v>180</v>
      </c>
      <c r="ET422">
        <v>0</v>
      </c>
      <c r="EU422">
        <v>0</v>
      </c>
      <c r="EV422">
        <v>0</v>
      </c>
      <c r="EW422">
        <v>0</v>
      </c>
      <c r="EX422">
        <v>0</v>
      </c>
      <c r="EY422">
        <v>0</v>
      </c>
      <c r="FQ422">
        <v>2160</v>
      </c>
      <c r="FR422">
        <f t="shared" si="395"/>
        <v>0</v>
      </c>
      <c r="FS422">
        <v>1</v>
      </c>
      <c r="FX422">
        <v>0</v>
      </c>
      <c r="FY422">
        <v>0</v>
      </c>
      <c r="GA422" t="s">
        <v>3</v>
      </c>
      <c r="GD422">
        <v>0</v>
      </c>
      <c r="GF422">
        <v>-54322067</v>
      </c>
      <c r="GG422">
        <v>2</v>
      </c>
      <c r="GH422">
        <v>0</v>
      </c>
      <c r="GI422">
        <v>-2</v>
      </c>
      <c r="GJ422">
        <v>0</v>
      </c>
      <c r="GK422">
        <f>ROUND(R422*(R12)/100,2)</f>
        <v>0</v>
      </c>
      <c r="GL422">
        <f t="shared" si="396"/>
        <v>0</v>
      </c>
      <c r="GM422">
        <f t="shared" si="397"/>
        <v>2160</v>
      </c>
      <c r="GN422">
        <f t="shared" si="398"/>
        <v>2160</v>
      </c>
      <c r="GO422">
        <f t="shared" si="399"/>
        <v>0</v>
      </c>
      <c r="GP422">
        <f t="shared" si="400"/>
        <v>0</v>
      </c>
      <c r="GR422">
        <v>0</v>
      </c>
      <c r="GS422">
        <v>0</v>
      </c>
      <c r="GT422">
        <v>0</v>
      </c>
      <c r="GU422" t="s">
        <v>3</v>
      </c>
      <c r="GV422">
        <f t="shared" si="401"/>
        <v>0</v>
      </c>
      <c r="GW422">
        <v>1</v>
      </c>
      <c r="GX422">
        <f t="shared" si="402"/>
        <v>0</v>
      </c>
      <c r="HA422">
        <v>0</v>
      </c>
      <c r="HB422">
        <v>0</v>
      </c>
      <c r="HC422">
        <f t="shared" si="403"/>
        <v>0</v>
      </c>
      <c r="HE422" t="s">
        <v>3</v>
      </c>
      <c r="HF422" t="s">
        <v>3</v>
      </c>
      <c r="HM422" t="s">
        <v>3</v>
      </c>
      <c r="HN422" t="s">
        <v>3</v>
      </c>
      <c r="HO422" t="s">
        <v>3</v>
      </c>
      <c r="HP422" t="s">
        <v>3</v>
      </c>
      <c r="HQ422" t="s">
        <v>3</v>
      </c>
      <c r="IK422">
        <v>0</v>
      </c>
    </row>
    <row r="423" spans="1:245" x14ac:dyDescent="0.2">
      <c r="A423">
        <v>17</v>
      </c>
      <c r="B423">
        <v>1</v>
      </c>
      <c r="D423">
        <f>ROW(EtalonRes!A213)</f>
        <v>213</v>
      </c>
      <c r="E423" t="s">
        <v>3</v>
      </c>
      <c r="F423" t="s">
        <v>331</v>
      </c>
      <c r="G423" t="s">
        <v>332</v>
      </c>
      <c r="H423" t="s">
        <v>94</v>
      </c>
      <c r="I423">
        <f>ROUND(8/10,9)</f>
        <v>0.8</v>
      </c>
      <c r="J423">
        <v>0</v>
      </c>
      <c r="K423">
        <f>ROUND(8/10,9)</f>
        <v>0.8</v>
      </c>
      <c r="O423">
        <f t="shared" si="371"/>
        <v>444.84</v>
      </c>
      <c r="P423">
        <f t="shared" si="372"/>
        <v>0.25</v>
      </c>
      <c r="Q423">
        <f t="shared" si="373"/>
        <v>0</v>
      </c>
      <c r="R423">
        <f t="shared" si="374"/>
        <v>0</v>
      </c>
      <c r="S423">
        <f t="shared" si="375"/>
        <v>444.59</v>
      </c>
      <c r="T423">
        <f t="shared" si="376"/>
        <v>0</v>
      </c>
      <c r="U423">
        <f t="shared" si="377"/>
        <v>0.72000000000000008</v>
      </c>
      <c r="V423">
        <f t="shared" si="378"/>
        <v>0</v>
      </c>
      <c r="W423">
        <f t="shared" si="379"/>
        <v>0</v>
      </c>
      <c r="X423">
        <f t="shared" si="380"/>
        <v>311.20999999999998</v>
      </c>
      <c r="Y423">
        <f t="shared" si="381"/>
        <v>44.46</v>
      </c>
      <c r="AA423">
        <v>-1</v>
      </c>
      <c r="AB423">
        <f t="shared" si="382"/>
        <v>556.04999999999995</v>
      </c>
      <c r="AC423">
        <f t="shared" si="408"/>
        <v>0.31</v>
      </c>
      <c r="AD423">
        <f>ROUND((((ET423)-(EU423))+AE423),6)</f>
        <v>0</v>
      </c>
      <c r="AE423">
        <f t="shared" si="406"/>
        <v>0</v>
      </c>
      <c r="AF423">
        <f t="shared" si="409"/>
        <v>555.74</v>
      </c>
      <c r="AG423">
        <f t="shared" si="383"/>
        <v>0</v>
      </c>
      <c r="AH423">
        <f t="shared" si="410"/>
        <v>0.9</v>
      </c>
      <c r="AI423">
        <f t="shared" si="407"/>
        <v>0</v>
      </c>
      <c r="AJ423">
        <f t="shared" si="384"/>
        <v>0</v>
      </c>
      <c r="AK423">
        <v>556.04999999999995</v>
      </c>
      <c r="AL423">
        <v>0.31</v>
      </c>
      <c r="AM423">
        <v>0</v>
      </c>
      <c r="AN423">
        <v>0</v>
      </c>
      <c r="AO423">
        <v>555.74</v>
      </c>
      <c r="AP423">
        <v>0</v>
      </c>
      <c r="AQ423">
        <v>0.9</v>
      </c>
      <c r="AR423">
        <v>0</v>
      </c>
      <c r="AS423">
        <v>0</v>
      </c>
      <c r="AT423">
        <v>70</v>
      </c>
      <c r="AU423">
        <v>10</v>
      </c>
      <c r="AV423">
        <v>1</v>
      </c>
      <c r="AW423">
        <v>1</v>
      </c>
      <c r="AZ423">
        <v>1</v>
      </c>
      <c r="BA423">
        <v>1</v>
      </c>
      <c r="BB423">
        <v>1</v>
      </c>
      <c r="BC423">
        <v>1</v>
      </c>
      <c r="BD423" t="s">
        <v>3</v>
      </c>
      <c r="BE423" t="s">
        <v>3</v>
      </c>
      <c r="BF423" t="s">
        <v>3</v>
      </c>
      <c r="BG423" t="s">
        <v>3</v>
      </c>
      <c r="BH423">
        <v>0</v>
      </c>
      <c r="BI423">
        <v>4</v>
      </c>
      <c r="BJ423" t="s">
        <v>333</v>
      </c>
      <c r="BM423">
        <v>0</v>
      </c>
      <c r="BN423">
        <v>0</v>
      </c>
      <c r="BO423" t="s">
        <v>3</v>
      </c>
      <c r="BP423">
        <v>0</v>
      </c>
      <c r="BQ423">
        <v>1</v>
      </c>
      <c r="BR423">
        <v>0</v>
      </c>
      <c r="BS423">
        <v>1</v>
      </c>
      <c r="BT423">
        <v>1</v>
      </c>
      <c r="BU423">
        <v>1</v>
      </c>
      <c r="BV423">
        <v>1</v>
      </c>
      <c r="BW423">
        <v>1</v>
      </c>
      <c r="BX423">
        <v>1</v>
      </c>
      <c r="BY423" t="s">
        <v>3</v>
      </c>
      <c r="BZ423">
        <v>70</v>
      </c>
      <c r="CA423">
        <v>10</v>
      </c>
      <c r="CB423" t="s">
        <v>3</v>
      </c>
      <c r="CE423">
        <v>0</v>
      </c>
      <c r="CF423">
        <v>0</v>
      </c>
      <c r="CG423">
        <v>0</v>
      </c>
      <c r="CM423">
        <v>0</v>
      </c>
      <c r="CN423" t="s">
        <v>3</v>
      </c>
      <c r="CO423">
        <v>0</v>
      </c>
      <c r="CP423">
        <f t="shared" si="385"/>
        <v>444.84</v>
      </c>
      <c r="CQ423">
        <f>(AC423*BC423*AW423)</f>
        <v>0.31</v>
      </c>
      <c r="CR423">
        <f>((((ET423)*BB423-(EU423)*BS423)+AE423*BS423)*AV423)</f>
        <v>0</v>
      </c>
      <c r="CS423">
        <f>(AE423*BS423*AV423)</f>
        <v>0</v>
      </c>
      <c r="CT423">
        <f>(AF423*BA423*AV423)</f>
        <v>555.74</v>
      </c>
      <c r="CU423">
        <f t="shared" si="389"/>
        <v>0</v>
      </c>
      <c r="CV423">
        <f>(AH423*AV423)</f>
        <v>0.9</v>
      </c>
      <c r="CW423">
        <f t="shared" si="391"/>
        <v>0</v>
      </c>
      <c r="CX423">
        <f t="shared" si="392"/>
        <v>0</v>
      </c>
      <c r="CY423">
        <f>((S423*BZ423)/100)</f>
        <v>311.21299999999997</v>
      </c>
      <c r="CZ423">
        <f>((S423*CA423)/100)</f>
        <v>44.458999999999996</v>
      </c>
      <c r="DC423" t="s">
        <v>3</v>
      </c>
      <c r="DD423" t="s">
        <v>3</v>
      </c>
      <c r="DE423" t="s">
        <v>3</v>
      </c>
      <c r="DF423" t="s">
        <v>3</v>
      </c>
      <c r="DG423" t="s">
        <v>3</v>
      </c>
      <c r="DH423" t="s">
        <v>3</v>
      </c>
      <c r="DI423" t="s">
        <v>3</v>
      </c>
      <c r="DJ423" t="s">
        <v>3</v>
      </c>
      <c r="DK423" t="s">
        <v>3</v>
      </c>
      <c r="DL423" t="s">
        <v>3</v>
      </c>
      <c r="DM423" t="s">
        <v>3</v>
      </c>
      <c r="DN423">
        <v>0</v>
      </c>
      <c r="DO423">
        <v>0</v>
      </c>
      <c r="DP423">
        <v>1</v>
      </c>
      <c r="DQ423">
        <v>1</v>
      </c>
      <c r="DU423">
        <v>16987630</v>
      </c>
      <c r="DV423" t="s">
        <v>94</v>
      </c>
      <c r="DW423" t="s">
        <v>94</v>
      </c>
      <c r="DX423">
        <v>10</v>
      </c>
      <c r="DZ423" t="s">
        <v>3</v>
      </c>
      <c r="EA423" t="s">
        <v>3</v>
      </c>
      <c r="EB423" t="s">
        <v>3</v>
      </c>
      <c r="EC423" t="s">
        <v>3</v>
      </c>
      <c r="EE423">
        <v>1441815344</v>
      </c>
      <c r="EF423">
        <v>1</v>
      </c>
      <c r="EG423" t="s">
        <v>22</v>
      </c>
      <c r="EH423">
        <v>0</v>
      </c>
      <c r="EI423" t="s">
        <v>3</v>
      </c>
      <c r="EJ423">
        <v>4</v>
      </c>
      <c r="EK423">
        <v>0</v>
      </c>
      <c r="EL423" t="s">
        <v>23</v>
      </c>
      <c r="EM423" t="s">
        <v>24</v>
      </c>
      <c r="EO423" t="s">
        <v>3</v>
      </c>
      <c r="EQ423">
        <v>1024</v>
      </c>
      <c r="ER423">
        <v>556.04999999999995</v>
      </c>
      <c r="ES423">
        <v>0.31</v>
      </c>
      <c r="ET423">
        <v>0</v>
      </c>
      <c r="EU423">
        <v>0</v>
      </c>
      <c r="EV423">
        <v>555.74</v>
      </c>
      <c r="EW423">
        <v>0.9</v>
      </c>
      <c r="EX423">
        <v>0</v>
      </c>
      <c r="EY423">
        <v>0</v>
      </c>
      <c r="FQ423">
        <v>0</v>
      </c>
      <c r="FR423">
        <f t="shared" si="395"/>
        <v>0</v>
      </c>
      <c r="FS423">
        <v>0</v>
      </c>
      <c r="FX423">
        <v>70</v>
      </c>
      <c r="FY423">
        <v>10</v>
      </c>
      <c r="GA423" t="s">
        <v>3</v>
      </c>
      <c r="GD423">
        <v>0</v>
      </c>
      <c r="GF423">
        <v>505455875</v>
      </c>
      <c r="GG423">
        <v>2</v>
      </c>
      <c r="GH423">
        <v>1</v>
      </c>
      <c r="GI423">
        <v>-2</v>
      </c>
      <c r="GJ423">
        <v>0</v>
      </c>
      <c r="GK423">
        <f>ROUND(R423*(R12)/100,2)</f>
        <v>0</v>
      </c>
      <c r="GL423">
        <f t="shared" si="396"/>
        <v>0</v>
      </c>
      <c r="GM423">
        <f t="shared" si="397"/>
        <v>800.51</v>
      </c>
      <c r="GN423">
        <f t="shared" si="398"/>
        <v>0</v>
      </c>
      <c r="GO423">
        <f t="shared" si="399"/>
        <v>0</v>
      </c>
      <c r="GP423">
        <f t="shared" si="400"/>
        <v>800.51</v>
      </c>
      <c r="GR423">
        <v>0</v>
      </c>
      <c r="GS423">
        <v>3</v>
      </c>
      <c r="GT423">
        <v>0</v>
      </c>
      <c r="GU423" t="s">
        <v>3</v>
      </c>
      <c r="GV423">
        <f t="shared" si="401"/>
        <v>0</v>
      </c>
      <c r="GW423">
        <v>1</v>
      </c>
      <c r="GX423">
        <f t="shared" si="402"/>
        <v>0</v>
      </c>
      <c r="HA423">
        <v>0</v>
      </c>
      <c r="HB423">
        <v>0</v>
      </c>
      <c r="HC423">
        <f t="shared" si="403"/>
        <v>0</v>
      </c>
      <c r="HE423" t="s">
        <v>3</v>
      </c>
      <c r="HF423" t="s">
        <v>3</v>
      </c>
      <c r="HM423" t="s">
        <v>3</v>
      </c>
      <c r="HN423" t="s">
        <v>3</v>
      </c>
      <c r="HO423" t="s">
        <v>3</v>
      </c>
      <c r="HP423" t="s">
        <v>3</v>
      </c>
      <c r="HQ423" t="s">
        <v>3</v>
      </c>
      <c r="IK423">
        <v>0</v>
      </c>
    </row>
    <row r="424" spans="1:245" x14ac:dyDescent="0.2">
      <c r="A424">
        <v>17</v>
      </c>
      <c r="B424">
        <v>1</v>
      </c>
      <c r="D424">
        <f>ROW(EtalonRes!A216)</f>
        <v>216</v>
      </c>
      <c r="E424" t="s">
        <v>365</v>
      </c>
      <c r="F424" t="s">
        <v>328</v>
      </c>
      <c r="G424" t="s">
        <v>329</v>
      </c>
      <c r="H424" t="s">
        <v>20</v>
      </c>
      <c r="I424">
        <f>ROUND(2+4,9)</f>
        <v>6</v>
      </c>
      <c r="J424">
        <v>0</v>
      </c>
      <c r="K424">
        <f>ROUND(2+4,9)</f>
        <v>6</v>
      </c>
      <c r="O424">
        <f t="shared" si="371"/>
        <v>2869.56</v>
      </c>
      <c r="P424">
        <f t="shared" si="372"/>
        <v>229.68</v>
      </c>
      <c r="Q424">
        <f t="shared" si="373"/>
        <v>0</v>
      </c>
      <c r="R424">
        <f t="shared" si="374"/>
        <v>0</v>
      </c>
      <c r="S424">
        <f t="shared" si="375"/>
        <v>2639.88</v>
      </c>
      <c r="T424">
        <f t="shared" si="376"/>
        <v>0</v>
      </c>
      <c r="U424">
        <f t="shared" si="377"/>
        <v>3.7199999999999998</v>
      </c>
      <c r="V424">
        <f t="shared" si="378"/>
        <v>0</v>
      </c>
      <c r="W424">
        <f t="shared" si="379"/>
        <v>0</v>
      </c>
      <c r="X424">
        <f t="shared" si="380"/>
        <v>1847.92</v>
      </c>
      <c r="Y424">
        <f t="shared" si="381"/>
        <v>263.99</v>
      </c>
      <c r="AA424">
        <v>1472506909</v>
      </c>
      <c r="AB424">
        <f t="shared" si="382"/>
        <v>478.26</v>
      </c>
      <c r="AC424">
        <f>ROUND(((ES424*2)),6)</f>
        <v>38.28</v>
      </c>
      <c r="AD424">
        <f>ROUND((((ET424)-(EU424))+AE424),6)</f>
        <v>0</v>
      </c>
      <c r="AE424">
        <f t="shared" si="406"/>
        <v>0</v>
      </c>
      <c r="AF424">
        <f>ROUND(((EV424*2)),6)</f>
        <v>439.98</v>
      </c>
      <c r="AG424">
        <f t="shared" si="383"/>
        <v>0</v>
      </c>
      <c r="AH424">
        <f>((EW424*2))</f>
        <v>0.62</v>
      </c>
      <c r="AI424">
        <f t="shared" si="407"/>
        <v>0</v>
      </c>
      <c r="AJ424">
        <f t="shared" si="384"/>
        <v>0</v>
      </c>
      <c r="AK424">
        <v>239.13</v>
      </c>
      <c r="AL424">
        <v>19.14</v>
      </c>
      <c r="AM424">
        <v>0</v>
      </c>
      <c r="AN424">
        <v>0</v>
      </c>
      <c r="AO424">
        <v>219.99</v>
      </c>
      <c r="AP424">
        <v>0</v>
      </c>
      <c r="AQ424">
        <v>0.31</v>
      </c>
      <c r="AR424">
        <v>0</v>
      </c>
      <c r="AS424">
        <v>0</v>
      </c>
      <c r="AT424">
        <v>70</v>
      </c>
      <c r="AU424">
        <v>10</v>
      </c>
      <c r="AV424">
        <v>1</v>
      </c>
      <c r="AW424">
        <v>1</v>
      </c>
      <c r="AZ424">
        <v>1</v>
      </c>
      <c r="BA424">
        <v>1</v>
      </c>
      <c r="BB424">
        <v>1</v>
      </c>
      <c r="BC424">
        <v>1</v>
      </c>
      <c r="BD424" t="s">
        <v>3</v>
      </c>
      <c r="BE424" t="s">
        <v>3</v>
      </c>
      <c r="BF424" t="s">
        <v>3</v>
      </c>
      <c r="BG424" t="s">
        <v>3</v>
      </c>
      <c r="BH424">
        <v>0</v>
      </c>
      <c r="BI424">
        <v>4</v>
      </c>
      <c r="BJ424" t="s">
        <v>330</v>
      </c>
      <c r="BM424">
        <v>0</v>
      </c>
      <c r="BN424">
        <v>0</v>
      </c>
      <c r="BO424" t="s">
        <v>3</v>
      </c>
      <c r="BP424">
        <v>0</v>
      </c>
      <c r="BQ424">
        <v>1</v>
      </c>
      <c r="BR424">
        <v>0</v>
      </c>
      <c r="BS424">
        <v>1</v>
      </c>
      <c r="BT424">
        <v>1</v>
      </c>
      <c r="BU424">
        <v>1</v>
      </c>
      <c r="BV424">
        <v>1</v>
      </c>
      <c r="BW424">
        <v>1</v>
      </c>
      <c r="BX424">
        <v>1</v>
      </c>
      <c r="BY424" t="s">
        <v>3</v>
      </c>
      <c r="BZ424">
        <v>70</v>
      </c>
      <c r="CA424">
        <v>10</v>
      </c>
      <c r="CB424" t="s">
        <v>3</v>
      </c>
      <c r="CE424">
        <v>0</v>
      </c>
      <c r="CF424">
        <v>0</v>
      </c>
      <c r="CG424">
        <v>0</v>
      </c>
      <c r="CM424">
        <v>0</v>
      </c>
      <c r="CN424" t="s">
        <v>3</v>
      </c>
      <c r="CO424">
        <v>0</v>
      </c>
      <c r="CP424">
        <f t="shared" si="385"/>
        <v>2869.56</v>
      </c>
      <c r="CQ424">
        <f>(AC424*BC424*AW424)</f>
        <v>38.28</v>
      </c>
      <c r="CR424">
        <f>((((ET424)*BB424-(EU424)*BS424)+AE424*BS424)*AV424)</f>
        <v>0</v>
      </c>
      <c r="CS424">
        <f>(AE424*BS424*AV424)</f>
        <v>0</v>
      </c>
      <c r="CT424">
        <f>(AF424*BA424*AV424)</f>
        <v>439.98</v>
      </c>
      <c r="CU424">
        <f t="shared" si="389"/>
        <v>0</v>
      </c>
      <c r="CV424">
        <f>(AH424*AV424)</f>
        <v>0.62</v>
      </c>
      <c r="CW424">
        <f t="shared" si="391"/>
        <v>0</v>
      </c>
      <c r="CX424">
        <f t="shared" si="392"/>
        <v>0</v>
      </c>
      <c r="CY424">
        <f>((S424*BZ424)/100)</f>
        <v>1847.9160000000002</v>
      </c>
      <c r="CZ424">
        <f>((S424*CA424)/100)</f>
        <v>263.98800000000006</v>
      </c>
      <c r="DC424" t="s">
        <v>3</v>
      </c>
      <c r="DD424" t="s">
        <v>28</v>
      </c>
      <c r="DE424" t="s">
        <v>3</v>
      </c>
      <c r="DF424" t="s">
        <v>3</v>
      </c>
      <c r="DG424" t="s">
        <v>28</v>
      </c>
      <c r="DH424" t="s">
        <v>3</v>
      </c>
      <c r="DI424" t="s">
        <v>28</v>
      </c>
      <c r="DJ424" t="s">
        <v>3</v>
      </c>
      <c r="DK424" t="s">
        <v>3</v>
      </c>
      <c r="DL424" t="s">
        <v>3</v>
      </c>
      <c r="DM424" t="s">
        <v>3</v>
      </c>
      <c r="DN424">
        <v>0</v>
      </c>
      <c r="DO424">
        <v>0</v>
      </c>
      <c r="DP424">
        <v>1</v>
      </c>
      <c r="DQ424">
        <v>1</v>
      </c>
      <c r="DU424">
        <v>16987630</v>
      </c>
      <c r="DV424" t="s">
        <v>20</v>
      </c>
      <c r="DW424" t="s">
        <v>20</v>
      </c>
      <c r="DX424">
        <v>1</v>
      </c>
      <c r="DZ424" t="s">
        <v>3</v>
      </c>
      <c r="EA424" t="s">
        <v>3</v>
      </c>
      <c r="EB424" t="s">
        <v>3</v>
      </c>
      <c r="EC424" t="s">
        <v>3</v>
      </c>
      <c r="EE424">
        <v>1441815344</v>
      </c>
      <c r="EF424">
        <v>1</v>
      </c>
      <c r="EG424" t="s">
        <v>22</v>
      </c>
      <c r="EH424">
        <v>0</v>
      </c>
      <c r="EI424" t="s">
        <v>3</v>
      </c>
      <c r="EJ424">
        <v>4</v>
      </c>
      <c r="EK424">
        <v>0</v>
      </c>
      <c r="EL424" t="s">
        <v>23</v>
      </c>
      <c r="EM424" t="s">
        <v>24</v>
      </c>
      <c r="EO424" t="s">
        <v>3</v>
      </c>
      <c r="EQ424">
        <v>0</v>
      </c>
      <c r="ER424">
        <v>239.13</v>
      </c>
      <c r="ES424">
        <v>19.14</v>
      </c>
      <c r="ET424">
        <v>0</v>
      </c>
      <c r="EU424">
        <v>0</v>
      </c>
      <c r="EV424">
        <v>219.99</v>
      </c>
      <c r="EW424">
        <v>0.31</v>
      </c>
      <c r="EX424">
        <v>0</v>
      </c>
      <c r="EY424">
        <v>0</v>
      </c>
      <c r="FQ424">
        <v>0</v>
      </c>
      <c r="FR424">
        <f t="shared" si="395"/>
        <v>0</v>
      </c>
      <c r="FS424">
        <v>0</v>
      </c>
      <c r="FX424">
        <v>70</v>
      </c>
      <c r="FY424">
        <v>10</v>
      </c>
      <c r="GA424" t="s">
        <v>3</v>
      </c>
      <c r="GD424">
        <v>0</v>
      </c>
      <c r="GF424">
        <v>-1042054303</v>
      </c>
      <c r="GG424">
        <v>2</v>
      </c>
      <c r="GH424">
        <v>1</v>
      </c>
      <c r="GI424">
        <v>-2</v>
      </c>
      <c r="GJ424">
        <v>0</v>
      </c>
      <c r="GK424">
        <f>ROUND(R424*(R12)/100,2)</f>
        <v>0</v>
      </c>
      <c r="GL424">
        <f t="shared" si="396"/>
        <v>0</v>
      </c>
      <c r="GM424">
        <f t="shared" si="397"/>
        <v>4981.47</v>
      </c>
      <c r="GN424">
        <f t="shared" si="398"/>
        <v>0</v>
      </c>
      <c r="GO424">
        <f t="shared" si="399"/>
        <v>0</v>
      </c>
      <c r="GP424">
        <f t="shared" si="400"/>
        <v>4981.47</v>
      </c>
      <c r="GR424">
        <v>0</v>
      </c>
      <c r="GS424">
        <v>3</v>
      </c>
      <c r="GT424">
        <v>0</v>
      </c>
      <c r="GU424" t="s">
        <v>3</v>
      </c>
      <c r="GV424">
        <f t="shared" si="401"/>
        <v>0</v>
      </c>
      <c r="GW424">
        <v>1</v>
      </c>
      <c r="GX424">
        <f t="shared" si="402"/>
        <v>0</v>
      </c>
      <c r="HA424">
        <v>0</v>
      </c>
      <c r="HB424">
        <v>0</v>
      </c>
      <c r="HC424">
        <f t="shared" si="403"/>
        <v>0</v>
      </c>
      <c r="HE424" t="s">
        <v>3</v>
      </c>
      <c r="HF424" t="s">
        <v>3</v>
      </c>
      <c r="HM424" t="s">
        <v>3</v>
      </c>
      <c r="HN424" t="s">
        <v>3</v>
      </c>
      <c r="HO424" t="s">
        <v>3</v>
      </c>
      <c r="HP424" t="s">
        <v>3</v>
      </c>
      <c r="HQ424" t="s">
        <v>3</v>
      </c>
      <c r="IK424">
        <v>0</v>
      </c>
    </row>
    <row r="425" spans="1:245" x14ac:dyDescent="0.2">
      <c r="A425">
        <v>17</v>
      </c>
      <c r="B425">
        <v>1</v>
      </c>
      <c r="D425">
        <f>ROW(EtalonRes!A217)</f>
        <v>217</v>
      </c>
      <c r="E425" t="s">
        <v>366</v>
      </c>
      <c r="F425" t="s">
        <v>97</v>
      </c>
      <c r="G425" t="s">
        <v>98</v>
      </c>
      <c r="H425" t="s">
        <v>94</v>
      </c>
      <c r="I425">
        <f>ROUND((4+2+2)/10,9)</f>
        <v>0.8</v>
      </c>
      <c r="J425">
        <v>0</v>
      </c>
      <c r="K425">
        <f>ROUND((4+2+2)/10,9)</f>
        <v>0.8</v>
      </c>
      <c r="O425">
        <f t="shared" si="371"/>
        <v>301.33999999999997</v>
      </c>
      <c r="P425">
        <f t="shared" si="372"/>
        <v>0</v>
      </c>
      <c r="Q425">
        <f t="shared" si="373"/>
        <v>0</v>
      </c>
      <c r="R425">
        <f t="shared" si="374"/>
        <v>0</v>
      </c>
      <c r="S425">
        <f t="shared" si="375"/>
        <v>301.33999999999997</v>
      </c>
      <c r="T425">
        <f t="shared" si="376"/>
        <v>0</v>
      </c>
      <c r="U425">
        <f t="shared" si="377"/>
        <v>0.48799999999999999</v>
      </c>
      <c r="V425">
        <f t="shared" si="378"/>
        <v>0</v>
      </c>
      <c r="W425">
        <f t="shared" si="379"/>
        <v>0</v>
      </c>
      <c r="X425">
        <f t="shared" si="380"/>
        <v>210.94</v>
      </c>
      <c r="Y425">
        <f t="shared" si="381"/>
        <v>30.13</v>
      </c>
      <c r="AA425">
        <v>1472506909</v>
      </c>
      <c r="AB425">
        <f t="shared" si="382"/>
        <v>376.67</v>
      </c>
      <c r="AC425">
        <f>ROUND((ES425),6)</f>
        <v>0</v>
      </c>
      <c r="AD425">
        <f>ROUND((((ET425)-(EU425))+AE425),6)</f>
        <v>0</v>
      </c>
      <c r="AE425">
        <f t="shared" si="406"/>
        <v>0</v>
      </c>
      <c r="AF425">
        <f>ROUND((EV425),6)</f>
        <v>376.67</v>
      </c>
      <c r="AG425">
        <f t="shared" si="383"/>
        <v>0</v>
      </c>
      <c r="AH425">
        <f>(EW425)</f>
        <v>0.61</v>
      </c>
      <c r="AI425">
        <f t="shared" si="407"/>
        <v>0</v>
      </c>
      <c r="AJ425">
        <f t="shared" si="384"/>
        <v>0</v>
      </c>
      <c r="AK425">
        <v>376.67</v>
      </c>
      <c r="AL425">
        <v>0</v>
      </c>
      <c r="AM425">
        <v>0</v>
      </c>
      <c r="AN425">
        <v>0</v>
      </c>
      <c r="AO425">
        <v>376.67</v>
      </c>
      <c r="AP425">
        <v>0</v>
      </c>
      <c r="AQ425">
        <v>0.61</v>
      </c>
      <c r="AR425">
        <v>0</v>
      </c>
      <c r="AS425">
        <v>0</v>
      </c>
      <c r="AT425">
        <v>70</v>
      </c>
      <c r="AU425">
        <v>10</v>
      </c>
      <c r="AV425">
        <v>1</v>
      </c>
      <c r="AW425">
        <v>1</v>
      </c>
      <c r="AZ425">
        <v>1</v>
      </c>
      <c r="BA425">
        <v>1</v>
      </c>
      <c r="BB425">
        <v>1</v>
      </c>
      <c r="BC425">
        <v>1</v>
      </c>
      <c r="BD425" t="s">
        <v>3</v>
      </c>
      <c r="BE425" t="s">
        <v>3</v>
      </c>
      <c r="BF425" t="s">
        <v>3</v>
      </c>
      <c r="BG425" t="s">
        <v>3</v>
      </c>
      <c r="BH425">
        <v>0</v>
      </c>
      <c r="BI425">
        <v>4</v>
      </c>
      <c r="BJ425" t="s">
        <v>99</v>
      </c>
      <c r="BM425">
        <v>0</v>
      </c>
      <c r="BN425">
        <v>0</v>
      </c>
      <c r="BO425" t="s">
        <v>3</v>
      </c>
      <c r="BP425">
        <v>0</v>
      </c>
      <c r="BQ425">
        <v>1</v>
      </c>
      <c r="BR425">
        <v>0</v>
      </c>
      <c r="BS425">
        <v>1</v>
      </c>
      <c r="BT425">
        <v>1</v>
      </c>
      <c r="BU425">
        <v>1</v>
      </c>
      <c r="BV425">
        <v>1</v>
      </c>
      <c r="BW425">
        <v>1</v>
      </c>
      <c r="BX425">
        <v>1</v>
      </c>
      <c r="BY425" t="s">
        <v>3</v>
      </c>
      <c r="BZ425">
        <v>70</v>
      </c>
      <c r="CA425">
        <v>10</v>
      </c>
      <c r="CB425" t="s">
        <v>3</v>
      </c>
      <c r="CE425">
        <v>0</v>
      </c>
      <c r="CF425">
        <v>0</v>
      </c>
      <c r="CG425">
        <v>0</v>
      </c>
      <c r="CM425">
        <v>0</v>
      </c>
      <c r="CN425" t="s">
        <v>3</v>
      </c>
      <c r="CO425">
        <v>0</v>
      </c>
      <c r="CP425">
        <f t="shared" si="385"/>
        <v>301.33999999999997</v>
      </c>
      <c r="CQ425">
        <f>(AC425*BC425*AW425)</f>
        <v>0</v>
      </c>
      <c r="CR425">
        <f>((((ET425)*BB425-(EU425)*BS425)+AE425*BS425)*AV425)</f>
        <v>0</v>
      </c>
      <c r="CS425">
        <f>(AE425*BS425*AV425)</f>
        <v>0</v>
      </c>
      <c r="CT425">
        <f>(AF425*BA425*AV425)</f>
        <v>376.67</v>
      </c>
      <c r="CU425">
        <f t="shared" si="389"/>
        <v>0</v>
      </c>
      <c r="CV425">
        <f>(AH425*AV425)</f>
        <v>0.61</v>
      </c>
      <c r="CW425">
        <f t="shared" si="391"/>
        <v>0</v>
      </c>
      <c r="CX425">
        <f t="shared" si="392"/>
        <v>0</v>
      </c>
      <c r="CY425">
        <f>((S425*BZ425)/100)</f>
        <v>210.93799999999999</v>
      </c>
      <c r="CZ425">
        <f>((S425*CA425)/100)</f>
        <v>30.133999999999997</v>
      </c>
      <c r="DC425" t="s">
        <v>3</v>
      </c>
      <c r="DD425" t="s">
        <v>3</v>
      </c>
      <c r="DE425" t="s">
        <v>3</v>
      </c>
      <c r="DF425" t="s">
        <v>3</v>
      </c>
      <c r="DG425" t="s">
        <v>3</v>
      </c>
      <c r="DH425" t="s">
        <v>3</v>
      </c>
      <c r="DI425" t="s">
        <v>3</v>
      </c>
      <c r="DJ425" t="s">
        <v>3</v>
      </c>
      <c r="DK425" t="s">
        <v>3</v>
      </c>
      <c r="DL425" t="s">
        <v>3</v>
      </c>
      <c r="DM425" t="s">
        <v>3</v>
      </c>
      <c r="DN425">
        <v>0</v>
      </c>
      <c r="DO425">
        <v>0</v>
      </c>
      <c r="DP425">
        <v>1</v>
      </c>
      <c r="DQ425">
        <v>1</v>
      </c>
      <c r="DU425">
        <v>16987630</v>
      </c>
      <c r="DV425" t="s">
        <v>94</v>
      </c>
      <c r="DW425" t="s">
        <v>94</v>
      </c>
      <c r="DX425">
        <v>10</v>
      </c>
      <c r="DZ425" t="s">
        <v>3</v>
      </c>
      <c r="EA425" t="s">
        <v>3</v>
      </c>
      <c r="EB425" t="s">
        <v>3</v>
      </c>
      <c r="EC425" t="s">
        <v>3</v>
      </c>
      <c r="EE425">
        <v>1441815344</v>
      </c>
      <c r="EF425">
        <v>1</v>
      </c>
      <c r="EG425" t="s">
        <v>22</v>
      </c>
      <c r="EH425">
        <v>0</v>
      </c>
      <c r="EI425" t="s">
        <v>3</v>
      </c>
      <c r="EJ425">
        <v>4</v>
      </c>
      <c r="EK425">
        <v>0</v>
      </c>
      <c r="EL425" t="s">
        <v>23</v>
      </c>
      <c r="EM425" t="s">
        <v>24</v>
      </c>
      <c r="EO425" t="s">
        <v>3</v>
      </c>
      <c r="EQ425">
        <v>0</v>
      </c>
      <c r="ER425">
        <v>376.67</v>
      </c>
      <c r="ES425">
        <v>0</v>
      </c>
      <c r="ET425">
        <v>0</v>
      </c>
      <c r="EU425">
        <v>0</v>
      </c>
      <c r="EV425">
        <v>376.67</v>
      </c>
      <c r="EW425">
        <v>0.61</v>
      </c>
      <c r="EX425">
        <v>0</v>
      </c>
      <c r="EY425">
        <v>0</v>
      </c>
      <c r="FQ425">
        <v>0</v>
      </c>
      <c r="FR425">
        <f t="shared" si="395"/>
        <v>0</v>
      </c>
      <c r="FS425">
        <v>0</v>
      </c>
      <c r="FX425">
        <v>70</v>
      </c>
      <c r="FY425">
        <v>10</v>
      </c>
      <c r="GA425" t="s">
        <v>3</v>
      </c>
      <c r="GD425">
        <v>0</v>
      </c>
      <c r="GF425">
        <v>357408898</v>
      </c>
      <c r="GG425">
        <v>2</v>
      </c>
      <c r="GH425">
        <v>1</v>
      </c>
      <c r="GI425">
        <v>-2</v>
      </c>
      <c r="GJ425">
        <v>0</v>
      </c>
      <c r="GK425">
        <f>ROUND(R425*(R12)/100,2)</f>
        <v>0</v>
      </c>
      <c r="GL425">
        <f t="shared" si="396"/>
        <v>0</v>
      </c>
      <c r="GM425">
        <f t="shared" si="397"/>
        <v>542.41</v>
      </c>
      <c r="GN425">
        <f t="shared" si="398"/>
        <v>0</v>
      </c>
      <c r="GO425">
        <f t="shared" si="399"/>
        <v>0</v>
      </c>
      <c r="GP425">
        <f t="shared" si="400"/>
        <v>542.41</v>
      </c>
      <c r="GR425">
        <v>0</v>
      </c>
      <c r="GS425">
        <v>3</v>
      </c>
      <c r="GT425">
        <v>0</v>
      </c>
      <c r="GU425" t="s">
        <v>3</v>
      </c>
      <c r="GV425">
        <f t="shared" si="401"/>
        <v>0</v>
      </c>
      <c r="GW425">
        <v>1</v>
      </c>
      <c r="GX425">
        <f t="shared" si="402"/>
        <v>0</v>
      </c>
      <c r="HA425">
        <v>0</v>
      </c>
      <c r="HB425">
        <v>0</v>
      </c>
      <c r="HC425">
        <f t="shared" si="403"/>
        <v>0</v>
      </c>
      <c r="HE425" t="s">
        <v>3</v>
      </c>
      <c r="HF425" t="s">
        <v>3</v>
      </c>
      <c r="HM425" t="s">
        <v>3</v>
      </c>
      <c r="HN425" t="s">
        <v>3</v>
      </c>
      <c r="HO425" t="s">
        <v>3</v>
      </c>
      <c r="HP425" t="s">
        <v>3</v>
      </c>
      <c r="HQ425" t="s">
        <v>3</v>
      </c>
      <c r="IK425">
        <v>0</v>
      </c>
    </row>
    <row r="426" spans="1:245" x14ac:dyDescent="0.2">
      <c r="A426">
        <v>17</v>
      </c>
      <c r="B426">
        <v>1</v>
      </c>
      <c r="D426">
        <f>ROW(EtalonRes!A218)</f>
        <v>218</v>
      </c>
      <c r="E426" t="s">
        <v>367</v>
      </c>
      <c r="F426" t="s">
        <v>306</v>
      </c>
      <c r="G426" t="s">
        <v>307</v>
      </c>
      <c r="H426" t="s">
        <v>94</v>
      </c>
      <c r="I426">
        <f>ROUND((2+2+1+2)/10,9)</f>
        <v>0.7</v>
      </c>
      <c r="J426">
        <v>0</v>
      </c>
      <c r="K426">
        <f>ROUND((2+2+1+2)/10,9)</f>
        <v>0.7</v>
      </c>
      <c r="O426">
        <f t="shared" si="371"/>
        <v>397.66</v>
      </c>
      <c r="P426">
        <f t="shared" si="372"/>
        <v>0</v>
      </c>
      <c r="Q426">
        <f t="shared" si="373"/>
        <v>0</v>
      </c>
      <c r="R426">
        <f t="shared" si="374"/>
        <v>0</v>
      </c>
      <c r="S426">
        <f t="shared" si="375"/>
        <v>397.66</v>
      </c>
      <c r="T426">
        <f t="shared" si="376"/>
        <v>0</v>
      </c>
      <c r="U426">
        <f t="shared" si="377"/>
        <v>0.64400000000000002</v>
      </c>
      <c r="V426">
        <f t="shared" si="378"/>
        <v>0</v>
      </c>
      <c r="W426">
        <f t="shared" si="379"/>
        <v>0</v>
      </c>
      <c r="X426">
        <f t="shared" si="380"/>
        <v>278.36</v>
      </c>
      <c r="Y426">
        <f t="shared" si="381"/>
        <v>39.770000000000003</v>
      </c>
      <c r="AA426">
        <v>1472506909</v>
      </c>
      <c r="AB426">
        <f t="shared" si="382"/>
        <v>568.09</v>
      </c>
      <c r="AC426">
        <f>ROUND((ES426),6)</f>
        <v>0</v>
      </c>
      <c r="AD426">
        <f>ROUND((((ET426)-(EU426))+AE426),6)</f>
        <v>0</v>
      </c>
      <c r="AE426">
        <f t="shared" si="406"/>
        <v>0</v>
      </c>
      <c r="AF426">
        <f>ROUND((EV426),6)</f>
        <v>568.09</v>
      </c>
      <c r="AG426">
        <f t="shared" si="383"/>
        <v>0</v>
      </c>
      <c r="AH426">
        <f>(EW426)</f>
        <v>0.92</v>
      </c>
      <c r="AI426">
        <f t="shared" si="407"/>
        <v>0</v>
      </c>
      <c r="AJ426">
        <f t="shared" si="384"/>
        <v>0</v>
      </c>
      <c r="AK426">
        <v>568.09</v>
      </c>
      <c r="AL426">
        <v>0</v>
      </c>
      <c r="AM426">
        <v>0</v>
      </c>
      <c r="AN426">
        <v>0</v>
      </c>
      <c r="AO426">
        <v>568.09</v>
      </c>
      <c r="AP426">
        <v>0</v>
      </c>
      <c r="AQ426">
        <v>0.92</v>
      </c>
      <c r="AR426">
        <v>0</v>
      </c>
      <c r="AS426">
        <v>0</v>
      </c>
      <c r="AT426">
        <v>70</v>
      </c>
      <c r="AU426">
        <v>10</v>
      </c>
      <c r="AV426">
        <v>1</v>
      </c>
      <c r="AW426">
        <v>1</v>
      </c>
      <c r="AZ426">
        <v>1</v>
      </c>
      <c r="BA426">
        <v>1</v>
      </c>
      <c r="BB426">
        <v>1</v>
      </c>
      <c r="BC426">
        <v>1</v>
      </c>
      <c r="BD426" t="s">
        <v>3</v>
      </c>
      <c r="BE426" t="s">
        <v>3</v>
      </c>
      <c r="BF426" t="s">
        <v>3</v>
      </c>
      <c r="BG426" t="s">
        <v>3</v>
      </c>
      <c r="BH426">
        <v>0</v>
      </c>
      <c r="BI426">
        <v>4</v>
      </c>
      <c r="BJ426" t="s">
        <v>308</v>
      </c>
      <c r="BM426">
        <v>0</v>
      </c>
      <c r="BN426">
        <v>0</v>
      </c>
      <c r="BO426" t="s">
        <v>3</v>
      </c>
      <c r="BP426">
        <v>0</v>
      </c>
      <c r="BQ426">
        <v>1</v>
      </c>
      <c r="BR426">
        <v>0</v>
      </c>
      <c r="BS426">
        <v>1</v>
      </c>
      <c r="BT426">
        <v>1</v>
      </c>
      <c r="BU426">
        <v>1</v>
      </c>
      <c r="BV426">
        <v>1</v>
      </c>
      <c r="BW426">
        <v>1</v>
      </c>
      <c r="BX426">
        <v>1</v>
      </c>
      <c r="BY426" t="s">
        <v>3</v>
      </c>
      <c r="BZ426">
        <v>70</v>
      </c>
      <c r="CA426">
        <v>10</v>
      </c>
      <c r="CB426" t="s">
        <v>3</v>
      </c>
      <c r="CE426">
        <v>0</v>
      </c>
      <c r="CF426">
        <v>0</v>
      </c>
      <c r="CG426">
        <v>0</v>
      </c>
      <c r="CM426">
        <v>0</v>
      </c>
      <c r="CN426" t="s">
        <v>3</v>
      </c>
      <c r="CO426">
        <v>0</v>
      </c>
      <c r="CP426">
        <f t="shared" si="385"/>
        <v>397.66</v>
      </c>
      <c r="CQ426">
        <f>(AC426*BC426*AW426)</f>
        <v>0</v>
      </c>
      <c r="CR426">
        <f>((((ET426)*BB426-(EU426)*BS426)+AE426*BS426)*AV426)</f>
        <v>0</v>
      </c>
      <c r="CS426">
        <f>(AE426*BS426*AV426)</f>
        <v>0</v>
      </c>
      <c r="CT426">
        <f>(AF426*BA426*AV426)</f>
        <v>568.09</v>
      </c>
      <c r="CU426">
        <f t="shared" si="389"/>
        <v>0</v>
      </c>
      <c r="CV426">
        <f>(AH426*AV426)</f>
        <v>0.92</v>
      </c>
      <c r="CW426">
        <f t="shared" si="391"/>
        <v>0</v>
      </c>
      <c r="CX426">
        <f t="shared" si="392"/>
        <v>0</v>
      </c>
      <c r="CY426">
        <f>((S426*BZ426)/100)</f>
        <v>278.36200000000002</v>
      </c>
      <c r="CZ426">
        <f>((S426*CA426)/100)</f>
        <v>39.766000000000005</v>
      </c>
      <c r="DC426" t="s">
        <v>3</v>
      </c>
      <c r="DD426" t="s">
        <v>3</v>
      </c>
      <c r="DE426" t="s">
        <v>3</v>
      </c>
      <c r="DF426" t="s">
        <v>3</v>
      </c>
      <c r="DG426" t="s">
        <v>3</v>
      </c>
      <c r="DH426" t="s">
        <v>3</v>
      </c>
      <c r="DI426" t="s">
        <v>3</v>
      </c>
      <c r="DJ426" t="s">
        <v>3</v>
      </c>
      <c r="DK426" t="s">
        <v>3</v>
      </c>
      <c r="DL426" t="s">
        <v>3</v>
      </c>
      <c r="DM426" t="s">
        <v>3</v>
      </c>
      <c r="DN426">
        <v>0</v>
      </c>
      <c r="DO426">
        <v>0</v>
      </c>
      <c r="DP426">
        <v>1</v>
      </c>
      <c r="DQ426">
        <v>1</v>
      </c>
      <c r="DU426">
        <v>16987630</v>
      </c>
      <c r="DV426" t="s">
        <v>94</v>
      </c>
      <c r="DW426" t="s">
        <v>94</v>
      </c>
      <c r="DX426">
        <v>10</v>
      </c>
      <c r="DZ426" t="s">
        <v>3</v>
      </c>
      <c r="EA426" t="s">
        <v>3</v>
      </c>
      <c r="EB426" t="s">
        <v>3</v>
      </c>
      <c r="EC426" t="s">
        <v>3</v>
      </c>
      <c r="EE426">
        <v>1441815344</v>
      </c>
      <c r="EF426">
        <v>1</v>
      </c>
      <c r="EG426" t="s">
        <v>22</v>
      </c>
      <c r="EH426">
        <v>0</v>
      </c>
      <c r="EI426" t="s">
        <v>3</v>
      </c>
      <c r="EJ426">
        <v>4</v>
      </c>
      <c r="EK426">
        <v>0</v>
      </c>
      <c r="EL426" t="s">
        <v>23</v>
      </c>
      <c r="EM426" t="s">
        <v>24</v>
      </c>
      <c r="EO426" t="s">
        <v>3</v>
      </c>
      <c r="EQ426">
        <v>0</v>
      </c>
      <c r="ER426">
        <v>568.09</v>
      </c>
      <c r="ES426">
        <v>0</v>
      </c>
      <c r="ET426">
        <v>0</v>
      </c>
      <c r="EU426">
        <v>0</v>
      </c>
      <c r="EV426">
        <v>568.09</v>
      </c>
      <c r="EW426">
        <v>0.92</v>
      </c>
      <c r="EX426">
        <v>0</v>
      </c>
      <c r="EY426">
        <v>0</v>
      </c>
      <c r="FQ426">
        <v>0</v>
      </c>
      <c r="FR426">
        <f t="shared" si="395"/>
        <v>0</v>
      </c>
      <c r="FS426">
        <v>0</v>
      </c>
      <c r="FX426">
        <v>70</v>
      </c>
      <c r="FY426">
        <v>10</v>
      </c>
      <c r="GA426" t="s">
        <v>3</v>
      </c>
      <c r="GD426">
        <v>0</v>
      </c>
      <c r="GF426">
        <v>2082338734</v>
      </c>
      <c r="GG426">
        <v>2</v>
      </c>
      <c r="GH426">
        <v>1</v>
      </c>
      <c r="GI426">
        <v>-2</v>
      </c>
      <c r="GJ426">
        <v>0</v>
      </c>
      <c r="GK426">
        <f>ROUND(R426*(R12)/100,2)</f>
        <v>0</v>
      </c>
      <c r="GL426">
        <f t="shared" si="396"/>
        <v>0</v>
      </c>
      <c r="GM426">
        <f t="shared" si="397"/>
        <v>715.79</v>
      </c>
      <c r="GN426">
        <f t="shared" si="398"/>
        <v>0</v>
      </c>
      <c r="GO426">
        <f t="shared" si="399"/>
        <v>0</v>
      </c>
      <c r="GP426">
        <f t="shared" si="400"/>
        <v>715.79</v>
      </c>
      <c r="GR426">
        <v>0</v>
      </c>
      <c r="GS426">
        <v>3</v>
      </c>
      <c r="GT426">
        <v>0</v>
      </c>
      <c r="GU426" t="s">
        <v>3</v>
      </c>
      <c r="GV426">
        <f t="shared" si="401"/>
        <v>0</v>
      </c>
      <c r="GW426">
        <v>1</v>
      </c>
      <c r="GX426">
        <f t="shared" si="402"/>
        <v>0</v>
      </c>
      <c r="HA426">
        <v>0</v>
      </c>
      <c r="HB426">
        <v>0</v>
      </c>
      <c r="HC426">
        <f t="shared" si="403"/>
        <v>0</v>
      </c>
      <c r="HE426" t="s">
        <v>3</v>
      </c>
      <c r="HF426" t="s">
        <v>3</v>
      </c>
      <c r="HM426" t="s">
        <v>3</v>
      </c>
      <c r="HN426" t="s">
        <v>3</v>
      </c>
      <c r="HO426" t="s">
        <v>3</v>
      </c>
      <c r="HP426" t="s">
        <v>3</v>
      </c>
      <c r="HQ426" t="s">
        <v>3</v>
      </c>
      <c r="IK426">
        <v>0</v>
      </c>
    </row>
    <row r="427" spans="1:245" x14ac:dyDescent="0.2">
      <c r="A427">
        <v>19</v>
      </c>
      <c r="B427">
        <v>1</v>
      </c>
      <c r="F427" t="s">
        <v>3</v>
      </c>
      <c r="G427" t="s">
        <v>368</v>
      </c>
      <c r="H427" t="s">
        <v>3</v>
      </c>
      <c r="AA427">
        <v>1</v>
      </c>
      <c r="IK427">
        <v>0</v>
      </c>
    </row>
    <row r="428" spans="1:245" x14ac:dyDescent="0.2">
      <c r="A428">
        <v>17</v>
      </c>
      <c r="B428">
        <v>1</v>
      </c>
      <c r="D428">
        <f>ROW(EtalonRes!A219)</f>
        <v>219</v>
      </c>
      <c r="E428" t="s">
        <v>369</v>
      </c>
      <c r="F428" t="s">
        <v>92</v>
      </c>
      <c r="G428" t="s">
        <v>93</v>
      </c>
      <c r="H428" t="s">
        <v>94</v>
      </c>
      <c r="I428">
        <f>ROUND((4+2+2)/10,9)</f>
        <v>0.8</v>
      </c>
      <c r="J428">
        <v>0</v>
      </c>
      <c r="K428">
        <f>ROUND((4+2+2)/10,9)</f>
        <v>0.8</v>
      </c>
      <c r="O428">
        <f t="shared" ref="O428:O443" si="411">ROUND(CP428,2)</f>
        <v>222.3</v>
      </c>
      <c r="P428">
        <f t="shared" ref="P428:P443" si="412">ROUND(CQ428*I428,2)</f>
        <v>0</v>
      </c>
      <c r="Q428">
        <f t="shared" ref="Q428:Q443" si="413">ROUND(CR428*I428,2)</f>
        <v>0</v>
      </c>
      <c r="R428">
        <f t="shared" ref="R428:R443" si="414">ROUND(CS428*I428,2)</f>
        <v>0</v>
      </c>
      <c r="S428">
        <f t="shared" ref="S428:S443" si="415">ROUND(CT428*I428,2)</f>
        <v>222.3</v>
      </c>
      <c r="T428">
        <f t="shared" ref="T428:T443" si="416">ROUND(CU428*I428,2)</f>
        <v>0</v>
      </c>
      <c r="U428">
        <f t="shared" ref="U428:U443" si="417">CV428*I428</f>
        <v>0.36000000000000004</v>
      </c>
      <c r="V428">
        <f t="shared" ref="V428:V443" si="418">CW428*I428</f>
        <v>0</v>
      </c>
      <c r="W428">
        <f t="shared" ref="W428:W443" si="419">ROUND(CX428*I428,2)</f>
        <v>0</v>
      </c>
      <c r="X428">
        <f t="shared" ref="X428:X443" si="420">ROUND(CY428,2)</f>
        <v>155.61000000000001</v>
      </c>
      <c r="Y428">
        <f t="shared" ref="Y428:Y443" si="421">ROUND(CZ428,2)</f>
        <v>22.23</v>
      </c>
      <c r="AA428">
        <v>1472506909</v>
      </c>
      <c r="AB428">
        <f t="shared" ref="AB428:AB443" si="422">ROUND((AC428+AD428+AF428),6)</f>
        <v>277.87</v>
      </c>
      <c r="AC428">
        <f>ROUND((ES428),6)</f>
        <v>0</v>
      </c>
      <c r="AD428">
        <f>ROUND((((ET428)-(EU428))+AE428),6)</f>
        <v>0</v>
      </c>
      <c r="AE428">
        <f t="shared" ref="AE428:AF432" si="423">ROUND((EU428),6)</f>
        <v>0</v>
      </c>
      <c r="AF428">
        <f t="shared" si="423"/>
        <v>277.87</v>
      </c>
      <c r="AG428">
        <f t="shared" ref="AG428:AG443" si="424">ROUND((AP428),6)</f>
        <v>0</v>
      </c>
      <c r="AH428">
        <f t="shared" ref="AH428:AI432" si="425">(EW428)</f>
        <v>0.45</v>
      </c>
      <c r="AI428">
        <f t="shared" si="425"/>
        <v>0</v>
      </c>
      <c r="AJ428">
        <f t="shared" ref="AJ428:AJ443" si="426">(AS428)</f>
        <v>0</v>
      </c>
      <c r="AK428">
        <v>277.87</v>
      </c>
      <c r="AL428">
        <v>0</v>
      </c>
      <c r="AM428">
        <v>0</v>
      </c>
      <c r="AN428">
        <v>0</v>
      </c>
      <c r="AO428">
        <v>277.87</v>
      </c>
      <c r="AP428">
        <v>0</v>
      </c>
      <c r="AQ428">
        <v>0.45</v>
      </c>
      <c r="AR428">
        <v>0</v>
      </c>
      <c r="AS428">
        <v>0</v>
      </c>
      <c r="AT428">
        <v>70</v>
      </c>
      <c r="AU428">
        <v>10</v>
      </c>
      <c r="AV428">
        <v>1</v>
      </c>
      <c r="AW428">
        <v>1</v>
      </c>
      <c r="AZ428">
        <v>1</v>
      </c>
      <c r="BA428">
        <v>1</v>
      </c>
      <c r="BB428">
        <v>1</v>
      </c>
      <c r="BC428">
        <v>1</v>
      </c>
      <c r="BD428" t="s">
        <v>3</v>
      </c>
      <c r="BE428" t="s">
        <v>3</v>
      </c>
      <c r="BF428" t="s">
        <v>3</v>
      </c>
      <c r="BG428" t="s">
        <v>3</v>
      </c>
      <c r="BH428">
        <v>0</v>
      </c>
      <c r="BI428">
        <v>4</v>
      </c>
      <c r="BJ428" t="s">
        <v>95</v>
      </c>
      <c r="BM428">
        <v>0</v>
      </c>
      <c r="BN428">
        <v>0</v>
      </c>
      <c r="BO428" t="s">
        <v>3</v>
      </c>
      <c r="BP428">
        <v>0</v>
      </c>
      <c r="BQ428">
        <v>1</v>
      </c>
      <c r="BR428">
        <v>0</v>
      </c>
      <c r="BS428">
        <v>1</v>
      </c>
      <c r="BT428">
        <v>1</v>
      </c>
      <c r="BU428">
        <v>1</v>
      </c>
      <c r="BV428">
        <v>1</v>
      </c>
      <c r="BW428">
        <v>1</v>
      </c>
      <c r="BX428">
        <v>1</v>
      </c>
      <c r="BY428" t="s">
        <v>3</v>
      </c>
      <c r="BZ428">
        <v>70</v>
      </c>
      <c r="CA428">
        <v>10</v>
      </c>
      <c r="CB428" t="s">
        <v>3</v>
      </c>
      <c r="CE428">
        <v>0</v>
      </c>
      <c r="CF428">
        <v>0</v>
      </c>
      <c r="CG428">
        <v>0</v>
      </c>
      <c r="CM428">
        <v>0</v>
      </c>
      <c r="CN428" t="s">
        <v>3</v>
      </c>
      <c r="CO428">
        <v>0</v>
      </c>
      <c r="CP428">
        <f t="shared" ref="CP428:CP443" si="427">(P428+Q428+S428)</f>
        <v>222.3</v>
      </c>
      <c r="CQ428">
        <f>(AC428*BC428*AW428)</f>
        <v>0</v>
      </c>
      <c r="CR428">
        <f>((((ET428)*BB428-(EU428)*BS428)+AE428*BS428)*AV428)</f>
        <v>0</v>
      </c>
      <c r="CS428">
        <f>(AE428*BS428*AV428)</f>
        <v>0</v>
      </c>
      <c r="CT428">
        <f>(AF428*BA428*AV428)</f>
        <v>277.87</v>
      </c>
      <c r="CU428">
        <f t="shared" ref="CU428:CU443" si="428">AG428</f>
        <v>0</v>
      </c>
      <c r="CV428">
        <f>(AH428*AV428)</f>
        <v>0.45</v>
      </c>
      <c r="CW428">
        <f t="shared" ref="CW428:CW443" si="429">AI428</f>
        <v>0</v>
      </c>
      <c r="CX428">
        <f t="shared" ref="CX428:CX443" si="430">AJ428</f>
        <v>0</v>
      </c>
      <c r="CY428">
        <f>((S428*BZ428)/100)</f>
        <v>155.61000000000001</v>
      </c>
      <c r="CZ428">
        <f>((S428*CA428)/100)</f>
        <v>22.23</v>
      </c>
      <c r="DC428" t="s">
        <v>3</v>
      </c>
      <c r="DD428" t="s">
        <v>3</v>
      </c>
      <c r="DE428" t="s">
        <v>3</v>
      </c>
      <c r="DF428" t="s">
        <v>3</v>
      </c>
      <c r="DG428" t="s">
        <v>3</v>
      </c>
      <c r="DH428" t="s">
        <v>3</v>
      </c>
      <c r="DI428" t="s">
        <v>3</v>
      </c>
      <c r="DJ428" t="s">
        <v>3</v>
      </c>
      <c r="DK428" t="s">
        <v>3</v>
      </c>
      <c r="DL428" t="s">
        <v>3</v>
      </c>
      <c r="DM428" t="s">
        <v>3</v>
      </c>
      <c r="DN428">
        <v>0</v>
      </c>
      <c r="DO428">
        <v>0</v>
      </c>
      <c r="DP428">
        <v>1</v>
      </c>
      <c r="DQ428">
        <v>1</v>
      </c>
      <c r="DU428">
        <v>16987630</v>
      </c>
      <c r="DV428" t="s">
        <v>94</v>
      </c>
      <c r="DW428" t="s">
        <v>94</v>
      </c>
      <c r="DX428">
        <v>10</v>
      </c>
      <c r="DZ428" t="s">
        <v>3</v>
      </c>
      <c r="EA428" t="s">
        <v>3</v>
      </c>
      <c r="EB428" t="s">
        <v>3</v>
      </c>
      <c r="EC428" t="s">
        <v>3</v>
      </c>
      <c r="EE428">
        <v>1441815344</v>
      </c>
      <c r="EF428">
        <v>1</v>
      </c>
      <c r="EG428" t="s">
        <v>22</v>
      </c>
      <c r="EH428">
        <v>0</v>
      </c>
      <c r="EI428" t="s">
        <v>3</v>
      </c>
      <c r="EJ428">
        <v>4</v>
      </c>
      <c r="EK428">
        <v>0</v>
      </c>
      <c r="EL428" t="s">
        <v>23</v>
      </c>
      <c r="EM428" t="s">
        <v>24</v>
      </c>
      <c r="EO428" t="s">
        <v>3</v>
      </c>
      <c r="EQ428">
        <v>0</v>
      </c>
      <c r="ER428">
        <v>277.87</v>
      </c>
      <c r="ES428">
        <v>0</v>
      </c>
      <c r="ET428">
        <v>0</v>
      </c>
      <c r="EU428">
        <v>0</v>
      </c>
      <c r="EV428">
        <v>277.87</v>
      </c>
      <c r="EW428">
        <v>0.45</v>
      </c>
      <c r="EX428">
        <v>0</v>
      </c>
      <c r="EY428">
        <v>0</v>
      </c>
      <c r="FQ428">
        <v>0</v>
      </c>
      <c r="FR428">
        <f t="shared" ref="FR428:FR443" si="431">ROUND(IF(BI428=3,GM428,0),2)</f>
        <v>0</v>
      </c>
      <c r="FS428">
        <v>0</v>
      </c>
      <c r="FX428">
        <v>70</v>
      </c>
      <c r="FY428">
        <v>10</v>
      </c>
      <c r="GA428" t="s">
        <v>3</v>
      </c>
      <c r="GD428">
        <v>0</v>
      </c>
      <c r="GF428">
        <v>-559430364</v>
      </c>
      <c r="GG428">
        <v>2</v>
      </c>
      <c r="GH428">
        <v>1</v>
      </c>
      <c r="GI428">
        <v>-2</v>
      </c>
      <c r="GJ428">
        <v>0</v>
      </c>
      <c r="GK428">
        <f>ROUND(R428*(R12)/100,2)</f>
        <v>0</v>
      </c>
      <c r="GL428">
        <f t="shared" ref="GL428:GL443" si="432">ROUND(IF(AND(BH428=3,BI428=3,FS428&lt;&gt;0),P428,0),2)</f>
        <v>0</v>
      </c>
      <c r="GM428">
        <f t="shared" ref="GM428:GM443" si="433">ROUND(O428+X428+Y428+GK428,2)+GX428</f>
        <v>400.14</v>
      </c>
      <c r="GN428">
        <f t="shared" ref="GN428:GN443" si="434">IF(OR(BI428=0,BI428=1),GM428-GX428,0)</f>
        <v>0</v>
      </c>
      <c r="GO428">
        <f t="shared" ref="GO428:GO443" si="435">IF(BI428=2,GM428-GX428,0)</f>
        <v>0</v>
      </c>
      <c r="GP428">
        <f t="shared" ref="GP428:GP443" si="436">IF(BI428=4,GM428-GX428,0)</f>
        <v>400.14</v>
      </c>
      <c r="GR428">
        <v>0</v>
      </c>
      <c r="GS428">
        <v>3</v>
      </c>
      <c r="GT428">
        <v>0</v>
      </c>
      <c r="GU428" t="s">
        <v>3</v>
      </c>
      <c r="GV428">
        <f t="shared" ref="GV428:GV443" si="437">ROUND((GT428),6)</f>
        <v>0</v>
      </c>
      <c r="GW428">
        <v>1</v>
      </c>
      <c r="GX428">
        <f t="shared" ref="GX428:GX443" si="438">ROUND(HC428*I428,2)</f>
        <v>0</v>
      </c>
      <c r="HA428">
        <v>0</v>
      </c>
      <c r="HB428">
        <v>0</v>
      </c>
      <c r="HC428">
        <f t="shared" ref="HC428:HC443" si="439">GV428*GW428</f>
        <v>0</v>
      </c>
      <c r="HE428" t="s">
        <v>3</v>
      </c>
      <c r="HF428" t="s">
        <v>3</v>
      </c>
      <c r="HM428" t="s">
        <v>3</v>
      </c>
      <c r="HN428" t="s">
        <v>3</v>
      </c>
      <c r="HO428" t="s">
        <v>3</v>
      </c>
      <c r="HP428" t="s">
        <v>3</v>
      </c>
      <c r="HQ428" t="s">
        <v>3</v>
      </c>
      <c r="IK428">
        <v>0</v>
      </c>
    </row>
    <row r="429" spans="1:245" x14ac:dyDescent="0.2">
      <c r="A429">
        <v>17</v>
      </c>
      <c r="B429">
        <v>1</v>
      </c>
      <c r="D429">
        <f>ROW(EtalonRes!A220)</f>
        <v>220</v>
      </c>
      <c r="E429" t="s">
        <v>370</v>
      </c>
      <c r="F429" t="s">
        <v>306</v>
      </c>
      <c r="G429" t="s">
        <v>307</v>
      </c>
      <c r="H429" t="s">
        <v>94</v>
      </c>
      <c r="I429">
        <f>ROUND((2+2+1+2)/10,9)</f>
        <v>0.7</v>
      </c>
      <c r="J429">
        <v>0</v>
      </c>
      <c r="K429">
        <f>ROUND((2+2+1+2)/10,9)</f>
        <v>0.7</v>
      </c>
      <c r="O429">
        <f t="shared" si="411"/>
        <v>397.66</v>
      </c>
      <c r="P429">
        <f t="shared" si="412"/>
        <v>0</v>
      </c>
      <c r="Q429">
        <f t="shared" si="413"/>
        <v>0</v>
      </c>
      <c r="R429">
        <f t="shared" si="414"/>
        <v>0</v>
      </c>
      <c r="S429">
        <f t="shared" si="415"/>
        <v>397.66</v>
      </c>
      <c r="T429">
        <f t="shared" si="416"/>
        <v>0</v>
      </c>
      <c r="U429">
        <f t="shared" si="417"/>
        <v>0.64400000000000002</v>
      </c>
      <c r="V429">
        <f t="shared" si="418"/>
        <v>0</v>
      </c>
      <c r="W429">
        <f t="shared" si="419"/>
        <v>0</v>
      </c>
      <c r="X429">
        <f t="shared" si="420"/>
        <v>278.36</v>
      </c>
      <c r="Y429">
        <f t="shared" si="421"/>
        <v>39.770000000000003</v>
      </c>
      <c r="AA429">
        <v>1472506909</v>
      </c>
      <c r="AB429">
        <f t="shared" si="422"/>
        <v>568.09</v>
      </c>
      <c r="AC429">
        <f>ROUND((ES429),6)</f>
        <v>0</v>
      </c>
      <c r="AD429">
        <f>ROUND((((ET429)-(EU429))+AE429),6)</f>
        <v>0</v>
      </c>
      <c r="AE429">
        <f t="shared" si="423"/>
        <v>0</v>
      </c>
      <c r="AF429">
        <f t="shared" si="423"/>
        <v>568.09</v>
      </c>
      <c r="AG429">
        <f t="shared" si="424"/>
        <v>0</v>
      </c>
      <c r="AH429">
        <f t="shared" si="425"/>
        <v>0.92</v>
      </c>
      <c r="AI429">
        <f t="shared" si="425"/>
        <v>0</v>
      </c>
      <c r="AJ429">
        <f t="shared" si="426"/>
        <v>0</v>
      </c>
      <c r="AK429">
        <v>568.09</v>
      </c>
      <c r="AL429">
        <v>0</v>
      </c>
      <c r="AM429">
        <v>0</v>
      </c>
      <c r="AN429">
        <v>0</v>
      </c>
      <c r="AO429">
        <v>568.09</v>
      </c>
      <c r="AP429">
        <v>0</v>
      </c>
      <c r="AQ429">
        <v>0.92</v>
      </c>
      <c r="AR429">
        <v>0</v>
      </c>
      <c r="AS429">
        <v>0</v>
      </c>
      <c r="AT429">
        <v>70</v>
      </c>
      <c r="AU429">
        <v>10</v>
      </c>
      <c r="AV429">
        <v>1</v>
      </c>
      <c r="AW429">
        <v>1</v>
      </c>
      <c r="AZ429">
        <v>1</v>
      </c>
      <c r="BA429">
        <v>1</v>
      </c>
      <c r="BB429">
        <v>1</v>
      </c>
      <c r="BC429">
        <v>1</v>
      </c>
      <c r="BD429" t="s">
        <v>3</v>
      </c>
      <c r="BE429" t="s">
        <v>3</v>
      </c>
      <c r="BF429" t="s">
        <v>3</v>
      </c>
      <c r="BG429" t="s">
        <v>3</v>
      </c>
      <c r="BH429">
        <v>0</v>
      </c>
      <c r="BI429">
        <v>4</v>
      </c>
      <c r="BJ429" t="s">
        <v>308</v>
      </c>
      <c r="BM429">
        <v>0</v>
      </c>
      <c r="BN429">
        <v>0</v>
      </c>
      <c r="BO429" t="s">
        <v>3</v>
      </c>
      <c r="BP429">
        <v>0</v>
      </c>
      <c r="BQ429">
        <v>1</v>
      </c>
      <c r="BR429">
        <v>0</v>
      </c>
      <c r="BS429">
        <v>1</v>
      </c>
      <c r="BT429">
        <v>1</v>
      </c>
      <c r="BU429">
        <v>1</v>
      </c>
      <c r="BV429">
        <v>1</v>
      </c>
      <c r="BW429">
        <v>1</v>
      </c>
      <c r="BX429">
        <v>1</v>
      </c>
      <c r="BY429" t="s">
        <v>3</v>
      </c>
      <c r="BZ429">
        <v>70</v>
      </c>
      <c r="CA429">
        <v>10</v>
      </c>
      <c r="CB429" t="s">
        <v>3</v>
      </c>
      <c r="CE429">
        <v>0</v>
      </c>
      <c r="CF429">
        <v>0</v>
      </c>
      <c r="CG429">
        <v>0</v>
      </c>
      <c r="CM429">
        <v>0</v>
      </c>
      <c r="CN429" t="s">
        <v>3</v>
      </c>
      <c r="CO429">
        <v>0</v>
      </c>
      <c r="CP429">
        <f t="shared" si="427"/>
        <v>397.66</v>
      </c>
      <c r="CQ429">
        <f>(AC429*BC429*AW429)</f>
        <v>0</v>
      </c>
      <c r="CR429">
        <f>((((ET429)*BB429-(EU429)*BS429)+AE429*BS429)*AV429)</f>
        <v>0</v>
      </c>
      <c r="CS429">
        <f>(AE429*BS429*AV429)</f>
        <v>0</v>
      </c>
      <c r="CT429">
        <f>(AF429*BA429*AV429)</f>
        <v>568.09</v>
      </c>
      <c r="CU429">
        <f t="shared" si="428"/>
        <v>0</v>
      </c>
      <c r="CV429">
        <f>(AH429*AV429)</f>
        <v>0.92</v>
      </c>
      <c r="CW429">
        <f t="shared" si="429"/>
        <v>0</v>
      </c>
      <c r="CX429">
        <f t="shared" si="430"/>
        <v>0</v>
      </c>
      <c r="CY429">
        <f>((S429*BZ429)/100)</f>
        <v>278.36200000000002</v>
      </c>
      <c r="CZ429">
        <f>((S429*CA429)/100)</f>
        <v>39.766000000000005</v>
      </c>
      <c r="DC429" t="s">
        <v>3</v>
      </c>
      <c r="DD429" t="s">
        <v>3</v>
      </c>
      <c r="DE429" t="s">
        <v>3</v>
      </c>
      <c r="DF429" t="s">
        <v>3</v>
      </c>
      <c r="DG429" t="s">
        <v>3</v>
      </c>
      <c r="DH429" t="s">
        <v>3</v>
      </c>
      <c r="DI429" t="s">
        <v>3</v>
      </c>
      <c r="DJ429" t="s">
        <v>3</v>
      </c>
      <c r="DK429" t="s">
        <v>3</v>
      </c>
      <c r="DL429" t="s">
        <v>3</v>
      </c>
      <c r="DM429" t="s">
        <v>3</v>
      </c>
      <c r="DN429">
        <v>0</v>
      </c>
      <c r="DO429">
        <v>0</v>
      </c>
      <c r="DP429">
        <v>1</v>
      </c>
      <c r="DQ429">
        <v>1</v>
      </c>
      <c r="DU429">
        <v>16987630</v>
      </c>
      <c r="DV429" t="s">
        <v>94</v>
      </c>
      <c r="DW429" t="s">
        <v>94</v>
      </c>
      <c r="DX429">
        <v>10</v>
      </c>
      <c r="DZ429" t="s">
        <v>3</v>
      </c>
      <c r="EA429" t="s">
        <v>3</v>
      </c>
      <c r="EB429" t="s">
        <v>3</v>
      </c>
      <c r="EC429" t="s">
        <v>3</v>
      </c>
      <c r="EE429">
        <v>1441815344</v>
      </c>
      <c r="EF429">
        <v>1</v>
      </c>
      <c r="EG429" t="s">
        <v>22</v>
      </c>
      <c r="EH429">
        <v>0</v>
      </c>
      <c r="EI429" t="s">
        <v>3</v>
      </c>
      <c r="EJ429">
        <v>4</v>
      </c>
      <c r="EK429">
        <v>0</v>
      </c>
      <c r="EL429" t="s">
        <v>23</v>
      </c>
      <c r="EM429" t="s">
        <v>24</v>
      </c>
      <c r="EO429" t="s">
        <v>3</v>
      </c>
      <c r="EQ429">
        <v>0</v>
      </c>
      <c r="ER429">
        <v>568.09</v>
      </c>
      <c r="ES429">
        <v>0</v>
      </c>
      <c r="ET429">
        <v>0</v>
      </c>
      <c r="EU429">
        <v>0</v>
      </c>
      <c r="EV429">
        <v>568.09</v>
      </c>
      <c r="EW429">
        <v>0.92</v>
      </c>
      <c r="EX429">
        <v>0</v>
      </c>
      <c r="EY429">
        <v>0</v>
      </c>
      <c r="FQ429">
        <v>0</v>
      </c>
      <c r="FR429">
        <f t="shared" si="431"/>
        <v>0</v>
      </c>
      <c r="FS429">
        <v>0</v>
      </c>
      <c r="FX429">
        <v>70</v>
      </c>
      <c r="FY429">
        <v>10</v>
      </c>
      <c r="GA429" t="s">
        <v>3</v>
      </c>
      <c r="GD429">
        <v>0</v>
      </c>
      <c r="GF429">
        <v>2082338734</v>
      </c>
      <c r="GG429">
        <v>2</v>
      </c>
      <c r="GH429">
        <v>1</v>
      </c>
      <c r="GI429">
        <v>-2</v>
      </c>
      <c r="GJ429">
        <v>0</v>
      </c>
      <c r="GK429">
        <f>ROUND(R429*(R12)/100,2)</f>
        <v>0</v>
      </c>
      <c r="GL429">
        <f t="shared" si="432"/>
        <v>0</v>
      </c>
      <c r="GM429">
        <f t="shared" si="433"/>
        <v>715.79</v>
      </c>
      <c r="GN429">
        <f t="shared" si="434"/>
        <v>0</v>
      </c>
      <c r="GO429">
        <f t="shared" si="435"/>
        <v>0</v>
      </c>
      <c r="GP429">
        <f t="shared" si="436"/>
        <v>715.79</v>
      </c>
      <c r="GR429">
        <v>0</v>
      </c>
      <c r="GS429">
        <v>3</v>
      </c>
      <c r="GT429">
        <v>0</v>
      </c>
      <c r="GU429" t="s">
        <v>3</v>
      </c>
      <c r="GV429">
        <f t="shared" si="437"/>
        <v>0</v>
      </c>
      <c r="GW429">
        <v>1</v>
      </c>
      <c r="GX429">
        <f t="shared" si="438"/>
        <v>0</v>
      </c>
      <c r="HA429">
        <v>0</v>
      </c>
      <c r="HB429">
        <v>0</v>
      </c>
      <c r="HC429">
        <f t="shared" si="439"/>
        <v>0</v>
      </c>
      <c r="HE429" t="s">
        <v>3</v>
      </c>
      <c r="HF429" t="s">
        <v>3</v>
      </c>
      <c r="HM429" t="s">
        <v>3</v>
      </c>
      <c r="HN429" t="s">
        <v>3</v>
      </c>
      <c r="HO429" t="s">
        <v>3</v>
      </c>
      <c r="HP429" t="s">
        <v>3</v>
      </c>
      <c r="HQ429" t="s">
        <v>3</v>
      </c>
      <c r="IK429">
        <v>0</v>
      </c>
    </row>
    <row r="430" spans="1:245" x14ac:dyDescent="0.2">
      <c r="A430">
        <v>17</v>
      </c>
      <c r="B430">
        <v>1</v>
      </c>
      <c r="D430">
        <f>ROW(EtalonRes!A221)</f>
        <v>221</v>
      </c>
      <c r="E430" t="s">
        <v>3</v>
      </c>
      <c r="F430" t="s">
        <v>225</v>
      </c>
      <c r="G430" t="s">
        <v>226</v>
      </c>
      <c r="H430" t="s">
        <v>20</v>
      </c>
      <c r="I430">
        <v>8</v>
      </c>
      <c r="J430">
        <v>0</v>
      </c>
      <c r="K430">
        <v>8</v>
      </c>
      <c r="O430">
        <f t="shared" si="411"/>
        <v>5779.68</v>
      </c>
      <c r="P430">
        <f t="shared" si="412"/>
        <v>0</v>
      </c>
      <c r="Q430">
        <f t="shared" si="413"/>
        <v>0</v>
      </c>
      <c r="R430">
        <f t="shared" si="414"/>
        <v>0</v>
      </c>
      <c r="S430">
        <f t="shared" si="415"/>
        <v>5779.68</v>
      </c>
      <c r="T430">
        <f t="shared" si="416"/>
        <v>0</v>
      </c>
      <c r="U430">
        <f t="shared" si="417"/>
        <v>9.36</v>
      </c>
      <c r="V430">
        <f t="shared" si="418"/>
        <v>0</v>
      </c>
      <c r="W430">
        <f t="shared" si="419"/>
        <v>0</v>
      </c>
      <c r="X430">
        <f t="shared" si="420"/>
        <v>4045.78</v>
      </c>
      <c r="Y430">
        <f t="shared" si="421"/>
        <v>577.97</v>
      </c>
      <c r="AA430">
        <v>-1</v>
      </c>
      <c r="AB430">
        <f t="shared" si="422"/>
        <v>722.46</v>
      </c>
      <c r="AC430">
        <f>ROUND((ES430),6)</f>
        <v>0</v>
      </c>
      <c r="AD430">
        <f>ROUND((((ET430)-(EU430))+AE430),6)</f>
        <v>0</v>
      </c>
      <c r="AE430">
        <f t="shared" si="423"/>
        <v>0</v>
      </c>
      <c r="AF430">
        <f t="shared" si="423"/>
        <v>722.46</v>
      </c>
      <c r="AG430">
        <f t="shared" si="424"/>
        <v>0</v>
      </c>
      <c r="AH430">
        <f t="shared" si="425"/>
        <v>1.17</v>
      </c>
      <c r="AI430">
        <f t="shared" si="425"/>
        <v>0</v>
      </c>
      <c r="AJ430">
        <f t="shared" si="426"/>
        <v>0</v>
      </c>
      <c r="AK430">
        <v>722.46</v>
      </c>
      <c r="AL430">
        <v>0</v>
      </c>
      <c r="AM430">
        <v>0</v>
      </c>
      <c r="AN430">
        <v>0</v>
      </c>
      <c r="AO430">
        <v>722.46</v>
      </c>
      <c r="AP430">
        <v>0</v>
      </c>
      <c r="AQ430">
        <v>1.17</v>
      </c>
      <c r="AR430">
        <v>0</v>
      </c>
      <c r="AS430">
        <v>0</v>
      </c>
      <c r="AT430">
        <v>70</v>
      </c>
      <c r="AU430">
        <v>10</v>
      </c>
      <c r="AV430">
        <v>1</v>
      </c>
      <c r="AW430">
        <v>1</v>
      </c>
      <c r="AZ430">
        <v>1</v>
      </c>
      <c r="BA430">
        <v>1</v>
      </c>
      <c r="BB430">
        <v>1</v>
      </c>
      <c r="BC430">
        <v>1</v>
      </c>
      <c r="BD430" t="s">
        <v>3</v>
      </c>
      <c r="BE430" t="s">
        <v>3</v>
      </c>
      <c r="BF430" t="s">
        <v>3</v>
      </c>
      <c r="BG430" t="s">
        <v>3</v>
      </c>
      <c r="BH430">
        <v>0</v>
      </c>
      <c r="BI430">
        <v>4</v>
      </c>
      <c r="BJ430" t="s">
        <v>227</v>
      </c>
      <c r="BM430">
        <v>0</v>
      </c>
      <c r="BN430">
        <v>0</v>
      </c>
      <c r="BO430" t="s">
        <v>3</v>
      </c>
      <c r="BP430">
        <v>0</v>
      </c>
      <c r="BQ430">
        <v>1</v>
      </c>
      <c r="BR430">
        <v>0</v>
      </c>
      <c r="BS430">
        <v>1</v>
      </c>
      <c r="BT430">
        <v>1</v>
      </c>
      <c r="BU430">
        <v>1</v>
      </c>
      <c r="BV430">
        <v>1</v>
      </c>
      <c r="BW430">
        <v>1</v>
      </c>
      <c r="BX430">
        <v>1</v>
      </c>
      <c r="BY430" t="s">
        <v>3</v>
      </c>
      <c r="BZ430">
        <v>70</v>
      </c>
      <c r="CA430">
        <v>10</v>
      </c>
      <c r="CB430" t="s">
        <v>3</v>
      </c>
      <c r="CE430">
        <v>0</v>
      </c>
      <c r="CF430">
        <v>0</v>
      </c>
      <c r="CG430">
        <v>0</v>
      </c>
      <c r="CM430">
        <v>0</v>
      </c>
      <c r="CN430" t="s">
        <v>3</v>
      </c>
      <c r="CO430">
        <v>0</v>
      </c>
      <c r="CP430">
        <f t="shared" si="427"/>
        <v>5779.68</v>
      </c>
      <c r="CQ430">
        <f>(AC430*BC430*AW430)</f>
        <v>0</v>
      </c>
      <c r="CR430">
        <f>((((ET430)*BB430-(EU430)*BS430)+AE430*BS430)*AV430)</f>
        <v>0</v>
      </c>
      <c r="CS430">
        <f>(AE430*BS430*AV430)</f>
        <v>0</v>
      </c>
      <c r="CT430">
        <f>(AF430*BA430*AV430)</f>
        <v>722.46</v>
      </c>
      <c r="CU430">
        <f t="shared" si="428"/>
        <v>0</v>
      </c>
      <c r="CV430">
        <f>(AH430*AV430)</f>
        <v>1.17</v>
      </c>
      <c r="CW430">
        <f t="shared" si="429"/>
        <v>0</v>
      </c>
      <c r="CX430">
        <f t="shared" si="430"/>
        <v>0</v>
      </c>
      <c r="CY430">
        <f>((S430*BZ430)/100)</f>
        <v>4045.7760000000003</v>
      </c>
      <c r="CZ430">
        <f>((S430*CA430)/100)</f>
        <v>577.96800000000007</v>
      </c>
      <c r="DC430" t="s">
        <v>3</v>
      </c>
      <c r="DD430" t="s">
        <v>3</v>
      </c>
      <c r="DE430" t="s">
        <v>3</v>
      </c>
      <c r="DF430" t="s">
        <v>3</v>
      </c>
      <c r="DG430" t="s">
        <v>3</v>
      </c>
      <c r="DH430" t="s">
        <v>3</v>
      </c>
      <c r="DI430" t="s">
        <v>3</v>
      </c>
      <c r="DJ430" t="s">
        <v>3</v>
      </c>
      <c r="DK430" t="s">
        <v>3</v>
      </c>
      <c r="DL430" t="s">
        <v>3</v>
      </c>
      <c r="DM430" t="s">
        <v>3</v>
      </c>
      <c r="DN430">
        <v>0</v>
      </c>
      <c r="DO430">
        <v>0</v>
      </c>
      <c r="DP430">
        <v>1</v>
      </c>
      <c r="DQ430">
        <v>1</v>
      </c>
      <c r="DU430">
        <v>16987630</v>
      </c>
      <c r="DV430" t="s">
        <v>20</v>
      </c>
      <c r="DW430" t="s">
        <v>20</v>
      </c>
      <c r="DX430">
        <v>1</v>
      </c>
      <c r="DZ430" t="s">
        <v>3</v>
      </c>
      <c r="EA430" t="s">
        <v>3</v>
      </c>
      <c r="EB430" t="s">
        <v>3</v>
      </c>
      <c r="EC430" t="s">
        <v>3</v>
      </c>
      <c r="EE430">
        <v>1441815344</v>
      </c>
      <c r="EF430">
        <v>1</v>
      </c>
      <c r="EG430" t="s">
        <v>22</v>
      </c>
      <c r="EH430">
        <v>0</v>
      </c>
      <c r="EI430" t="s">
        <v>3</v>
      </c>
      <c r="EJ430">
        <v>4</v>
      </c>
      <c r="EK430">
        <v>0</v>
      </c>
      <c r="EL430" t="s">
        <v>23</v>
      </c>
      <c r="EM430" t="s">
        <v>24</v>
      </c>
      <c r="EO430" t="s">
        <v>3</v>
      </c>
      <c r="EQ430">
        <v>1024</v>
      </c>
      <c r="ER430">
        <v>722.46</v>
      </c>
      <c r="ES430">
        <v>0</v>
      </c>
      <c r="ET430">
        <v>0</v>
      </c>
      <c r="EU430">
        <v>0</v>
      </c>
      <c r="EV430">
        <v>722.46</v>
      </c>
      <c r="EW430">
        <v>1.17</v>
      </c>
      <c r="EX430">
        <v>0</v>
      </c>
      <c r="EY430">
        <v>0</v>
      </c>
      <c r="FQ430">
        <v>0</v>
      </c>
      <c r="FR430">
        <f t="shared" si="431"/>
        <v>0</v>
      </c>
      <c r="FS430">
        <v>0</v>
      </c>
      <c r="FX430">
        <v>70</v>
      </c>
      <c r="FY430">
        <v>10</v>
      </c>
      <c r="GA430" t="s">
        <v>3</v>
      </c>
      <c r="GD430">
        <v>0</v>
      </c>
      <c r="GF430">
        <v>1164262949</v>
      </c>
      <c r="GG430">
        <v>2</v>
      </c>
      <c r="GH430">
        <v>1</v>
      </c>
      <c r="GI430">
        <v>-2</v>
      </c>
      <c r="GJ430">
        <v>0</v>
      </c>
      <c r="GK430">
        <f>ROUND(R430*(R12)/100,2)</f>
        <v>0</v>
      </c>
      <c r="GL430">
        <f t="shared" si="432"/>
        <v>0</v>
      </c>
      <c r="GM430">
        <f t="shared" si="433"/>
        <v>10403.43</v>
      </c>
      <c r="GN430">
        <f t="shared" si="434"/>
        <v>0</v>
      </c>
      <c r="GO430">
        <f t="shared" si="435"/>
        <v>0</v>
      </c>
      <c r="GP430">
        <f t="shared" si="436"/>
        <v>10403.43</v>
      </c>
      <c r="GR430">
        <v>0</v>
      </c>
      <c r="GS430">
        <v>3</v>
      </c>
      <c r="GT430">
        <v>0</v>
      </c>
      <c r="GU430" t="s">
        <v>3</v>
      </c>
      <c r="GV430">
        <f t="shared" si="437"/>
        <v>0</v>
      </c>
      <c r="GW430">
        <v>1</v>
      </c>
      <c r="GX430">
        <f t="shared" si="438"/>
        <v>0</v>
      </c>
      <c r="HA430">
        <v>0</v>
      </c>
      <c r="HB430">
        <v>0</v>
      </c>
      <c r="HC430">
        <f t="shared" si="439"/>
        <v>0</v>
      </c>
      <c r="HE430" t="s">
        <v>3</v>
      </c>
      <c r="HF430" t="s">
        <v>3</v>
      </c>
      <c r="HM430" t="s">
        <v>3</v>
      </c>
      <c r="HN430" t="s">
        <v>3</v>
      </c>
      <c r="HO430" t="s">
        <v>3</v>
      </c>
      <c r="HP430" t="s">
        <v>3</v>
      </c>
      <c r="HQ430" t="s">
        <v>3</v>
      </c>
      <c r="IK430">
        <v>0</v>
      </c>
    </row>
    <row r="431" spans="1:245" x14ac:dyDescent="0.2">
      <c r="A431">
        <v>17</v>
      </c>
      <c r="B431">
        <v>1</v>
      </c>
      <c r="E431" t="s">
        <v>3</v>
      </c>
      <c r="F431" t="s">
        <v>187</v>
      </c>
      <c r="G431" t="s">
        <v>228</v>
      </c>
      <c r="H431" t="s">
        <v>189</v>
      </c>
      <c r="I431">
        <v>8</v>
      </c>
      <c r="J431">
        <v>0</v>
      </c>
      <c r="K431">
        <v>8</v>
      </c>
      <c r="O431">
        <f t="shared" si="411"/>
        <v>1440</v>
      </c>
      <c r="P431">
        <f t="shared" si="412"/>
        <v>1440</v>
      </c>
      <c r="Q431">
        <f t="shared" si="413"/>
        <v>0</v>
      </c>
      <c r="R431">
        <f t="shared" si="414"/>
        <v>0</v>
      </c>
      <c r="S431">
        <f t="shared" si="415"/>
        <v>0</v>
      </c>
      <c r="T431">
        <f t="shared" si="416"/>
        <v>0</v>
      </c>
      <c r="U431">
        <f t="shared" si="417"/>
        <v>0</v>
      </c>
      <c r="V431">
        <f t="shared" si="418"/>
        <v>0</v>
      </c>
      <c r="W431">
        <f t="shared" si="419"/>
        <v>0</v>
      </c>
      <c r="X431">
        <f t="shared" si="420"/>
        <v>0</v>
      </c>
      <c r="Y431">
        <f t="shared" si="421"/>
        <v>0</v>
      </c>
      <c r="AA431">
        <v>-1</v>
      </c>
      <c r="AB431">
        <f t="shared" si="422"/>
        <v>180</v>
      </c>
      <c r="AC431">
        <f>ROUND((ES431),6)</f>
        <v>180</v>
      </c>
      <c r="AD431">
        <f>ROUND((ET431),6)</f>
        <v>0</v>
      </c>
      <c r="AE431">
        <f t="shared" si="423"/>
        <v>0</v>
      </c>
      <c r="AF431">
        <f t="shared" si="423"/>
        <v>0</v>
      </c>
      <c r="AG431">
        <f t="shared" si="424"/>
        <v>0</v>
      </c>
      <c r="AH431">
        <f t="shared" si="425"/>
        <v>0</v>
      </c>
      <c r="AI431">
        <f t="shared" si="425"/>
        <v>0</v>
      </c>
      <c r="AJ431">
        <f t="shared" si="426"/>
        <v>0</v>
      </c>
      <c r="AK431">
        <v>180</v>
      </c>
      <c r="AL431">
        <v>180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1</v>
      </c>
      <c r="AW431">
        <v>1</v>
      </c>
      <c r="AZ431">
        <v>1</v>
      </c>
      <c r="BA431">
        <v>1</v>
      </c>
      <c r="BB431">
        <v>1</v>
      </c>
      <c r="BC431">
        <v>1</v>
      </c>
      <c r="BD431" t="s">
        <v>3</v>
      </c>
      <c r="BE431" t="s">
        <v>3</v>
      </c>
      <c r="BF431" t="s">
        <v>3</v>
      </c>
      <c r="BG431" t="s">
        <v>3</v>
      </c>
      <c r="BH431">
        <v>3</v>
      </c>
      <c r="BI431">
        <v>0</v>
      </c>
      <c r="BJ431" t="s">
        <v>3</v>
      </c>
      <c r="BM431">
        <v>356</v>
      </c>
      <c r="BN431">
        <v>0</v>
      </c>
      <c r="BO431" t="s">
        <v>3</v>
      </c>
      <c r="BP431">
        <v>0</v>
      </c>
      <c r="BQ431">
        <v>0</v>
      </c>
      <c r="BR431">
        <v>0</v>
      </c>
      <c r="BS431">
        <v>1</v>
      </c>
      <c r="BT431">
        <v>1</v>
      </c>
      <c r="BU431">
        <v>1</v>
      </c>
      <c r="BV431">
        <v>1</v>
      </c>
      <c r="BW431">
        <v>1</v>
      </c>
      <c r="BX431">
        <v>1</v>
      </c>
      <c r="BY431" t="s">
        <v>3</v>
      </c>
      <c r="BZ431">
        <v>0</v>
      </c>
      <c r="CA431">
        <v>0</v>
      </c>
      <c r="CB431" t="s">
        <v>3</v>
      </c>
      <c r="CE431">
        <v>0</v>
      </c>
      <c r="CF431">
        <v>0</v>
      </c>
      <c r="CG431">
        <v>0</v>
      </c>
      <c r="CM431">
        <v>0</v>
      </c>
      <c r="CN431" t="s">
        <v>3</v>
      </c>
      <c r="CO431">
        <v>0</v>
      </c>
      <c r="CP431">
        <f t="shared" si="427"/>
        <v>1440</v>
      </c>
      <c r="CQ431">
        <f>AC431*BC431</f>
        <v>180</v>
      </c>
      <c r="CR431">
        <f>AD431*BB431</f>
        <v>0</v>
      </c>
      <c r="CS431">
        <f>AE431*BS431</f>
        <v>0</v>
      </c>
      <c r="CT431">
        <f>AF431*BA431</f>
        <v>0</v>
      </c>
      <c r="CU431">
        <f t="shared" si="428"/>
        <v>0</v>
      </c>
      <c r="CV431">
        <f>AH431</f>
        <v>0</v>
      </c>
      <c r="CW431">
        <f t="shared" si="429"/>
        <v>0</v>
      </c>
      <c r="CX431">
        <f t="shared" si="430"/>
        <v>0</v>
      </c>
      <c r="CY431">
        <f>0</f>
        <v>0</v>
      </c>
      <c r="CZ431">
        <f>0</f>
        <v>0</v>
      </c>
      <c r="DC431" t="s">
        <v>3</v>
      </c>
      <c r="DD431" t="s">
        <v>3</v>
      </c>
      <c r="DE431" t="s">
        <v>3</v>
      </c>
      <c r="DF431" t="s">
        <v>3</v>
      </c>
      <c r="DG431" t="s">
        <v>3</v>
      </c>
      <c r="DH431" t="s">
        <v>3</v>
      </c>
      <c r="DI431" t="s">
        <v>3</v>
      </c>
      <c r="DJ431" t="s">
        <v>3</v>
      </c>
      <c r="DK431" t="s">
        <v>3</v>
      </c>
      <c r="DL431" t="s">
        <v>3</v>
      </c>
      <c r="DM431" t="s">
        <v>3</v>
      </c>
      <c r="DN431">
        <v>0</v>
      </c>
      <c r="DO431">
        <v>0</v>
      </c>
      <c r="DP431">
        <v>1</v>
      </c>
      <c r="DQ431">
        <v>1</v>
      </c>
      <c r="DU431">
        <v>1013</v>
      </c>
      <c r="DV431" t="s">
        <v>189</v>
      </c>
      <c r="DW431" t="s">
        <v>189</v>
      </c>
      <c r="DX431">
        <v>7.0999999999999994E-2</v>
      </c>
      <c r="DZ431" t="s">
        <v>3</v>
      </c>
      <c r="EA431" t="s">
        <v>3</v>
      </c>
      <c r="EB431" t="s">
        <v>3</v>
      </c>
      <c r="EC431" t="s">
        <v>3</v>
      </c>
      <c r="EE431">
        <v>0</v>
      </c>
      <c r="EF431">
        <v>0</v>
      </c>
      <c r="EG431" t="s">
        <v>3</v>
      </c>
      <c r="EH431">
        <v>0</v>
      </c>
      <c r="EI431" t="s">
        <v>3</v>
      </c>
      <c r="EJ431">
        <v>0</v>
      </c>
      <c r="EK431">
        <v>356</v>
      </c>
      <c r="EL431" t="s">
        <v>3</v>
      </c>
      <c r="EM431" t="s">
        <v>3</v>
      </c>
      <c r="EO431" t="s">
        <v>3</v>
      </c>
      <c r="EQ431">
        <v>1024</v>
      </c>
      <c r="ER431">
        <v>180</v>
      </c>
      <c r="ES431">
        <v>180</v>
      </c>
      <c r="ET431">
        <v>0</v>
      </c>
      <c r="EU431">
        <v>0</v>
      </c>
      <c r="EV431">
        <v>0</v>
      </c>
      <c r="EW431">
        <v>0</v>
      </c>
      <c r="EX431">
        <v>0</v>
      </c>
      <c r="EY431">
        <v>0</v>
      </c>
      <c r="FQ431">
        <v>1440</v>
      </c>
      <c r="FR431">
        <f t="shared" si="431"/>
        <v>0</v>
      </c>
      <c r="FS431">
        <v>1</v>
      </c>
      <c r="FX431">
        <v>0</v>
      </c>
      <c r="FY431">
        <v>0</v>
      </c>
      <c r="GA431" t="s">
        <v>3</v>
      </c>
      <c r="GD431">
        <v>0</v>
      </c>
      <c r="GF431">
        <v>-54322067</v>
      </c>
      <c r="GG431">
        <v>2</v>
      </c>
      <c r="GH431">
        <v>0</v>
      </c>
      <c r="GI431">
        <v>-2</v>
      </c>
      <c r="GJ431">
        <v>0</v>
      </c>
      <c r="GK431">
        <f>ROUND(R431*(R12)/100,2)</f>
        <v>0</v>
      </c>
      <c r="GL431">
        <f t="shared" si="432"/>
        <v>0</v>
      </c>
      <c r="GM431">
        <f t="shared" si="433"/>
        <v>1440</v>
      </c>
      <c r="GN431">
        <f t="shared" si="434"/>
        <v>1440</v>
      </c>
      <c r="GO431">
        <f t="shared" si="435"/>
        <v>0</v>
      </c>
      <c r="GP431">
        <f t="shared" si="436"/>
        <v>0</v>
      </c>
      <c r="GR431">
        <v>0</v>
      </c>
      <c r="GS431">
        <v>0</v>
      </c>
      <c r="GT431">
        <v>0</v>
      </c>
      <c r="GU431" t="s">
        <v>3</v>
      </c>
      <c r="GV431">
        <f t="shared" si="437"/>
        <v>0</v>
      </c>
      <c r="GW431">
        <v>1</v>
      </c>
      <c r="GX431">
        <f t="shared" si="438"/>
        <v>0</v>
      </c>
      <c r="HA431">
        <v>0</v>
      </c>
      <c r="HB431">
        <v>0</v>
      </c>
      <c r="HC431">
        <f t="shared" si="439"/>
        <v>0</v>
      </c>
      <c r="HE431" t="s">
        <v>3</v>
      </c>
      <c r="HF431" t="s">
        <v>3</v>
      </c>
      <c r="HM431" t="s">
        <v>3</v>
      </c>
      <c r="HN431" t="s">
        <v>3</v>
      </c>
      <c r="HO431" t="s">
        <v>3</v>
      </c>
      <c r="HP431" t="s">
        <v>3</v>
      </c>
      <c r="HQ431" t="s">
        <v>3</v>
      </c>
      <c r="IK431">
        <v>0</v>
      </c>
    </row>
    <row r="432" spans="1:245" x14ac:dyDescent="0.2">
      <c r="A432">
        <v>17</v>
      </c>
      <c r="B432">
        <v>1</v>
      </c>
      <c r="D432">
        <f>ROW(EtalonRes!A223)</f>
        <v>223</v>
      </c>
      <c r="E432" t="s">
        <v>3</v>
      </c>
      <c r="F432" t="s">
        <v>331</v>
      </c>
      <c r="G432" t="s">
        <v>332</v>
      </c>
      <c r="H432" t="s">
        <v>94</v>
      </c>
      <c r="I432">
        <f>ROUND(8/10,9)</f>
        <v>0.8</v>
      </c>
      <c r="J432">
        <v>0</v>
      </c>
      <c r="K432">
        <f>ROUND(8/10,9)</f>
        <v>0.8</v>
      </c>
      <c r="O432">
        <f t="shared" si="411"/>
        <v>444.84</v>
      </c>
      <c r="P432">
        <f t="shared" si="412"/>
        <v>0.25</v>
      </c>
      <c r="Q432">
        <f t="shared" si="413"/>
        <v>0</v>
      </c>
      <c r="R432">
        <f t="shared" si="414"/>
        <v>0</v>
      </c>
      <c r="S432">
        <f t="shared" si="415"/>
        <v>444.59</v>
      </c>
      <c r="T432">
        <f t="shared" si="416"/>
        <v>0</v>
      </c>
      <c r="U432">
        <f t="shared" si="417"/>
        <v>0.72000000000000008</v>
      </c>
      <c r="V432">
        <f t="shared" si="418"/>
        <v>0</v>
      </c>
      <c r="W432">
        <f t="shared" si="419"/>
        <v>0</v>
      </c>
      <c r="X432">
        <f t="shared" si="420"/>
        <v>311.20999999999998</v>
      </c>
      <c r="Y432">
        <f t="shared" si="421"/>
        <v>44.46</v>
      </c>
      <c r="AA432">
        <v>-1</v>
      </c>
      <c r="AB432">
        <f t="shared" si="422"/>
        <v>556.04999999999995</v>
      </c>
      <c r="AC432">
        <f>ROUND((ES432),6)</f>
        <v>0.31</v>
      </c>
      <c r="AD432">
        <f t="shared" ref="AD432:AD443" si="440">ROUND((((ET432)-(EU432))+AE432),6)</f>
        <v>0</v>
      </c>
      <c r="AE432">
        <f t="shared" si="423"/>
        <v>0</v>
      </c>
      <c r="AF432">
        <f t="shared" si="423"/>
        <v>555.74</v>
      </c>
      <c r="AG432">
        <f t="shared" si="424"/>
        <v>0</v>
      </c>
      <c r="AH432">
        <f t="shared" si="425"/>
        <v>0.9</v>
      </c>
      <c r="AI432">
        <f t="shared" si="425"/>
        <v>0</v>
      </c>
      <c r="AJ432">
        <f t="shared" si="426"/>
        <v>0</v>
      </c>
      <c r="AK432">
        <v>556.04999999999995</v>
      </c>
      <c r="AL432">
        <v>0.31</v>
      </c>
      <c r="AM432">
        <v>0</v>
      </c>
      <c r="AN432">
        <v>0</v>
      </c>
      <c r="AO432">
        <v>555.74</v>
      </c>
      <c r="AP432">
        <v>0</v>
      </c>
      <c r="AQ432">
        <v>0.9</v>
      </c>
      <c r="AR432">
        <v>0</v>
      </c>
      <c r="AS432">
        <v>0</v>
      </c>
      <c r="AT432">
        <v>70</v>
      </c>
      <c r="AU432">
        <v>10</v>
      </c>
      <c r="AV432">
        <v>1</v>
      </c>
      <c r="AW432">
        <v>1</v>
      </c>
      <c r="AZ432">
        <v>1</v>
      </c>
      <c r="BA432">
        <v>1</v>
      </c>
      <c r="BB432">
        <v>1</v>
      </c>
      <c r="BC432">
        <v>1</v>
      </c>
      <c r="BD432" t="s">
        <v>3</v>
      </c>
      <c r="BE432" t="s">
        <v>3</v>
      </c>
      <c r="BF432" t="s">
        <v>3</v>
      </c>
      <c r="BG432" t="s">
        <v>3</v>
      </c>
      <c r="BH432">
        <v>0</v>
      </c>
      <c r="BI432">
        <v>4</v>
      </c>
      <c r="BJ432" t="s">
        <v>333</v>
      </c>
      <c r="BM432">
        <v>0</v>
      </c>
      <c r="BN432">
        <v>0</v>
      </c>
      <c r="BO432" t="s">
        <v>3</v>
      </c>
      <c r="BP432">
        <v>0</v>
      </c>
      <c r="BQ432">
        <v>1</v>
      </c>
      <c r="BR432">
        <v>0</v>
      </c>
      <c r="BS432">
        <v>1</v>
      </c>
      <c r="BT432">
        <v>1</v>
      </c>
      <c r="BU432">
        <v>1</v>
      </c>
      <c r="BV432">
        <v>1</v>
      </c>
      <c r="BW432">
        <v>1</v>
      </c>
      <c r="BX432">
        <v>1</v>
      </c>
      <c r="BY432" t="s">
        <v>3</v>
      </c>
      <c r="BZ432">
        <v>70</v>
      </c>
      <c r="CA432">
        <v>10</v>
      </c>
      <c r="CB432" t="s">
        <v>3</v>
      </c>
      <c r="CE432">
        <v>0</v>
      </c>
      <c r="CF432">
        <v>0</v>
      </c>
      <c r="CG432">
        <v>0</v>
      </c>
      <c r="CM432">
        <v>0</v>
      </c>
      <c r="CN432" t="s">
        <v>3</v>
      </c>
      <c r="CO432">
        <v>0</v>
      </c>
      <c r="CP432">
        <f t="shared" si="427"/>
        <v>444.84</v>
      </c>
      <c r="CQ432">
        <f t="shared" ref="CQ432:CQ443" si="441">(AC432*BC432*AW432)</f>
        <v>0.31</v>
      </c>
      <c r="CR432">
        <f t="shared" ref="CR432:CR443" si="442">((((ET432)*BB432-(EU432)*BS432)+AE432*BS432)*AV432)</f>
        <v>0</v>
      </c>
      <c r="CS432">
        <f t="shared" ref="CS432:CS443" si="443">(AE432*BS432*AV432)</f>
        <v>0</v>
      </c>
      <c r="CT432">
        <f t="shared" ref="CT432:CT443" si="444">(AF432*BA432*AV432)</f>
        <v>555.74</v>
      </c>
      <c r="CU432">
        <f t="shared" si="428"/>
        <v>0</v>
      </c>
      <c r="CV432">
        <f t="shared" ref="CV432:CV443" si="445">(AH432*AV432)</f>
        <v>0.9</v>
      </c>
      <c r="CW432">
        <f t="shared" si="429"/>
        <v>0</v>
      </c>
      <c r="CX432">
        <f t="shared" si="430"/>
        <v>0</v>
      </c>
      <c r="CY432">
        <f t="shared" ref="CY432:CY443" si="446">((S432*BZ432)/100)</f>
        <v>311.21299999999997</v>
      </c>
      <c r="CZ432">
        <f t="shared" ref="CZ432:CZ443" si="447">((S432*CA432)/100)</f>
        <v>44.458999999999996</v>
      </c>
      <c r="DC432" t="s">
        <v>3</v>
      </c>
      <c r="DD432" t="s">
        <v>3</v>
      </c>
      <c r="DE432" t="s">
        <v>3</v>
      </c>
      <c r="DF432" t="s">
        <v>3</v>
      </c>
      <c r="DG432" t="s">
        <v>3</v>
      </c>
      <c r="DH432" t="s">
        <v>3</v>
      </c>
      <c r="DI432" t="s">
        <v>3</v>
      </c>
      <c r="DJ432" t="s">
        <v>3</v>
      </c>
      <c r="DK432" t="s">
        <v>3</v>
      </c>
      <c r="DL432" t="s">
        <v>3</v>
      </c>
      <c r="DM432" t="s">
        <v>3</v>
      </c>
      <c r="DN432">
        <v>0</v>
      </c>
      <c r="DO432">
        <v>0</v>
      </c>
      <c r="DP432">
        <v>1</v>
      </c>
      <c r="DQ432">
        <v>1</v>
      </c>
      <c r="DU432">
        <v>16987630</v>
      </c>
      <c r="DV432" t="s">
        <v>94</v>
      </c>
      <c r="DW432" t="s">
        <v>94</v>
      </c>
      <c r="DX432">
        <v>10</v>
      </c>
      <c r="DZ432" t="s">
        <v>3</v>
      </c>
      <c r="EA432" t="s">
        <v>3</v>
      </c>
      <c r="EB432" t="s">
        <v>3</v>
      </c>
      <c r="EC432" t="s">
        <v>3</v>
      </c>
      <c r="EE432">
        <v>1441815344</v>
      </c>
      <c r="EF432">
        <v>1</v>
      </c>
      <c r="EG432" t="s">
        <v>22</v>
      </c>
      <c r="EH432">
        <v>0</v>
      </c>
      <c r="EI432" t="s">
        <v>3</v>
      </c>
      <c r="EJ432">
        <v>4</v>
      </c>
      <c r="EK432">
        <v>0</v>
      </c>
      <c r="EL432" t="s">
        <v>23</v>
      </c>
      <c r="EM432" t="s">
        <v>24</v>
      </c>
      <c r="EO432" t="s">
        <v>3</v>
      </c>
      <c r="EQ432">
        <v>1024</v>
      </c>
      <c r="ER432">
        <v>556.04999999999995</v>
      </c>
      <c r="ES432">
        <v>0.31</v>
      </c>
      <c r="ET432">
        <v>0</v>
      </c>
      <c r="EU432">
        <v>0</v>
      </c>
      <c r="EV432">
        <v>555.74</v>
      </c>
      <c r="EW432">
        <v>0.9</v>
      </c>
      <c r="EX432">
        <v>0</v>
      </c>
      <c r="EY432">
        <v>0</v>
      </c>
      <c r="FQ432">
        <v>0</v>
      </c>
      <c r="FR432">
        <f t="shared" si="431"/>
        <v>0</v>
      </c>
      <c r="FS432">
        <v>0</v>
      </c>
      <c r="FX432">
        <v>70</v>
      </c>
      <c r="FY432">
        <v>10</v>
      </c>
      <c r="GA432" t="s">
        <v>3</v>
      </c>
      <c r="GD432">
        <v>0</v>
      </c>
      <c r="GF432">
        <v>505455875</v>
      </c>
      <c r="GG432">
        <v>2</v>
      </c>
      <c r="GH432">
        <v>1</v>
      </c>
      <c r="GI432">
        <v>-2</v>
      </c>
      <c r="GJ432">
        <v>0</v>
      </c>
      <c r="GK432">
        <f>ROUND(R432*(R12)/100,2)</f>
        <v>0</v>
      </c>
      <c r="GL432">
        <f t="shared" si="432"/>
        <v>0</v>
      </c>
      <c r="GM432">
        <f t="shared" si="433"/>
        <v>800.51</v>
      </c>
      <c r="GN432">
        <f t="shared" si="434"/>
        <v>0</v>
      </c>
      <c r="GO432">
        <f t="shared" si="435"/>
        <v>0</v>
      </c>
      <c r="GP432">
        <f t="shared" si="436"/>
        <v>800.51</v>
      </c>
      <c r="GR432">
        <v>0</v>
      </c>
      <c r="GS432">
        <v>3</v>
      </c>
      <c r="GT432">
        <v>0</v>
      </c>
      <c r="GU432" t="s">
        <v>3</v>
      </c>
      <c r="GV432">
        <f t="shared" si="437"/>
        <v>0</v>
      </c>
      <c r="GW432">
        <v>1</v>
      </c>
      <c r="GX432">
        <f t="shared" si="438"/>
        <v>0</v>
      </c>
      <c r="HA432">
        <v>0</v>
      </c>
      <c r="HB432">
        <v>0</v>
      </c>
      <c r="HC432">
        <f t="shared" si="439"/>
        <v>0</v>
      </c>
      <c r="HE432" t="s">
        <v>3</v>
      </c>
      <c r="HF432" t="s">
        <v>3</v>
      </c>
      <c r="HM432" t="s">
        <v>3</v>
      </c>
      <c r="HN432" t="s">
        <v>3</v>
      </c>
      <c r="HO432" t="s">
        <v>3</v>
      </c>
      <c r="HP432" t="s">
        <v>3</v>
      </c>
      <c r="HQ432" t="s">
        <v>3</v>
      </c>
      <c r="IK432">
        <v>0</v>
      </c>
    </row>
    <row r="433" spans="1:245" x14ac:dyDescent="0.2">
      <c r="A433">
        <v>17</v>
      </c>
      <c r="B433">
        <v>1</v>
      </c>
      <c r="D433">
        <f>ROW(EtalonRes!A226)</f>
        <v>226</v>
      </c>
      <c r="E433" t="s">
        <v>371</v>
      </c>
      <c r="F433" t="s">
        <v>328</v>
      </c>
      <c r="G433" t="s">
        <v>329</v>
      </c>
      <c r="H433" t="s">
        <v>20</v>
      </c>
      <c r="I433">
        <v>4</v>
      </c>
      <c r="J433">
        <v>0</v>
      </c>
      <c r="K433">
        <v>4</v>
      </c>
      <c r="O433">
        <f t="shared" si="411"/>
        <v>1913.04</v>
      </c>
      <c r="P433">
        <f t="shared" si="412"/>
        <v>153.12</v>
      </c>
      <c r="Q433">
        <f t="shared" si="413"/>
        <v>0</v>
      </c>
      <c r="R433">
        <f t="shared" si="414"/>
        <v>0</v>
      </c>
      <c r="S433">
        <f t="shared" si="415"/>
        <v>1759.92</v>
      </c>
      <c r="T433">
        <f t="shared" si="416"/>
        <v>0</v>
      </c>
      <c r="U433">
        <f t="shared" si="417"/>
        <v>2.48</v>
      </c>
      <c r="V433">
        <f t="shared" si="418"/>
        <v>0</v>
      </c>
      <c r="W433">
        <f t="shared" si="419"/>
        <v>0</v>
      </c>
      <c r="X433">
        <f t="shared" si="420"/>
        <v>1231.94</v>
      </c>
      <c r="Y433">
        <f t="shared" si="421"/>
        <v>175.99</v>
      </c>
      <c r="AA433">
        <v>1472506909</v>
      </c>
      <c r="AB433">
        <f t="shared" si="422"/>
        <v>478.26</v>
      </c>
      <c r="AC433">
        <f>ROUND(((ES433*2)),6)</f>
        <v>38.28</v>
      </c>
      <c r="AD433">
        <f t="shared" si="440"/>
        <v>0</v>
      </c>
      <c r="AE433">
        <f t="shared" ref="AE433:AE443" si="448">ROUND((EU433),6)</f>
        <v>0</v>
      </c>
      <c r="AF433">
        <f>ROUND(((EV433*2)),6)</f>
        <v>439.98</v>
      </c>
      <c r="AG433">
        <f t="shared" si="424"/>
        <v>0</v>
      </c>
      <c r="AH433">
        <f>((EW433*2))</f>
        <v>0.62</v>
      </c>
      <c r="AI433">
        <f t="shared" ref="AI433:AI443" si="449">(EX433)</f>
        <v>0</v>
      </c>
      <c r="AJ433">
        <f t="shared" si="426"/>
        <v>0</v>
      </c>
      <c r="AK433">
        <v>239.13</v>
      </c>
      <c r="AL433">
        <v>19.14</v>
      </c>
      <c r="AM433">
        <v>0</v>
      </c>
      <c r="AN433">
        <v>0</v>
      </c>
      <c r="AO433">
        <v>219.99</v>
      </c>
      <c r="AP433">
        <v>0</v>
      </c>
      <c r="AQ433">
        <v>0.31</v>
      </c>
      <c r="AR433">
        <v>0</v>
      </c>
      <c r="AS433">
        <v>0</v>
      </c>
      <c r="AT433">
        <v>70</v>
      </c>
      <c r="AU433">
        <v>10</v>
      </c>
      <c r="AV433">
        <v>1</v>
      </c>
      <c r="AW433">
        <v>1</v>
      </c>
      <c r="AZ433">
        <v>1</v>
      </c>
      <c r="BA433">
        <v>1</v>
      </c>
      <c r="BB433">
        <v>1</v>
      </c>
      <c r="BC433">
        <v>1</v>
      </c>
      <c r="BD433" t="s">
        <v>3</v>
      </c>
      <c r="BE433" t="s">
        <v>3</v>
      </c>
      <c r="BF433" t="s">
        <v>3</v>
      </c>
      <c r="BG433" t="s">
        <v>3</v>
      </c>
      <c r="BH433">
        <v>0</v>
      </c>
      <c r="BI433">
        <v>4</v>
      </c>
      <c r="BJ433" t="s">
        <v>330</v>
      </c>
      <c r="BM433">
        <v>0</v>
      </c>
      <c r="BN433">
        <v>0</v>
      </c>
      <c r="BO433" t="s">
        <v>3</v>
      </c>
      <c r="BP433">
        <v>0</v>
      </c>
      <c r="BQ433">
        <v>1</v>
      </c>
      <c r="BR433">
        <v>0</v>
      </c>
      <c r="BS433">
        <v>1</v>
      </c>
      <c r="BT433">
        <v>1</v>
      </c>
      <c r="BU433">
        <v>1</v>
      </c>
      <c r="BV433">
        <v>1</v>
      </c>
      <c r="BW433">
        <v>1</v>
      </c>
      <c r="BX433">
        <v>1</v>
      </c>
      <c r="BY433" t="s">
        <v>3</v>
      </c>
      <c r="BZ433">
        <v>70</v>
      </c>
      <c r="CA433">
        <v>10</v>
      </c>
      <c r="CB433" t="s">
        <v>3</v>
      </c>
      <c r="CE433">
        <v>0</v>
      </c>
      <c r="CF433">
        <v>0</v>
      </c>
      <c r="CG433">
        <v>0</v>
      </c>
      <c r="CM433">
        <v>0</v>
      </c>
      <c r="CN433" t="s">
        <v>3</v>
      </c>
      <c r="CO433">
        <v>0</v>
      </c>
      <c r="CP433">
        <f t="shared" si="427"/>
        <v>1913.04</v>
      </c>
      <c r="CQ433">
        <f t="shared" si="441"/>
        <v>38.28</v>
      </c>
      <c r="CR433">
        <f t="shared" si="442"/>
        <v>0</v>
      </c>
      <c r="CS433">
        <f t="shared" si="443"/>
        <v>0</v>
      </c>
      <c r="CT433">
        <f t="shared" si="444"/>
        <v>439.98</v>
      </c>
      <c r="CU433">
        <f t="shared" si="428"/>
        <v>0</v>
      </c>
      <c r="CV433">
        <f t="shared" si="445"/>
        <v>0.62</v>
      </c>
      <c r="CW433">
        <f t="shared" si="429"/>
        <v>0</v>
      </c>
      <c r="CX433">
        <f t="shared" si="430"/>
        <v>0</v>
      </c>
      <c r="CY433">
        <f t="shared" si="446"/>
        <v>1231.9440000000002</v>
      </c>
      <c r="CZ433">
        <f t="shared" si="447"/>
        <v>175.99200000000002</v>
      </c>
      <c r="DC433" t="s">
        <v>3</v>
      </c>
      <c r="DD433" t="s">
        <v>28</v>
      </c>
      <c r="DE433" t="s">
        <v>3</v>
      </c>
      <c r="DF433" t="s">
        <v>3</v>
      </c>
      <c r="DG433" t="s">
        <v>28</v>
      </c>
      <c r="DH433" t="s">
        <v>3</v>
      </c>
      <c r="DI433" t="s">
        <v>28</v>
      </c>
      <c r="DJ433" t="s">
        <v>3</v>
      </c>
      <c r="DK433" t="s">
        <v>3</v>
      </c>
      <c r="DL433" t="s">
        <v>3</v>
      </c>
      <c r="DM433" t="s">
        <v>3</v>
      </c>
      <c r="DN433">
        <v>0</v>
      </c>
      <c r="DO433">
        <v>0</v>
      </c>
      <c r="DP433">
        <v>1</v>
      </c>
      <c r="DQ433">
        <v>1</v>
      </c>
      <c r="DU433">
        <v>16987630</v>
      </c>
      <c r="DV433" t="s">
        <v>20</v>
      </c>
      <c r="DW433" t="s">
        <v>20</v>
      </c>
      <c r="DX433">
        <v>1</v>
      </c>
      <c r="DZ433" t="s">
        <v>3</v>
      </c>
      <c r="EA433" t="s">
        <v>3</v>
      </c>
      <c r="EB433" t="s">
        <v>3</v>
      </c>
      <c r="EC433" t="s">
        <v>3</v>
      </c>
      <c r="EE433">
        <v>1441815344</v>
      </c>
      <c r="EF433">
        <v>1</v>
      </c>
      <c r="EG433" t="s">
        <v>22</v>
      </c>
      <c r="EH433">
        <v>0</v>
      </c>
      <c r="EI433" t="s">
        <v>3</v>
      </c>
      <c r="EJ433">
        <v>4</v>
      </c>
      <c r="EK433">
        <v>0</v>
      </c>
      <c r="EL433" t="s">
        <v>23</v>
      </c>
      <c r="EM433" t="s">
        <v>24</v>
      </c>
      <c r="EO433" t="s">
        <v>3</v>
      </c>
      <c r="EQ433">
        <v>0</v>
      </c>
      <c r="ER433">
        <v>239.13</v>
      </c>
      <c r="ES433">
        <v>19.14</v>
      </c>
      <c r="ET433">
        <v>0</v>
      </c>
      <c r="EU433">
        <v>0</v>
      </c>
      <c r="EV433">
        <v>219.99</v>
      </c>
      <c r="EW433">
        <v>0.31</v>
      </c>
      <c r="EX433">
        <v>0</v>
      </c>
      <c r="EY433">
        <v>0</v>
      </c>
      <c r="FQ433">
        <v>0</v>
      </c>
      <c r="FR433">
        <f t="shared" si="431"/>
        <v>0</v>
      </c>
      <c r="FS433">
        <v>0</v>
      </c>
      <c r="FX433">
        <v>70</v>
      </c>
      <c r="FY433">
        <v>10</v>
      </c>
      <c r="GA433" t="s">
        <v>3</v>
      </c>
      <c r="GD433">
        <v>0</v>
      </c>
      <c r="GF433">
        <v>-1042054303</v>
      </c>
      <c r="GG433">
        <v>2</v>
      </c>
      <c r="GH433">
        <v>1</v>
      </c>
      <c r="GI433">
        <v>-2</v>
      </c>
      <c r="GJ433">
        <v>0</v>
      </c>
      <c r="GK433">
        <f>ROUND(R433*(R12)/100,2)</f>
        <v>0</v>
      </c>
      <c r="GL433">
        <f t="shared" si="432"/>
        <v>0</v>
      </c>
      <c r="GM433">
        <f t="shared" si="433"/>
        <v>3320.97</v>
      </c>
      <c r="GN433">
        <f t="shared" si="434"/>
        <v>0</v>
      </c>
      <c r="GO433">
        <f t="shared" si="435"/>
        <v>0</v>
      </c>
      <c r="GP433">
        <f t="shared" si="436"/>
        <v>3320.97</v>
      </c>
      <c r="GR433">
        <v>0</v>
      </c>
      <c r="GS433">
        <v>3</v>
      </c>
      <c r="GT433">
        <v>0</v>
      </c>
      <c r="GU433" t="s">
        <v>3</v>
      </c>
      <c r="GV433">
        <f t="shared" si="437"/>
        <v>0</v>
      </c>
      <c r="GW433">
        <v>1</v>
      </c>
      <c r="GX433">
        <f t="shared" si="438"/>
        <v>0</v>
      </c>
      <c r="HA433">
        <v>0</v>
      </c>
      <c r="HB433">
        <v>0</v>
      </c>
      <c r="HC433">
        <f t="shared" si="439"/>
        <v>0</v>
      </c>
      <c r="HE433" t="s">
        <v>3</v>
      </c>
      <c r="HF433" t="s">
        <v>3</v>
      </c>
      <c r="HM433" t="s">
        <v>3</v>
      </c>
      <c r="HN433" t="s">
        <v>3</v>
      </c>
      <c r="HO433" t="s">
        <v>3</v>
      </c>
      <c r="HP433" t="s">
        <v>3</v>
      </c>
      <c r="HQ433" t="s">
        <v>3</v>
      </c>
      <c r="IK433">
        <v>0</v>
      </c>
    </row>
    <row r="434" spans="1:245" x14ac:dyDescent="0.2">
      <c r="A434">
        <v>17</v>
      </c>
      <c r="B434">
        <v>1</v>
      </c>
      <c r="D434">
        <f>ROW(EtalonRes!A227)</f>
        <v>227</v>
      </c>
      <c r="E434" t="s">
        <v>3</v>
      </c>
      <c r="F434" t="s">
        <v>102</v>
      </c>
      <c r="G434" t="s">
        <v>103</v>
      </c>
      <c r="H434" t="s">
        <v>104</v>
      </c>
      <c r="I434">
        <f>ROUND((20+10+60+1+8+1)*0.25*0.1/100,9)</f>
        <v>2.5000000000000001E-2</v>
      </c>
      <c r="J434">
        <v>0</v>
      </c>
      <c r="K434">
        <f>ROUND((20+10+60+1+8+1)*0.25*0.1/100,9)</f>
        <v>2.5000000000000001E-2</v>
      </c>
      <c r="O434">
        <f t="shared" si="411"/>
        <v>50.6</v>
      </c>
      <c r="P434">
        <f t="shared" si="412"/>
        <v>0</v>
      </c>
      <c r="Q434">
        <f t="shared" si="413"/>
        <v>0</v>
      </c>
      <c r="R434">
        <f t="shared" si="414"/>
        <v>0</v>
      </c>
      <c r="S434">
        <f t="shared" si="415"/>
        <v>50.6</v>
      </c>
      <c r="T434">
        <f t="shared" si="416"/>
        <v>0</v>
      </c>
      <c r="U434">
        <f t="shared" si="417"/>
        <v>9.0000000000000011E-2</v>
      </c>
      <c r="V434">
        <f t="shared" si="418"/>
        <v>0</v>
      </c>
      <c r="W434">
        <f t="shared" si="419"/>
        <v>0</v>
      </c>
      <c r="X434">
        <f t="shared" si="420"/>
        <v>35.42</v>
      </c>
      <c r="Y434">
        <f t="shared" si="421"/>
        <v>5.0599999999999996</v>
      </c>
      <c r="AA434">
        <v>-1</v>
      </c>
      <c r="AB434">
        <f t="shared" si="422"/>
        <v>2023.8</v>
      </c>
      <c r="AC434">
        <f t="shared" ref="AC434:AC443" si="450">ROUND((ES434),6)</f>
        <v>0</v>
      </c>
      <c r="AD434">
        <f t="shared" si="440"/>
        <v>0</v>
      </c>
      <c r="AE434">
        <f t="shared" si="448"/>
        <v>0</v>
      </c>
      <c r="AF434">
        <f>ROUND(((EV434*4)),6)</f>
        <v>2023.8</v>
      </c>
      <c r="AG434">
        <f t="shared" si="424"/>
        <v>0</v>
      </c>
      <c r="AH434">
        <f>((EW434*4))</f>
        <v>3.6</v>
      </c>
      <c r="AI434">
        <f t="shared" si="449"/>
        <v>0</v>
      </c>
      <c r="AJ434">
        <f t="shared" si="426"/>
        <v>0</v>
      </c>
      <c r="AK434">
        <v>505.95</v>
      </c>
      <c r="AL434">
        <v>0</v>
      </c>
      <c r="AM434">
        <v>0</v>
      </c>
      <c r="AN434">
        <v>0</v>
      </c>
      <c r="AO434">
        <v>505.95</v>
      </c>
      <c r="AP434">
        <v>0</v>
      </c>
      <c r="AQ434">
        <v>0.9</v>
      </c>
      <c r="AR434">
        <v>0</v>
      </c>
      <c r="AS434">
        <v>0</v>
      </c>
      <c r="AT434">
        <v>70</v>
      </c>
      <c r="AU434">
        <v>10</v>
      </c>
      <c r="AV434">
        <v>1</v>
      </c>
      <c r="AW434">
        <v>1</v>
      </c>
      <c r="AZ434">
        <v>1</v>
      </c>
      <c r="BA434">
        <v>1</v>
      </c>
      <c r="BB434">
        <v>1</v>
      </c>
      <c r="BC434">
        <v>1</v>
      </c>
      <c r="BD434" t="s">
        <v>3</v>
      </c>
      <c r="BE434" t="s">
        <v>3</v>
      </c>
      <c r="BF434" t="s">
        <v>3</v>
      </c>
      <c r="BG434" t="s">
        <v>3</v>
      </c>
      <c r="BH434">
        <v>0</v>
      </c>
      <c r="BI434">
        <v>4</v>
      </c>
      <c r="BJ434" t="s">
        <v>105</v>
      </c>
      <c r="BM434">
        <v>0</v>
      </c>
      <c r="BN434">
        <v>0</v>
      </c>
      <c r="BO434" t="s">
        <v>3</v>
      </c>
      <c r="BP434">
        <v>0</v>
      </c>
      <c r="BQ434">
        <v>1</v>
      </c>
      <c r="BR434">
        <v>0</v>
      </c>
      <c r="BS434">
        <v>1</v>
      </c>
      <c r="BT434">
        <v>1</v>
      </c>
      <c r="BU434">
        <v>1</v>
      </c>
      <c r="BV434">
        <v>1</v>
      </c>
      <c r="BW434">
        <v>1</v>
      </c>
      <c r="BX434">
        <v>1</v>
      </c>
      <c r="BY434" t="s">
        <v>3</v>
      </c>
      <c r="BZ434">
        <v>70</v>
      </c>
      <c r="CA434">
        <v>10</v>
      </c>
      <c r="CB434" t="s">
        <v>3</v>
      </c>
      <c r="CE434">
        <v>0</v>
      </c>
      <c r="CF434">
        <v>0</v>
      </c>
      <c r="CG434">
        <v>0</v>
      </c>
      <c r="CM434">
        <v>0</v>
      </c>
      <c r="CN434" t="s">
        <v>3</v>
      </c>
      <c r="CO434">
        <v>0</v>
      </c>
      <c r="CP434">
        <f t="shared" si="427"/>
        <v>50.6</v>
      </c>
      <c r="CQ434">
        <f t="shared" si="441"/>
        <v>0</v>
      </c>
      <c r="CR434">
        <f t="shared" si="442"/>
        <v>0</v>
      </c>
      <c r="CS434">
        <f t="shared" si="443"/>
        <v>0</v>
      </c>
      <c r="CT434">
        <f t="shared" si="444"/>
        <v>2023.8</v>
      </c>
      <c r="CU434">
        <f t="shared" si="428"/>
        <v>0</v>
      </c>
      <c r="CV434">
        <f t="shared" si="445"/>
        <v>3.6</v>
      </c>
      <c r="CW434">
        <f t="shared" si="429"/>
        <v>0</v>
      </c>
      <c r="CX434">
        <f t="shared" si="430"/>
        <v>0</v>
      </c>
      <c r="CY434">
        <f t="shared" si="446"/>
        <v>35.42</v>
      </c>
      <c r="CZ434">
        <f t="shared" si="447"/>
        <v>5.0599999999999996</v>
      </c>
      <c r="DC434" t="s">
        <v>3</v>
      </c>
      <c r="DD434" t="s">
        <v>3</v>
      </c>
      <c r="DE434" t="s">
        <v>3</v>
      </c>
      <c r="DF434" t="s">
        <v>3</v>
      </c>
      <c r="DG434" t="s">
        <v>106</v>
      </c>
      <c r="DH434" t="s">
        <v>3</v>
      </c>
      <c r="DI434" t="s">
        <v>106</v>
      </c>
      <c r="DJ434" t="s">
        <v>3</v>
      </c>
      <c r="DK434" t="s">
        <v>3</v>
      </c>
      <c r="DL434" t="s">
        <v>3</v>
      </c>
      <c r="DM434" t="s">
        <v>3</v>
      </c>
      <c r="DN434">
        <v>0</v>
      </c>
      <c r="DO434">
        <v>0</v>
      </c>
      <c r="DP434">
        <v>1</v>
      </c>
      <c r="DQ434">
        <v>1</v>
      </c>
      <c r="DU434">
        <v>1003</v>
      </c>
      <c r="DV434" t="s">
        <v>104</v>
      </c>
      <c r="DW434" t="s">
        <v>104</v>
      </c>
      <c r="DX434">
        <v>100</v>
      </c>
      <c r="DZ434" t="s">
        <v>3</v>
      </c>
      <c r="EA434" t="s">
        <v>3</v>
      </c>
      <c r="EB434" t="s">
        <v>3</v>
      </c>
      <c r="EC434" t="s">
        <v>3</v>
      </c>
      <c r="EE434">
        <v>1441815344</v>
      </c>
      <c r="EF434">
        <v>1</v>
      </c>
      <c r="EG434" t="s">
        <v>22</v>
      </c>
      <c r="EH434">
        <v>0</v>
      </c>
      <c r="EI434" t="s">
        <v>3</v>
      </c>
      <c r="EJ434">
        <v>4</v>
      </c>
      <c r="EK434">
        <v>0</v>
      </c>
      <c r="EL434" t="s">
        <v>23</v>
      </c>
      <c r="EM434" t="s">
        <v>24</v>
      </c>
      <c r="EO434" t="s">
        <v>3</v>
      </c>
      <c r="EQ434">
        <v>1024</v>
      </c>
      <c r="ER434">
        <v>505.95</v>
      </c>
      <c r="ES434">
        <v>0</v>
      </c>
      <c r="ET434">
        <v>0</v>
      </c>
      <c r="EU434">
        <v>0</v>
      </c>
      <c r="EV434">
        <v>505.95</v>
      </c>
      <c r="EW434">
        <v>0.9</v>
      </c>
      <c r="EX434">
        <v>0</v>
      </c>
      <c r="EY434">
        <v>0</v>
      </c>
      <c r="FQ434">
        <v>0</v>
      </c>
      <c r="FR434">
        <f t="shared" si="431"/>
        <v>0</v>
      </c>
      <c r="FS434">
        <v>0</v>
      </c>
      <c r="FX434">
        <v>70</v>
      </c>
      <c r="FY434">
        <v>10</v>
      </c>
      <c r="GA434" t="s">
        <v>3</v>
      </c>
      <c r="GD434">
        <v>0</v>
      </c>
      <c r="GF434">
        <v>-341239612</v>
      </c>
      <c r="GG434">
        <v>2</v>
      </c>
      <c r="GH434">
        <v>1</v>
      </c>
      <c r="GI434">
        <v>-2</v>
      </c>
      <c r="GJ434">
        <v>0</v>
      </c>
      <c r="GK434">
        <f>ROUND(R434*(R12)/100,2)</f>
        <v>0</v>
      </c>
      <c r="GL434">
        <f t="shared" si="432"/>
        <v>0</v>
      </c>
      <c r="GM434">
        <f t="shared" si="433"/>
        <v>91.08</v>
      </c>
      <c r="GN434">
        <f t="shared" si="434"/>
        <v>0</v>
      </c>
      <c r="GO434">
        <f t="shared" si="435"/>
        <v>0</v>
      </c>
      <c r="GP434">
        <f t="shared" si="436"/>
        <v>91.08</v>
      </c>
      <c r="GR434">
        <v>0</v>
      </c>
      <c r="GS434">
        <v>3</v>
      </c>
      <c r="GT434">
        <v>0</v>
      </c>
      <c r="GU434" t="s">
        <v>3</v>
      </c>
      <c r="GV434">
        <f t="shared" si="437"/>
        <v>0</v>
      </c>
      <c r="GW434">
        <v>1</v>
      </c>
      <c r="GX434">
        <f t="shared" si="438"/>
        <v>0</v>
      </c>
      <c r="HA434">
        <v>0</v>
      </c>
      <c r="HB434">
        <v>0</v>
      </c>
      <c r="HC434">
        <f t="shared" si="439"/>
        <v>0</v>
      </c>
      <c r="HE434" t="s">
        <v>3</v>
      </c>
      <c r="HF434" t="s">
        <v>3</v>
      </c>
      <c r="HM434" t="s">
        <v>3</v>
      </c>
      <c r="HN434" t="s">
        <v>3</v>
      </c>
      <c r="HO434" t="s">
        <v>3</v>
      </c>
      <c r="HP434" t="s">
        <v>3</v>
      </c>
      <c r="HQ434" t="s">
        <v>3</v>
      </c>
      <c r="IK434">
        <v>0</v>
      </c>
    </row>
    <row r="435" spans="1:245" x14ac:dyDescent="0.2">
      <c r="A435">
        <v>17</v>
      </c>
      <c r="B435">
        <v>1</v>
      </c>
      <c r="D435">
        <f>ROW(EtalonRes!A228)</f>
        <v>228</v>
      </c>
      <c r="E435" t="s">
        <v>3</v>
      </c>
      <c r="F435" t="s">
        <v>107</v>
      </c>
      <c r="G435" t="s">
        <v>108</v>
      </c>
      <c r="H435" t="s">
        <v>104</v>
      </c>
      <c r="I435">
        <f>ROUND((20+10+60+1+8+1)*0.75*0.1/100,9)</f>
        <v>7.4999999999999997E-2</v>
      </c>
      <c r="J435">
        <v>0</v>
      </c>
      <c r="K435">
        <f>ROUND((20+10+60+1+8+1)*0.75*0.1/100,9)</f>
        <v>7.4999999999999997E-2</v>
      </c>
      <c r="O435">
        <f t="shared" si="411"/>
        <v>445.24</v>
      </c>
      <c r="P435">
        <f t="shared" si="412"/>
        <v>0</v>
      </c>
      <c r="Q435">
        <f t="shared" si="413"/>
        <v>0</v>
      </c>
      <c r="R435">
        <f t="shared" si="414"/>
        <v>0</v>
      </c>
      <c r="S435">
        <f t="shared" si="415"/>
        <v>445.24</v>
      </c>
      <c r="T435">
        <f t="shared" si="416"/>
        <v>0</v>
      </c>
      <c r="U435">
        <f t="shared" si="417"/>
        <v>0.79200000000000004</v>
      </c>
      <c r="V435">
        <f t="shared" si="418"/>
        <v>0</v>
      </c>
      <c r="W435">
        <f t="shared" si="419"/>
        <v>0</v>
      </c>
      <c r="X435">
        <f t="shared" si="420"/>
        <v>311.67</v>
      </c>
      <c r="Y435">
        <f t="shared" si="421"/>
        <v>44.52</v>
      </c>
      <c r="AA435">
        <v>-1</v>
      </c>
      <c r="AB435">
        <f t="shared" si="422"/>
        <v>5936.52</v>
      </c>
      <c r="AC435">
        <f t="shared" si="450"/>
        <v>0</v>
      </c>
      <c r="AD435">
        <f t="shared" si="440"/>
        <v>0</v>
      </c>
      <c r="AE435">
        <f t="shared" si="448"/>
        <v>0</v>
      </c>
      <c r="AF435">
        <f>ROUND(((EV435*4)),6)</f>
        <v>5936.52</v>
      </c>
      <c r="AG435">
        <f t="shared" si="424"/>
        <v>0</v>
      </c>
      <c r="AH435">
        <f>((EW435*4))</f>
        <v>10.56</v>
      </c>
      <c r="AI435">
        <f t="shared" si="449"/>
        <v>0</v>
      </c>
      <c r="AJ435">
        <f t="shared" si="426"/>
        <v>0</v>
      </c>
      <c r="AK435">
        <v>1484.13</v>
      </c>
      <c r="AL435">
        <v>0</v>
      </c>
      <c r="AM435">
        <v>0</v>
      </c>
      <c r="AN435">
        <v>0</v>
      </c>
      <c r="AO435">
        <v>1484.13</v>
      </c>
      <c r="AP435">
        <v>0</v>
      </c>
      <c r="AQ435">
        <v>2.64</v>
      </c>
      <c r="AR435">
        <v>0</v>
      </c>
      <c r="AS435">
        <v>0</v>
      </c>
      <c r="AT435">
        <v>70</v>
      </c>
      <c r="AU435">
        <v>10</v>
      </c>
      <c r="AV435">
        <v>1</v>
      </c>
      <c r="AW435">
        <v>1</v>
      </c>
      <c r="AZ435">
        <v>1</v>
      </c>
      <c r="BA435">
        <v>1</v>
      </c>
      <c r="BB435">
        <v>1</v>
      </c>
      <c r="BC435">
        <v>1</v>
      </c>
      <c r="BD435" t="s">
        <v>3</v>
      </c>
      <c r="BE435" t="s">
        <v>3</v>
      </c>
      <c r="BF435" t="s">
        <v>3</v>
      </c>
      <c r="BG435" t="s">
        <v>3</v>
      </c>
      <c r="BH435">
        <v>0</v>
      </c>
      <c r="BI435">
        <v>4</v>
      </c>
      <c r="BJ435" t="s">
        <v>109</v>
      </c>
      <c r="BM435">
        <v>0</v>
      </c>
      <c r="BN435">
        <v>0</v>
      </c>
      <c r="BO435" t="s">
        <v>3</v>
      </c>
      <c r="BP435">
        <v>0</v>
      </c>
      <c r="BQ435">
        <v>1</v>
      </c>
      <c r="BR435">
        <v>0</v>
      </c>
      <c r="BS435">
        <v>1</v>
      </c>
      <c r="BT435">
        <v>1</v>
      </c>
      <c r="BU435">
        <v>1</v>
      </c>
      <c r="BV435">
        <v>1</v>
      </c>
      <c r="BW435">
        <v>1</v>
      </c>
      <c r="BX435">
        <v>1</v>
      </c>
      <c r="BY435" t="s">
        <v>3</v>
      </c>
      <c r="BZ435">
        <v>70</v>
      </c>
      <c r="CA435">
        <v>10</v>
      </c>
      <c r="CB435" t="s">
        <v>3</v>
      </c>
      <c r="CE435">
        <v>0</v>
      </c>
      <c r="CF435">
        <v>0</v>
      </c>
      <c r="CG435">
        <v>0</v>
      </c>
      <c r="CM435">
        <v>0</v>
      </c>
      <c r="CN435" t="s">
        <v>3</v>
      </c>
      <c r="CO435">
        <v>0</v>
      </c>
      <c r="CP435">
        <f t="shared" si="427"/>
        <v>445.24</v>
      </c>
      <c r="CQ435">
        <f t="shared" si="441"/>
        <v>0</v>
      </c>
      <c r="CR435">
        <f t="shared" si="442"/>
        <v>0</v>
      </c>
      <c r="CS435">
        <f t="shared" si="443"/>
        <v>0</v>
      </c>
      <c r="CT435">
        <f t="shared" si="444"/>
        <v>5936.52</v>
      </c>
      <c r="CU435">
        <f t="shared" si="428"/>
        <v>0</v>
      </c>
      <c r="CV435">
        <f t="shared" si="445"/>
        <v>10.56</v>
      </c>
      <c r="CW435">
        <f t="shared" si="429"/>
        <v>0</v>
      </c>
      <c r="CX435">
        <f t="shared" si="430"/>
        <v>0</v>
      </c>
      <c r="CY435">
        <f t="shared" si="446"/>
        <v>311.66800000000001</v>
      </c>
      <c r="CZ435">
        <f t="shared" si="447"/>
        <v>44.523999999999994</v>
      </c>
      <c r="DC435" t="s">
        <v>3</v>
      </c>
      <c r="DD435" t="s">
        <v>3</v>
      </c>
      <c r="DE435" t="s">
        <v>3</v>
      </c>
      <c r="DF435" t="s">
        <v>3</v>
      </c>
      <c r="DG435" t="s">
        <v>106</v>
      </c>
      <c r="DH435" t="s">
        <v>3</v>
      </c>
      <c r="DI435" t="s">
        <v>106</v>
      </c>
      <c r="DJ435" t="s">
        <v>3</v>
      </c>
      <c r="DK435" t="s">
        <v>3</v>
      </c>
      <c r="DL435" t="s">
        <v>3</v>
      </c>
      <c r="DM435" t="s">
        <v>3</v>
      </c>
      <c r="DN435">
        <v>0</v>
      </c>
      <c r="DO435">
        <v>0</v>
      </c>
      <c r="DP435">
        <v>1</v>
      </c>
      <c r="DQ435">
        <v>1</v>
      </c>
      <c r="DU435">
        <v>1003</v>
      </c>
      <c r="DV435" t="s">
        <v>104</v>
      </c>
      <c r="DW435" t="s">
        <v>104</v>
      </c>
      <c r="DX435">
        <v>100</v>
      </c>
      <c r="DZ435" t="s">
        <v>3</v>
      </c>
      <c r="EA435" t="s">
        <v>3</v>
      </c>
      <c r="EB435" t="s">
        <v>3</v>
      </c>
      <c r="EC435" t="s">
        <v>3</v>
      </c>
      <c r="EE435">
        <v>1441815344</v>
      </c>
      <c r="EF435">
        <v>1</v>
      </c>
      <c r="EG435" t="s">
        <v>22</v>
      </c>
      <c r="EH435">
        <v>0</v>
      </c>
      <c r="EI435" t="s">
        <v>3</v>
      </c>
      <c r="EJ435">
        <v>4</v>
      </c>
      <c r="EK435">
        <v>0</v>
      </c>
      <c r="EL435" t="s">
        <v>23</v>
      </c>
      <c r="EM435" t="s">
        <v>24</v>
      </c>
      <c r="EO435" t="s">
        <v>3</v>
      </c>
      <c r="EQ435">
        <v>1024</v>
      </c>
      <c r="ER435">
        <v>1484.13</v>
      </c>
      <c r="ES435">
        <v>0</v>
      </c>
      <c r="ET435">
        <v>0</v>
      </c>
      <c r="EU435">
        <v>0</v>
      </c>
      <c r="EV435">
        <v>1484.13</v>
      </c>
      <c r="EW435">
        <v>2.64</v>
      </c>
      <c r="EX435">
        <v>0</v>
      </c>
      <c r="EY435">
        <v>0</v>
      </c>
      <c r="FQ435">
        <v>0</v>
      </c>
      <c r="FR435">
        <f t="shared" si="431"/>
        <v>0</v>
      </c>
      <c r="FS435">
        <v>0</v>
      </c>
      <c r="FX435">
        <v>70</v>
      </c>
      <c r="FY435">
        <v>10</v>
      </c>
      <c r="GA435" t="s">
        <v>3</v>
      </c>
      <c r="GD435">
        <v>0</v>
      </c>
      <c r="GF435">
        <v>1802126441</v>
      </c>
      <c r="GG435">
        <v>2</v>
      </c>
      <c r="GH435">
        <v>1</v>
      </c>
      <c r="GI435">
        <v>-2</v>
      </c>
      <c r="GJ435">
        <v>0</v>
      </c>
      <c r="GK435">
        <f>ROUND(R435*(R12)/100,2)</f>
        <v>0</v>
      </c>
      <c r="GL435">
        <f t="shared" si="432"/>
        <v>0</v>
      </c>
      <c r="GM435">
        <f t="shared" si="433"/>
        <v>801.43</v>
      </c>
      <c r="GN435">
        <f t="shared" si="434"/>
        <v>0</v>
      </c>
      <c r="GO435">
        <f t="shared" si="435"/>
        <v>0</v>
      </c>
      <c r="GP435">
        <f t="shared" si="436"/>
        <v>801.43</v>
      </c>
      <c r="GR435">
        <v>0</v>
      </c>
      <c r="GS435">
        <v>3</v>
      </c>
      <c r="GT435">
        <v>0</v>
      </c>
      <c r="GU435" t="s">
        <v>3</v>
      </c>
      <c r="GV435">
        <f t="shared" si="437"/>
        <v>0</v>
      </c>
      <c r="GW435">
        <v>1</v>
      </c>
      <c r="GX435">
        <f t="shared" si="438"/>
        <v>0</v>
      </c>
      <c r="HA435">
        <v>0</v>
      </c>
      <c r="HB435">
        <v>0</v>
      </c>
      <c r="HC435">
        <f t="shared" si="439"/>
        <v>0</v>
      </c>
      <c r="HE435" t="s">
        <v>3</v>
      </c>
      <c r="HF435" t="s">
        <v>3</v>
      </c>
      <c r="HM435" t="s">
        <v>3</v>
      </c>
      <c r="HN435" t="s">
        <v>3</v>
      </c>
      <c r="HO435" t="s">
        <v>3</v>
      </c>
      <c r="HP435" t="s">
        <v>3</v>
      </c>
      <c r="HQ435" t="s">
        <v>3</v>
      </c>
      <c r="IK435">
        <v>0</v>
      </c>
    </row>
    <row r="436" spans="1:245" x14ac:dyDescent="0.2">
      <c r="A436">
        <v>17</v>
      </c>
      <c r="B436">
        <v>1</v>
      </c>
      <c r="D436">
        <f>ROW(EtalonRes!A229)</f>
        <v>229</v>
      </c>
      <c r="E436" t="s">
        <v>3</v>
      </c>
      <c r="F436" t="s">
        <v>372</v>
      </c>
      <c r="G436" t="s">
        <v>373</v>
      </c>
      <c r="H436" t="s">
        <v>104</v>
      </c>
      <c r="I436">
        <f>ROUND((40+4)*0.25*0.1/100,9)</f>
        <v>1.0999999999999999E-2</v>
      </c>
      <c r="J436">
        <v>0</v>
      </c>
      <c r="K436">
        <f>ROUND((40+4)*0.25*0.1/100,9)</f>
        <v>1.0999999999999999E-2</v>
      </c>
      <c r="O436">
        <f t="shared" si="411"/>
        <v>19.29</v>
      </c>
      <c r="P436">
        <f t="shared" si="412"/>
        <v>0</v>
      </c>
      <c r="Q436">
        <f t="shared" si="413"/>
        <v>0</v>
      </c>
      <c r="R436">
        <f t="shared" si="414"/>
        <v>0</v>
      </c>
      <c r="S436">
        <f t="shared" si="415"/>
        <v>19.29</v>
      </c>
      <c r="T436">
        <f t="shared" si="416"/>
        <v>0</v>
      </c>
      <c r="U436">
        <f t="shared" si="417"/>
        <v>3.4319999999999996E-2</v>
      </c>
      <c r="V436">
        <f t="shared" si="418"/>
        <v>0</v>
      </c>
      <c r="W436">
        <f t="shared" si="419"/>
        <v>0</v>
      </c>
      <c r="X436">
        <f t="shared" si="420"/>
        <v>13.5</v>
      </c>
      <c r="Y436">
        <f t="shared" si="421"/>
        <v>1.93</v>
      </c>
      <c r="AA436">
        <v>-1</v>
      </c>
      <c r="AB436">
        <f t="shared" si="422"/>
        <v>1753.96</v>
      </c>
      <c r="AC436">
        <f t="shared" si="450"/>
        <v>0</v>
      </c>
      <c r="AD436">
        <f t="shared" si="440"/>
        <v>0</v>
      </c>
      <c r="AE436">
        <f t="shared" si="448"/>
        <v>0</v>
      </c>
      <c r="AF436">
        <f>ROUND(((EV436*4)),6)</f>
        <v>1753.96</v>
      </c>
      <c r="AG436">
        <f t="shared" si="424"/>
        <v>0</v>
      </c>
      <c r="AH436">
        <f>((EW436*4))</f>
        <v>3.12</v>
      </c>
      <c r="AI436">
        <f t="shared" si="449"/>
        <v>0</v>
      </c>
      <c r="AJ436">
        <f t="shared" si="426"/>
        <v>0</v>
      </c>
      <c r="AK436">
        <v>438.49</v>
      </c>
      <c r="AL436">
        <v>0</v>
      </c>
      <c r="AM436">
        <v>0</v>
      </c>
      <c r="AN436">
        <v>0</v>
      </c>
      <c r="AO436">
        <v>438.49</v>
      </c>
      <c r="AP436">
        <v>0</v>
      </c>
      <c r="AQ436">
        <v>0.78</v>
      </c>
      <c r="AR436">
        <v>0</v>
      </c>
      <c r="AS436">
        <v>0</v>
      </c>
      <c r="AT436">
        <v>70</v>
      </c>
      <c r="AU436">
        <v>10</v>
      </c>
      <c r="AV436">
        <v>1</v>
      </c>
      <c r="AW436">
        <v>1</v>
      </c>
      <c r="AZ436">
        <v>1</v>
      </c>
      <c r="BA436">
        <v>1</v>
      </c>
      <c r="BB436">
        <v>1</v>
      </c>
      <c r="BC436">
        <v>1</v>
      </c>
      <c r="BD436" t="s">
        <v>3</v>
      </c>
      <c r="BE436" t="s">
        <v>3</v>
      </c>
      <c r="BF436" t="s">
        <v>3</v>
      </c>
      <c r="BG436" t="s">
        <v>3</v>
      </c>
      <c r="BH436">
        <v>0</v>
      </c>
      <c r="BI436">
        <v>4</v>
      </c>
      <c r="BJ436" t="s">
        <v>374</v>
      </c>
      <c r="BM436">
        <v>0</v>
      </c>
      <c r="BN436">
        <v>0</v>
      </c>
      <c r="BO436" t="s">
        <v>3</v>
      </c>
      <c r="BP436">
        <v>0</v>
      </c>
      <c r="BQ436">
        <v>1</v>
      </c>
      <c r="BR436">
        <v>0</v>
      </c>
      <c r="BS436">
        <v>1</v>
      </c>
      <c r="BT436">
        <v>1</v>
      </c>
      <c r="BU436">
        <v>1</v>
      </c>
      <c r="BV436">
        <v>1</v>
      </c>
      <c r="BW436">
        <v>1</v>
      </c>
      <c r="BX436">
        <v>1</v>
      </c>
      <c r="BY436" t="s">
        <v>3</v>
      </c>
      <c r="BZ436">
        <v>70</v>
      </c>
      <c r="CA436">
        <v>10</v>
      </c>
      <c r="CB436" t="s">
        <v>3</v>
      </c>
      <c r="CE436">
        <v>0</v>
      </c>
      <c r="CF436">
        <v>0</v>
      </c>
      <c r="CG436">
        <v>0</v>
      </c>
      <c r="CM436">
        <v>0</v>
      </c>
      <c r="CN436" t="s">
        <v>3</v>
      </c>
      <c r="CO436">
        <v>0</v>
      </c>
      <c r="CP436">
        <f t="shared" si="427"/>
        <v>19.29</v>
      </c>
      <c r="CQ436">
        <f t="shared" si="441"/>
        <v>0</v>
      </c>
      <c r="CR436">
        <f t="shared" si="442"/>
        <v>0</v>
      </c>
      <c r="CS436">
        <f t="shared" si="443"/>
        <v>0</v>
      </c>
      <c r="CT436">
        <f t="shared" si="444"/>
        <v>1753.96</v>
      </c>
      <c r="CU436">
        <f t="shared" si="428"/>
        <v>0</v>
      </c>
      <c r="CV436">
        <f t="shared" si="445"/>
        <v>3.12</v>
      </c>
      <c r="CW436">
        <f t="shared" si="429"/>
        <v>0</v>
      </c>
      <c r="CX436">
        <f t="shared" si="430"/>
        <v>0</v>
      </c>
      <c r="CY436">
        <f t="shared" si="446"/>
        <v>13.503</v>
      </c>
      <c r="CZ436">
        <f t="shared" si="447"/>
        <v>1.9289999999999998</v>
      </c>
      <c r="DC436" t="s">
        <v>3</v>
      </c>
      <c r="DD436" t="s">
        <v>3</v>
      </c>
      <c r="DE436" t="s">
        <v>3</v>
      </c>
      <c r="DF436" t="s">
        <v>3</v>
      </c>
      <c r="DG436" t="s">
        <v>106</v>
      </c>
      <c r="DH436" t="s">
        <v>3</v>
      </c>
      <c r="DI436" t="s">
        <v>106</v>
      </c>
      <c r="DJ436" t="s">
        <v>3</v>
      </c>
      <c r="DK436" t="s">
        <v>3</v>
      </c>
      <c r="DL436" t="s">
        <v>3</v>
      </c>
      <c r="DM436" t="s">
        <v>3</v>
      </c>
      <c r="DN436">
        <v>0</v>
      </c>
      <c r="DO436">
        <v>0</v>
      </c>
      <c r="DP436">
        <v>1</v>
      </c>
      <c r="DQ436">
        <v>1</v>
      </c>
      <c r="DU436">
        <v>1003</v>
      </c>
      <c r="DV436" t="s">
        <v>104</v>
      </c>
      <c r="DW436" t="s">
        <v>104</v>
      </c>
      <c r="DX436">
        <v>100</v>
      </c>
      <c r="DZ436" t="s">
        <v>3</v>
      </c>
      <c r="EA436" t="s">
        <v>3</v>
      </c>
      <c r="EB436" t="s">
        <v>3</v>
      </c>
      <c r="EC436" t="s">
        <v>3</v>
      </c>
      <c r="EE436">
        <v>1441815344</v>
      </c>
      <c r="EF436">
        <v>1</v>
      </c>
      <c r="EG436" t="s">
        <v>22</v>
      </c>
      <c r="EH436">
        <v>0</v>
      </c>
      <c r="EI436" t="s">
        <v>3</v>
      </c>
      <c r="EJ436">
        <v>4</v>
      </c>
      <c r="EK436">
        <v>0</v>
      </c>
      <c r="EL436" t="s">
        <v>23</v>
      </c>
      <c r="EM436" t="s">
        <v>24</v>
      </c>
      <c r="EO436" t="s">
        <v>3</v>
      </c>
      <c r="EQ436">
        <v>1024</v>
      </c>
      <c r="ER436">
        <v>438.49</v>
      </c>
      <c r="ES436">
        <v>0</v>
      </c>
      <c r="ET436">
        <v>0</v>
      </c>
      <c r="EU436">
        <v>0</v>
      </c>
      <c r="EV436">
        <v>438.49</v>
      </c>
      <c r="EW436">
        <v>0.78</v>
      </c>
      <c r="EX436">
        <v>0</v>
      </c>
      <c r="EY436">
        <v>0</v>
      </c>
      <c r="FQ436">
        <v>0</v>
      </c>
      <c r="FR436">
        <f t="shared" si="431"/>
        <v>0</v>
      </c>
      <c r="FS436">
        <v>0</v>
      </c>
      <c r="FX436">
        <v>70</v>
      </c>
      <c r="FY436">
        <v>10</v>
      </c>
      <c r="GA436" t="s">
        <v>3</v>
      </c>
      <c r="GD436">
        <v>0</v>
      </c>
      <c r="GF436">
        <v>189766521</v>
      </c>
      <c r="GG436">
        <v>2</v>
      </c>
      <c r="GH436">
        <v>1</v>
      </c>
      <c r="GI436">
        <v>-2</v>
      </c>
      <c r="GJ436">
        <v>0</v>
      </c>
      <c r="GK436">
        <f>ROUND(R436*(R12)/100,2)</f>
        <v>0</v>
      </c>
      <c r="GL436">
        <f t="shared" si="432"/>
        <v>0</v>
      </c>
      <c r="GM436">
        <f t="shared" si="433"/>
        <v>34.72</v>
      </c>
      <c r="GN436">
        <f t="shared" si="434"/>
        <v>0</v>
      </c>
      <c r="GO436">
        <f t="shared" si="435"/>
        <v>0</v>
      </c>
      <c r="GP436">
        <f t="shared" si="436"/>
        <v>34.72</v>
      </c>
      <c r="GR436">
        <v>0</v>
      </c>
      <c r="GS436">
        <v>3</v>
      </c>
      <c r="GT436">
        <v>0</v>
      </c>
      <c r="GU436" t="s">
        <v>3</v>
      </c>
      <c r="GV436">
        <f t="shared" si="437"/>
        <v>0</v>
      </c>
      <c r="GW436">
        <v>1</v>
      </c>
      <c r="GX436">
        <f t="shared" si="438"/>
        <v>0</v>
      </c>
      <c r="HA436">
        <v>0</v>
      </c>
      <c r="HB436">
        <v>0</v>
      </c>
      <c r="HC436">
        <f t="shared" si="439"/>
        <v>0</v>
      </c>
      <c r="HE436" t="s">
        <v>3</v>
      </c>
      <c r="HF436" t="s">
        <v>3</v>
      </c>
      <c r="HM436" t="s">
        <v>3</v>
      </c>
      <c r="HN436" t="s">
        <v>3</v>
      </c>
      <c r="HO436" t="s">
        <v>3</v>
      </c>
      <c r="HP436" t="s">
        <v>3</v>
      </c>
      <c r="HQ436" t="s">
        <v>3</v>
      </c>
      <c r="IK436">
        <v>0</v>
      </c>
    </row>
    <row r="437" spans="1:245" x14ac:dyDescent="0.2">
      <c r="A437">
        <v>17</v>
      </c>
      <c r="B437">
        <v>1</v>
      </c>
      <c r="D437">
        <f>ROW(EtalonRes!A230)</f>
        <v>230</v>
      </c>
      <c r="E437" t="s">
        <v>3</v>
      </c>
      <c r="F437" t="s">
        <v>375</v>
      </c>
      <c r="G437" t="s">
        <v>376</v>
      </c>
      <c r="H437" t="s">
        <v>104</v>
      </c>
      <c r="I437">
        <f>ROUND((40+4)*0.75*0.1/100,9)</f>
        <v>3.3000000000000002E-2</v>
      </c>
      <c r="J437">
        <v>0</v>
      </c>
      <c r="K437">
        <f>ROUND((40+4)*0.75*0.1/100,9)</f>
        <v>3.3000000000000002E-2</v>
      </c>
      <c r="O437">
        <f t="shared" si="411"/>
        <v>166.22</v>
      </c>
      <c r="P437">
        <f t="shared" si="412"/>
        <v>0</v>
      </c>
      <c r="Q437">
        <f t="shared" si="413"/>
        <v>0</v>
      </c>
      <c r="R437">
        <f t="shared" si="414"/>
        <v>0</v>
      </c>
      <c r="S437">
        <f t="shared" si="415"/>
        <v>166.22</v>
      </c>
      <c r="T437">
        <f t="shared" si="416"/>
        <v>0</v>
      </c>
      <c r="U437">
        <f t="shared" si="417"/>
        <v>0.29568000000000005</v>
      </c>
      <c r="V437">
        <f t="shared" si="418"/>
        <v>0</v>
      </c>
      <c r="W437">
        <f t="shared" si="419"/>
        <v>0</v>
      </c>
      <c r="X437">
        <f t="shared" si="420"/>
        <v>116.35</v>
      </c>
      <c r="Y437">
        <f t="shared" si="421"/>
        <v>16.62</v>
      </c>
      <c r="AA437">
        <v>-1</v>
      </c>
      <c r="AB437">
        <f t="shared" si="422"/>
        <v>5037.04</v>
      </c>
      <c r="AC437">
        <f t="shared" si="450"/>
        <v>0</v>
      </c>
      <c r="AD437">
        <f t="shared" si="440"/>
        <v>0</v>
      </c>
      <c r="AE437">
        <f t="shared" si="448"/>
        <v>0</v>
      </c>
      <c r="AF437">
        <f>ROUND(((EV437*4)),6)</f>
        <v>5037.04</v>
      </c>
      <c r="AG437">
        <f t="shared" si="424"/>
        <v>0</v>
      </c>
      <c r="AH437">
        <f>((EW437*4))</f>
        <v>8.9600000000000009</v>
      </c>
      <c r="AI437">
        <f t="shared" si="449"/>
        <v>0</v>
      </c>
      <c r="AJ437">
        <f t="shared" si="426"/>
        <v>0</v>
      </c>
      <c r="AK437">
        <v>1259.26</v>
      </c>
      <c r="AL437">
        <v>0</v>
      </c>
      <c r="AM437">
        <v>0</v>
      </c>
      <c r="AN437">
        <v>0</v>
      </c>
      <c r="AO437">
        <v>1259.26</v>
      </c>
      <c r="AP437">
        <v>0</v>
      </c>
      <c r="AQ437">
        <v>2.2400000000000002</v>
      </c>
      <c r="AR437">
        <v>0</v>
      </c>
      <c r="AS437">
        <v>0</v>
      </c>
      <c r="AT437">
        <v>70</v>
      </c>
      <c r="AU437">
        <v>10</v>
      </c>
      <c r="AV437">
        <v>1</v>
      </c>
      <c r="AW437">
        <v>1</v>
      </c>
      <c r="AZ437">
        <v>1</v>
      </c>
      <c r="BA437">
        <v>1</v>
      </c>
      <c r="BB437">
        <v>1</v>
      </c>
      <c r="BC437">
        <v>1</v>
      </c>
      <c r="BD437" t="s">
        <v>3</v>
      </c>
      <c r="BE437" t="s">
        <v>3</v>
      </c>
      <c r="BF437" t="s">
        <v>3</v>
      </c>
      <c r="BG437" t="s">
        <v>3</v>
      </c>
      <c r="BH437">
        <v>0</v>
      </c>
      <c r="BI437">
        <v>4</v>
      </c>
      <c r="BJ437" t="s">
        <v>377</v>
      </c>
      <c r="BM437">
        <v>0</v>
      </c>
      <c r="BN437">
        <v>0</v>
      </c>
      <c r="BO437" t="s">
        <v>3</v>
      </c>
      <c r="BP437">
        <v>0</v>
      </c>
      <c r="BQ437">
        <v>1</v>
      </c>
      <c r="BR437">
        <v>0</v>
      </c>
      <c r="BS437">
        <v>1</v>
      </c>
      <c r="BT437">
        <v>1</v>
      </c>
      <c r="BU437">
        <v>1</v>
      </c>
      <c r="BV437">
        <v>1</v>
      </c>
      <c r="BW437">
        <v>1</v>
      </c>
      <c r="BX437">
        <v>1</v>
      </c>
      <c r="BY437" t="s">
        <v>3</v>
      </c>
      <c r="BZ437">
        <v>70</v>
      </c>
      <c r="CA437">
        <v>10</v>
      </c>
      <c r="CB437" t="s">
        <v>3</v>
      </c>
      <c r="CE437">
        <v>0</v>
      </c>
      <c r="CF437">
        <v>0</v>
      </c>
      <c r="CG437">
        <v>0</v>
      </c>
      <c r="CM437">
        <v>0</v>
      </c>
      <c r="CN437" t="s">
        <v>3</v>
      </c>
      <c r="CO437">
        <v>0</v>
      </c>
      <c r="CP437">
        <f t="shared" si="427"/>
        <v>166.22</v>
      </c>
      <c r="CQ437">
        <f t="shared" si="441"/>
        <v>0</v>
      </c>
      <c r="CR437">
        <f t="shared" si="442"/>
        <v>0</v>
      </c>
      <c r="CS437">
        <f t="shared" si="443"/>
        <v>0</v>
      </c>
      <c r="CT437">
        <f t="shared" si="444"/>
        <v>5037.04</v>
      </c>
      <c r="CU437">
        <f t="shared" si="428"/>
        <v>0</v>
      </c>
      <c r="CV437">
        <f t="shared" si="445"/>
        <v>8.9600000000000009</v>
      </c>
      <c r="CW437">
        <f t="shared" si="429"/>
        <v>0</v>
      </c>
      <c r="CX437">
        <f t="shared" si="430"/>
        <v>0</v>
      </c>
      <c r="CY437">
        <f t="shared" si="446"/>
        <v>116.354</v>
      </c>
      <c r="CZ437">
        <f t="shared" si="447"/>
        <v>16.622</v>
      </c>
      <c r="DC437" t="s">
        <v>3</v>
      </c>
      <c r="DD437" t="s">
        <v>3</v>
      </c>
      <c r="DE437" t="s">
        <v>3</v>
      </c>
      <c r="DF437" t="s">
        <v>3</v>
      </c>
      <c r="DG437" t="s">
        <v>106</v>
      </c>
      <c r="DH437" t="s">
        <v>3</v>
      </c>
      <c r="DI437" t="s">
        <v>106</v>
      </c>
      <c r="DJ437" t="s">
        <v>3</v>
      </c>
      <c r="DK437" t="s">
        <v>3</v>
      </c>
      <c r="DL437" t="s">
        <v>3</v>
      </c>
      <c r="DM437" t="s">
        <v>3</v>
      </c>
      <c r="DN437">
        <v>0</v>
      </c>
      <c r="DO437">
        <v>0</v>
      </c>
      <c r="DP437">
        <v>1</v>
      </c>
      <c r="DQ437">
        <v>1</v>
      </c>
      <c r="DU437">
        <v>1003</v>
      </c>
      <c r="DV437" t="s">
        <v>104</v>
      </c>
      <c r="DW437" t="s">
        <v>104</v>
      </c>
      <c r="DX437">
        <v>100</v>
      </c>
      <c r="DZ437" t="s">
        <v>3</v>
      </c>
      <c r="EA437" t="s">
        <v>3</v>
      </c>
      <c r="EB437" t="s">
        <v>3</v>
      </c>
      <c r="EC437" t="s">
        <v>3</v>
      </c>
      <c r="EE437">
        <v>1441815344</v>
      </c>
      <c r="EF437">
        <v>1</v>
      </c>
      <c r="EG437" t="s">
        <v>22</v>
      </c>
      <c r="EH437">
        <v>0</v>
      </c>
      <c r="EI437" t="s">
        <v>3</v>
      </c>
      <c r="EJ437">
        <v>4</v>
      </c>
      <c r="EK437">
        <v>0</v>
      </c>
      <c r="EL437" t="s">
        <v>23</v>
      </c>
      <c r="EM437" t="s">
        <v>24</v>
      </c>
      <c r="EO437" t="s">
        <v>3</v>
      </c>
      <c r="EQ437">
        <v>1024</v>
      </c>
      <c r="ER437">
        <v>1259.26</v>
      </c>
      <c r="ES437">
        <v>0</v>
      </c>
      <c r="ET437">
        <v>0</v>
      </c>
      <c r="EU437">
        <v>0</v>
      </c>
      <c r="EV437">
        <v>1259.26</v>
      </c>
      <c r="EW437">
        <v>2.2400000000000002</v>
      </c>
      <c r="EX437">
        <v>0</v>
      </c>
      <c r="EY437">
        <v>0</v>
      </c>
      <c r="FQ437">
        <v>0</v>
      </c>
      <c r="FR437">
        <f t="shared" si="431"/>
        <v>0</v>
      </c>
      <c r="FS437">
        <v>0</v>
      </c>
      <c r="FX437">
        <v>70</v>
      </c>
      <c r="FY437">
        <v>10</v>
      </c>
      <c r="GA437" t="s">
        <v>3</v>
      </c>
      <c r="GD437">
        <v>0</v>
      </c>
      <c r="GF437">
        <v>36187689</v>
      </c>
      <c r="GG437">
        <v>2</v>
      </c>
      <c r="GH437">
        <v>1</v>
      </c>
      <c r="GI437">
        <v>-2</v>
      </c>
      <c r="GJ437">
        <v>0</v>
      </c>
      <c r="GK437">
        <f>ROUND(R437*(R12)/100,2)</f>
        <v>0</v>
      </c>
      <c r="GL437">
        <f t="shared" si="432"/>
        <v>0</v>
      </c>
      <c r="GM437">
        <f t="shared" si="433"/>
        <v>299.19</v>
      </c>
      <c r="GN437">
        <f t="shared" si="434"/>
        <v>0</v>
      </c>
      <c r="GO437">
        <f t="shared" si="435"/>
        <v>0</v>
      </c>
      <c r="GP437">
        <f t="shared" si="436"/>
        <v>299.19</v>
      </c>
      <c r="GR437">
        <v>0</v>
      </c>
      <c r="GS437">
        <v>3</v>
      </c>
      <c r="GT437">
        <v>0</v>
      </c>
      <c r="GU437" t="s">
        <v>3</v>
      </c>
      <c r="GV437">
        <f t="shared" si="437"/>
        <v>0</v>
      </c>
      <c r="GW437">
        <v>1</v>
      </c>
      <c r="GX437">
        <f t="shared" si="438"/>
        <v>0</v>
      </c>
      <c r="HA437">
        <v>0</v>
      </c>
      <c r="HB437">
        <v>0</v>
      </c>
      <c r="HC437">
        <f t="shared" si="439"/>
        <v>0</v>
      </c>
      <c r="HE437" t="s">
        <v>3</v>
      </c>
      <c r="HF437" t="s">
        <v>3</v>
      </c>
      <c r="HM437" t="s">
        <v>3</v>
      </c>
      <c r="HN437" t="s">
        <v>3</v>
      </c>
      <c r="HO437" t="s">
        <v>3</v>
      </c>
      <c r="HP437" t="s">
        <v>3</v>
      </c>
      <c r="HQ437" t="s">
        <v>3</v>
      </c>
      <c r="IK437">
        <v>0</v>
      </c>
    </row>
    <row r="438" spans="1:245" x14ac:dyDescent="0.2">
      <c r="A438">
        <v>17</v>
      </c>
      <c r="B438">
        <v>1</v>
      </c>
      <c r="D438">
        <f>ROW(EtalonRes!A236)</f>
        <v>236</v>
      </c>
      <c r="E438" t="s">
        <v>3</v>
      </c>
      <c r="F438" t="s">
        <v>262</v>
      </c>
      <c r="G438" t="s">
        <v>263</v>
      </c>
      <c r="H438" t="s">
        <v>104</v>
      </c>
      <c r="I438">
        <f>ROUND((1+8+1)/100,9)</f>
        <v>0.1</v>
      </c>
      <c r="J438">
        <v>0</v>
      </c>
      <c r="K438">
        <f>ROUND((1+8+1)/100,9)</f>
        <v>0.1</v>
      </c>
      <c r="O438">
        <f t="shared" si="411"/>
        <v>792.66</v>
      </c>
      <c r="P438">
        <f t="shared" si="412"/>
        <v>7.02</v>
      </c>
      <c r="Q438">
        <f t="shared" si="413"/>
        <v>5.07</v>
      </c>
      <c r="R438">
        <f t="shared" si="414"/>
        <v>0.08</v>
      </c>
      <c r="S438">
        <f t="shared" si="415"/>
        <v>780.57</v>
      </c>
      <c r="T438">
        <f t="shared" si="416"/>
        <v>0</v>
      </c>
      <c r="U438">
        <f t="shared" si="417"/>
        <v>1.0640000000000001</v>
      </c>
      <c r="V438">
        <f t="shared" si="418"/>
        <v>0</v>
      </c>
      <c r="W438">
        <f t="shared" si="419"/>
        <v>0</v>
      </c>
      <c r="X438">
        <f t="shared" si="420"/>
        <v>546.4</v>
      </c>
      <c r="Y438">
        <f t="shared" si="421"/>
        <v>78.06</v>
      </c>
      <c r="AA438">
        <v>-1</v>
      </c>
      <c r="AB438">
        <f t="shared" si="422"/>
        <v>7926.65</v>
      </c>
      <c r="AC438">
        <f t="shared" si="450"/>
        <v>70.23</v>
      </c>
      <c r="AD438">
        <f t="shared" si="440"/>
        <v>50.7</v>
      </c>
      <c r="AE438">
        <f t="shared" si="448"/>
        <v>0.81</v>
      </c>
      <c r="AF438">
        <f t="shared" ref="AF438:AF443" si="451">ROUND((EV438),6)</f>
        <v>7805.72</v>
      </c>
      <c r="AG438">
        <f t="shared" si="424"/>
        <v>0</v>
      </c>
      <c r="AH438">
        <f t="shared" ref="AH438:AH443" si="452">(EW438)</f>
        <v>10.64</v>
      </c>
      <c r="AI438">
        <f t="shared" si="449"/>
        <v>0</v>
      </c>
      <c r="AJ438">
        <f t="shared" si="426"/>
        <v>0</v>
      </c>
      <c r="AK438">
        <v>7926.65</v>
      </c>
      <c r="AL438">
        <v>70.23</v>
      </c>
      <c r="AM438">
        <v>50.7</v>
      </c>
      <c r="AN438">
        <v>0.81</v>
      </c>
      <c r="AO438">
        <v>7805.72</v>
      </c>
      <c r="AP438">
        <v>0</v>
      </c>
      <c r="AQ438">
        <v>10.64</v>
      </c>
      <c r="AR438">
        <v>0</v>
      </c>
      <c r="AS438">
        <v>0</v>
      </c>
      <c r="AT438">
        <v>70</v>
      </c>
      <c r="AU438">
        <v>10</v>
      </c>
      <c r="AV438">
        <v>1</v>
      </c>
      <c r="AW438">
        <v>1</v>
      </c>
      <c r="AZ438">
        <v>1</v>
      </c>
      <c r="BA438">
        <v>1</v>
      </c>
      <c r="BB438">
        <v>1</v>
      </c>
      <c r="BC438">
        <v>1</v>
      </c>
      <c r="BD438" t="s">
        <v>3</v>
      </c>
      <c r="BE438" t="s">
        <v>3</v>
      </c>
      <c r="BF438" t="s">
        <v>3</v>
      </c>
      <c r="BG438" t="s">
        <v>3</v>
      </c>
      <c r="BH438">
        <v>0</v>
      </c>
      <c r="BI438">
        <v>4</v>
      </c>
      <c r="BJ438" t="s">
        <v>264</v>
      </c>
      <c r="BM438">
        <v>0</v>
      </c>
      <c r="BN438">
        <v>0</v>
      </c>
      <c r="BO438" t="s">
        <v>3</v>
      </c>
      <c r="BP438">
        <v>0</v>
      </c>
      <c r="BQ438">
        <v>1</v>
      </c>
      <c r="BR438">
        <v>0</v>
      </c>
      <c r="BS438">
        <v>1</v>
      </c>
      <c r="BT438">
        <v>1</v>
      </c>
      <c r="BU438">
        <v>1</v>
      </c>
      <c r="BV438">
        <v>1</v>
      </c>
      <c r="BW438">
        <v>1</v>
      </c>
      <c r="BX438">
        <v>1</v>
      </c>
      <c r="BY438" t="s">
        <v>3</v>
      </c>
      <c r="BZ438">
        <v>70</v>
      </c>
      <c r="CA438">
        <v>10</v>
      </c>
      <c r="CB438" t="s">
        <v>3</v>
      </c>
      <c r="CE438">
        <v>0</v>
      </c>
      <c r="CF438">
        <v>0</v>
      </c>
      <c r="CG438">
        <v>0</v>
      </c>
      <c r="CM438">
        <v>0</v>
      </c>
      <c r="CN438" t="s">
        <v>3</v>
      </c>
      <c r="CO438">
        <v>0</v>
      </c>
      <c r="CP438">
        <f t="shared" si="427"/>
        <v>792.66000000000008</v>
      </c>
      <c r="CQ438">
        <f t="shared" si="441"/>
        <v>70.23</v>
      </c>
      <c r="CR438">
        <f t="shared" si="442"/>
        <v>50.7</v>
      </c>
      <c r="CS438">
        <f t="shared" si="443"/>
        <v>0.81</v>
      </c>
      <c r="CT438">
        <f t="shared" si="444"/>
        <v>7805.72</v>
      </c>
      <c r="CU438">
        <f t="shared" si="428"/>
        <v>0</v>
      </c>
      <c r="CV438">
        <f t="shared" si="445"/>
        <v>10.64</v>
      </c>
      <c r="CW438">
        <f t="shared" si="429"/>
        <v>0</v>
      </c>
      <c r="CX438">
        <f t="shared" si="430"/>
        <v>0</v>
      </c>
      <c r="CY438">
        <f t="shared" si="446"/>
        <v>546.399</v>
      </c>
      <c r="CZ438">
        <f t="shared" si="447"/>
        <v>78.057000000000002</v>
      </c>
      <c r="DC438" t="s">
        <v>3</v>
      </c>
      <c r="DD438" t="s">
        <v>3</v>
      </c>
      <c r="DE438" t="s">
        <v>3</v>
      </c>
      <c r="DF438" t="s">
        <v>3</v>
      </c>
      <c r="DG438" t="s">
        <v>3</v>
      </c>
      <c r="DH438" t="s">
        <v>3</v>
      </c>
      <c r="DI438" t="s">
        <v>3</v>
      </c>
      <c r="DJ438" t="s">
        <v>3</v>
      </c>
      <c r="DK438" t="s">
        <v>3</v>
      </c>
      <c r="DL438" t="s">
        <v>3</v>
      </c>
      <c r="DM438" t="s">
        <v>3</v>
      </c>
      <c r="DN438">
        <v>0</v>
      </c>
      <c r="DO438">
        <v>0</v>
      </c>
      <c r="DP438">
        <v>1</v>
      </c>
      <c r="DQ438">
        <v>1</v>
      </c>
      <c r="DU438">
        <v>1003</v>
      </c>
      <c r="DV438" t="s">
        <v>104</v>
      </c>
      <c r="DW438" t="s">
        <v>104</v>
      </c>
      <c r="DX438">
        <v>100</v>
      </c>
      <c r="DZ438" t="s">
        <v>3</v>
      </c>
      <c r="EA438" t="s">
        <v>3</v>
      </c>
      <c r="EB438" t="s">
        <v>3</v>
      </c>
      <c r="EC438" t="s">
        <v>3</v>
      </c>
      <c r="EE438">
        <v>1441815344</v>
      </c>
      <c r="EF438">
        <v>1</v>
      </c>
      <c r="EG438" t="s">
        <v>22</v>
      </c>
      <c r="EH438">
        <v>0</v>
      </c>
      <c r="EI438" t="s">
        <v>3</v>
      </c>
      <c r="EJ438">
        <v>4</v>
      </c>
      <c r="EK438">
        <v>0</v>
      </c>
      <c r="EL438" t="s">
        <v>23</v>
      </c>
      <c r="EM438" t="s">
        <v>24</v>
      </c>
      <c r="EO438" t="s">
        <v>3</v>
      </c>
      <c r="EQ438">
        <v>1024</v>
      </c>
      <c r="ER438">
        <v>7926.65</v>
      </c>
      <c r="ES438">
        <v>70.23</v>
      </c>
      <c r="ET438">
        <v>50.7</v>
      </c>
      <c r="EU438">
        <v>0.81</v>
      </c>
      <c r="EV438">
        <v>7805.72</v>
      </c>
      <c r="EW438">
        <v>10.64</v>
      </c>
      <c r="EX438">
        <v>0</v>
      </c>
      <c r="EY438">
        <v>0</v>
      </c>
      <c r="FQ438">
        <v>0</v>
      </c>
      <c r="FR438">
        <f t="shared" si="431"/>
        <v>0</v>
      </c>
      <c r="FS438">
        <v>0</v>
      </c>
      <c r="FX438">
        <v>70</v>
      </c>
      <c r="FY438">
        <v>10</v>
      </c>
      <c r="GA438" t="s">
        <v>3</v>
      </c>
      <c r="GD438">
        <v>0</v>
      </c>
      <c r="GF438">
        <v>1087258960</v>
      </c>
      <c r="GG438">
        <v>2</v>
      </c>
      <c r="GH438">
        <v>1</v>
      </c>
      <c r="GI438">
        <v>-2</v>
      </c>
      <c r="GJ438">
        <v>0</v>
      </c>
      <c r="GK438">
        <f>ROUND(R438*(R12)/100,2)</f>
        <v>0.09</v>
      </c>
      <c r="GL438">
        <f t="shared" si="432"/>
        <v>0</v>
      </c>
      <c r="GM438">
        <f t="shared" si="433"/>
        <v>1417.21</v>
      </c>
      <c r="GN438">
        <f t="shared" si="434"/>
        <v>0</v>
      </c>
      <c r="GO438">
        <f t="shared" si="435"/>
        <v>0</v>
      </c>
      <c r="GP438">
        <f t="shared" si="436"/>
        <v>1417.21</v>
      </c>
      <c r="GR438">
        <v>0</v>
      </c>
      <c r="GS438">
        <v>3</v>
      </c>
      <c r="GT438">
        <v>0</v>
      </c>
      <c r="GU438" t="s">
        <v>3</v>
      </c>
      <c r="GV438">
        <f t="shared" si="437"/>
        <v>0</v>
      </c>
      <c r="GW438">
        <v>1</v>
      </c>
      <c r="GX438">
        <f t="shared" si="438"/>
        <v>0</v>
      </c>
      <c r="HA438">
        <v>0</v>
      </c>
      <c r="HB438">
        <v>0</v>
      </c>
      <c r="HC438">
        <f t="shared" si="439"/>
        <v>0</v>
      </c>
      <c r="HE438" t="s">
        <v>3</v>
      </c>
      <c r="HF438" t="s">
        <v>3</v>
      </c>
      <c r="HM438" t="s">
        <v>3</v>
      </c>
      <c r="HN438" t="s">
        <v>3</v>
      </c>
      <c r="HO438" t="s">
        <v>3</v>
      </c>
      <c r="HP438" t="s">
        <v>3</v>
      </c>
      <c r="HQ438" t="s">
        <v>3</v>
      </c>
      <c r="IK438">
        <v>0</v>
      </c>
    </row>
    <row r="439" spans="1:245" x14ac:dyDescent="0.2">
      <c r="A439">
        <v>17</v>
      </c>
      <c r="B439">
        <v>1</v>
      </c>
      <c r="D439">
        <f>ROW(EtalonRes!A242)</f>
        <v>242</v>
      </c>
      <c r="E439" t="s">
        <v>3</v>
      </c>
      <c r="F439" t="s">
        <v>265</v>
      </c>
      <c r="G439" t="s">
        <v>266</v>
      </c>
      <c r="H439" t="s">
        <v>104</v>
      </c>
      <c r="I439">
        <f>ROUND((60+10)/100,9)</f>
        <v>0.7</v>
      </c>
      <c r="J439">
        <v>0</v>
      </c>
      <c r="K439">
        <f>ROUND((60+10)/100,9)</f>
        <v>0.7</v>
      </c>
      <c r="O439">
        <f t="shared" si="411"/>
        <v>5656.07</v>
      </c>
      <c r="P439">
        <f t="shared" si="412"/>
        <v>156.58000000000001</v>
      </c>
      <c r="Q439">
        <f t="shared" si="413"/>
        <v>35.49</v>
      </c>
      <c r="R439">
        <f t="shared" si="414"/>
        <v>0.56999999999999995</v>
      </c>
      <c r="S439">
        <f t="shared" si="415"/>
        <v>5464</v>
      </c>
      <c r="T439">
        <f t="shared" si="416"/>
        <v>0</v>
      </c>
      <c r="U439">
        <f t="shared" si="417"/>
        <v>7.4479999999999995</v>
      </c>
      <c r="V439">
        <f t="shared" si="418"/>
        <v>0</v>
      </c>
      <c r="W439">
        <f t="shared" si="419"/>
        <v>0</v>
      </c>
      <c r="X439">
        <f t="shared" si="420"/>
        <v>3824.8</v>
      </c>
      <c r="Y439">
        <f t="shared" si="421"/>
        <v>546.4</v>
      </c>
      <c r="AA439">
        <v>-1</v>
      </c>
      <c r="AB439">
        <f t="shared" si="422"/>
        <v>8080.11</v>
      </c>
      <c r="AC439">
        <f t="shared" si="450"/>
        <v>223.69</v>
      </c>
      <c r="AD439">
        <f t="shared" si="440"/>
        <v>50.7</v>
      </c>
      <c r="AE439">
        <f t="shared" si="448"/>
        <v>0.81</v>
      </c>
      <c r="AF439">
        <f t="shared" si="451"/>
        <v>7805.72</v>
      </c>
      <c r="AG439">
        <f t="shared" si="424"/>
        <v>0</v>
      </c>
      <c r="AH439">
        <f t="shared" si="452"/>
        <v>10.64</v>
      </c>
      <c r="AI439">
        <f t="shared" si="449"/>
        <v>0</v>
      </c>
      <c r="AJ439">
        <f t="shared" si="426"/>
        <v>0</v>
      </c>
      <c r="AK439">
        <v>8080.11</v>
      </c>
      <c r="AL439">
        <v>223.69</v>
      </c>
      <c r="AM439">
        <v>50.7</v>
      </c>
      <c r="AN439">
        <v>0.81</v>
      </c>
      <c r="AO439">
        <v>7805.72</v>
      </c>
      <c r="AP439">
        <v>0</v>
      </c>
      <c r="AQ439">
        <v>10.64</v>
      </c>
      <c r="AR439">
        <v>0</v>
      </c>
      <c r="AS439">
        <v>0</v>
      </c>
      <c r="AT439">
        <v>70</v>
      </c>
      <c r="AU439">
        <v>10</v>
      </c>
      <c r="AV439">
        <v>1</v>
      </c>
      <c r="AW439">
        <v>1</v>
      </c>
      <c r="AZ439">
        <v>1</v>
      </c>
      <c r="BA439">
        <v>1</v>
      </c>
      <c r="BB439">
        <v>1</v>
      </c>
      <c r="BC439">
        <v>1</v>
      </c>
      <c r="BD439" t="s">
        <v>3</v>
      </c>
      <c r="BE439" t="s">
        <v>3</v>
      </c>
      <c r="BF439" t="s">
        <v>3</v>
      </c>
      <c r="BG439" t="s">
        <v>3</v>
      </c>
      <c r="BH439">
        <v>0</v>
      </c>
      <c r="BI439">
        <v>4</v>
      </c>
      <c r="BJ439" t="s">
        <v>267</v>
      </c>
      <c r="BM439">
        <v>0</v>
      </c>
      <c r="BN439">
        <v>0</v>
      </c>
      <c r="BO439" t="s">
        <v>3</v>
      </c>
      <c r="BP439">
        <v>0</v>
      </c>
      <c r="BQ439">
        <v>1</v>
      </c>
      <c r="BR439">
        <v>0</v>
      </c>
      <c r="BS439">
        <v>1</v>
      </c>
      <c r="BT439">
        <v>1</v>
      </c>
      <c r="BU439">
        <v>1</v>
      </c>
      <c r="BV439">
        <v>1</v>
      </c>
      <c r="BW439">
        <v>1</v>
      </c>
      <c r="BX439">
        <v>1</v>
      </c>
      <c r="BY439" t="s">
        <v>3</v>
      </c>
      <c r="BZ439">
        <v>70</v>
      </c>
      <c r="CA439">
        <v>10</v>
      </c>
      <c r="CB439" t="s">
        <v>3</v>
      </c>
      <c r="CE439">
        <v>0</v>
      </c>
      <c r="CF439">
        <v>0</v>
      </c>
      <c r="CG439">
        <v>0</v>
      </c>
      <c r="CM439">
        <v>0</v>
      </c>
      <c r="CN439" t="s">
        <v>3</v>
      </c>
      <c r="CO439">
        <v>0</v>
      </c>
      <c r="CP439">
        <f t="shared" si="427"/>
        <v>5656.07</v>
      </c>
      <c r="CQ439">
        <f t="shared" si="441"/>
        <v>223.69</v>
      </c>
      <c r="CR439">
        <f t="shared" si="442"/>
        <v>50.7</v>
      </c>
      <c r="CS439">
        <f t="shared" si="443"/>
        <v>0.81</v>
      </c>
      <c r="CT439">
        <f t="shared" si="444"/>
        <v>7805.72</v>
      </c>
      <c r="CU439">
        <f t="shared" si="428"/>
        <v>0</v>
      </c>
      <c r="CV439">
        <f t="shared" si="445"/>
        <v>10.64</v>
      </c>
      <c r="CW439">
        <f t="shared" si="429"/>
        <v>0</v>
      </c>
      <c r="CX439">
        <f t="shared" si="430"/>
        <v>0</v>
      </c>
      <c r="CY439">
        <f t="shared" si="446"/>
        <v>3824.8</v>
      </c>
      <c r="CZ439">
        <f t="shared" si="447"/>
        <v>546.4</v>
      </c>
      <c r="DC439" t="s">
        <v>3</v>
      </c>
      <c r="DD439" t="s">
        <v>3</v>
      </c>
      <c r="DE439" t="s">
        <v>3</v>
      </c>
      <c r="DF439" t="s">
        <v>3</v>
      </c>
      <c r="DG439" t="s">
        <v>3</v>
      </c>
      <c r="DH439" t="s">
        <v>3</v>
      </c>
      <c r="DI439" t="s">
        <v>3</v>
      </c>
      <c r="DJ439" t="s">
        <v>3</v>
      </c>
      <c r="DK439" t="s">
        <v>3</v>
      </c>
      <c r="DL439" t="s">
        <v>3</v>
      </c>
      <c r="DM439" t="s">
        <v>3</v>
      </c>
      <c r="DN439">
        <v>0</v>
      </c>
      <c r="DO439">
        <v>0</v>
      </c>
      <c r="DP439">
        <v>1</v>
      </c>
      <c r="DQ439">
        <v>1</v>
      </c>
      <c r="DU439">
        <v>1003</v>
      </c>
      <c r="DV439" t="s">
        <v>104</v>
      </c>
      <c r="DW439" t="s">
        <v>104</v>
      </c>
      <c r="DX439">
        <v>100</v>
      </c>
      <c r="DZ439" t="s">
        <v>3</v>
      </c>
      <c r="EA439" t="s">
        <v>3</v>
      </c>
      <c r="EB439" t="s">
        <v>3</v>
      </c>
      <c r="EC439" t="s">
        <v>3</v>
      </c>
      <c r="EE439">
        <v>1441815344</v>
      </c>
      <c r="EF439">
        <v>1</v>
      </c>
      <c r="EG439" t="s">
        <v>22</v>
      </c>
      <c r="EH439">
        <v>0</v>
      </c>
      <c r="EI439" t="s">
        <v>3</v>
      </c>
      <c r="EJ439">
        <v>4</v>
      </c>
      <c r="EK439">
        <v>0</v>
      </c>
      <c r="EL439" t="s">
        <v>23</v>
      </c>
      <c r="EM439" t="s">
        <v>24</v>
      </c>
      <c r="EO439" t="s">
        <v>3</v>
      </c>
      <c r="EQ439">
        <v>1024</v>
      </c>
      <c r="ER439">
        <v>8080.11</v>
      </c>
      <c r="ES439">
        <v>223.69</v>
      </c>
      <c r="ET439">
        <v>50.7</v>
      </c>
      <c r="EU439">
        <v>0.81</v>
      </c>
      <c r="EV439">
        <v>7805.72</v>
      </c>
      <c r="EW439">
        <v>10.64</v>
      </c>
      <c r="EX439">
        <v>0</v>
      </c>
      <c r="EY439">
        <v>0</v>
      </c>
      <c r="FQ439">
        <v>0</v>
      </c>
      <c r="FR439">
        <f t="shared" si="431"/>
        <v>0</v>
      </c>
      <c r="FS439">
        <v>0</v>
      </c>
      <c r="FX439">
        <v>70</v>
      </c>
      <c r="FY439">
        <v>10</v>
      </c>
      <c r="GA439" t="s">
        <v>3</v>
      </c>
      <c r="GD439">
        <v>0</v>
      </c>
      <c r="GF439">
        <v>279930794</v>
      </c>
      <c r="GG439">
        <v>2</v>
      </c>
      <c r="GH439">
        <v>1</v>
      </c>
      <c r="GI439">
        <v>-2</v>
      </c>
      <c r="GJ439">
        <v>0</v>
      </c>
      <c r="GK439">
        <f>ROUND(R439*(R12)/100,2)</f>
        <v>0.62</v>
      </c>
      <c r="GL439">
        <f t="shared" si="432"/>
        <v>0</v>
      </c>
      <c r="GM439">
        <f t="shared" si="433"/>
        <v>10027.89</v>
      </c>
      <c r="GN439">
        <f t="shared" si="434"/>
        <v>0</v>
      </c>
      <c r="GO439">
        <f t="shared" si="435"/>
        <v>0</v>
      </c>
      <c r="GP439">
        <f t="shared" si="436"/>
        <v>10027.89</v>
      </c>
      <c r="GR439">
        <v>0</v>
      </c>
      <c r="GS439">
        <v>3</v>
      </c>
      <c r="GT439">
        <v>0</v>
      </c>
      <c r="GU439" t="s">
        <v>3</v>
      </c>
      <c r="GV439">
        <f t="shared" si="437"/>
        <v>0</v>
      </c>
      <c r="GW439">
        <v>1</v>
      </c>
      <c r="GX439">
        <f t="shared" si="438"/>
        <v>0</v>
      </c>
      <c r="HA439">
        <v>0</v>
      </c>
      <c r="HB439">
        <v>0</v>
      </c>
      <c r="HC439">
        <f t="shared" si="439"/>
        <v>0</v>
      </c>
      <c r="HE439" t="s">
        <v>3</v>
      </c>
      <c r="HF439" t="s">
        <v>3</v>
      </c>
      <c r="HM439" t="s">
        <v>3</v>
      </c>
      <c r="HN439" t="s">
        <v>3</v>
      </c>
      <c r="HO439" t="s">
        <v>3</v>
      </c>
      <c r="HP439" t="s">
        <v>3</v>
      </c>
      <c r="HQ439" t="s">
        <v>3</v>
      </c>
      <c r="IK439">
        <v>0</v>
      </c>
    </row>
    <row r="440" spans="1:245" x14ac:dyDescent="0.2">
      <c r="A440">
        <v>17</v>
      </c>
      <c r="B440">
        <v>1</v>
      </c>
      <c r="D440">
        <f>ROW(EtalonRes!A248)</f>
        <v>248</v>
      </c>
      <c r="E440" t="s">
        <v>3</v>
      </c>
      <c r="F440" t="s">
        <v>378</v>
      </c>
      <c r="G440" t="s">
        <v>379</v>
      </c>
      <c r="H440" t="s">
        <v>104</v>
      </c>
      <c r="I440">
        <f>ROUND((40+4+20)/100,9)</f>
        <v>0.64</v>
      </c>
      <c r="J440">
        <v>0</v>
      </c>
      <c r="K440">
        <f>ROUND((40+4+20)/100,9)</f>
        <v>0.64</v>
      </c>
      <c r="O440">
        <f t="shared" si="411"/>
        <v>5609.75</v>
      </c>
      <c r="P440">
        <f t="shared" si="412"/>
        <v>581.64</v>
      </c>
      <c r="Q440">
        <f t="shared" si="413"/>
        <v>32.450000000000003</v>
      </c>
      <c r="R440">
        <f t="shared" si="414"/>
        <v>0.52</v>
      </c>
      <c r="S440">
        <f t="shared" si="415"/>
        <v>4995.66</v>
      </c>
      <c r="T440">
        <f t="shared" si="416"/>
        <v>0</v>
      </c>
      <c r="U440">
        <f t="shared" si="417"/>
        <v>6.8096000000000005</v>
      </c>
      <c r="V440">
        <f t="shared" si="418"/>
        <v>0</v>
      </c>
      <c r="W440">
        <f t="shared" si="419"/>
        <v>0</v>
      </c>
      <c r="X440">
        <f t="shared" si="420"/>
        <v>3496.96</v>
      </c>
      <c r="Y440">
        <f t="shared" si="421"/>
        <v>499.57</v>
      </c>
      <c r="AA440">
        <v>-1</v>
      </c>
      <c r="AB440">
        <f t="shared" si="422"/>
        <v>8765.24</v>
      </c>
      <c r="AC440">
        <f t="shared" si="450"/>
        <v>908.82</v>
      </c>
      <c r="AD440">
        <f t="shared" si="440"/>
        <v>50.7</v>
      </c>
      <c r="AE440">
        <f t="shared" si="448"/>
        <v>0.81</v>
      </c>
      <c r="AF440">
        <f t="shared" si="451"/>
        <v>7805.72</v>
      </c>
      <c r="AG440">
        <f t="shared" si="424"/>
        <v>0</v>
      </c>
      <c r="AH440">
        <f t="shared" si="452"/>
        <v>10.64</v>
      </c>
      <c r="AI440">
        <f t="shared" si="449"/>
        <v>0</v>
      </c>
      <c r="AJ440">
        <f t="shared" si="426"/>
        <v>0</v>
      </c>
      <c r="AK440">
        <v>8765.24</v>
      </c>
      <c r="AL440">
        <v>908.82</v>
      </c>
      <c r="AM440">
        <v>50.7</v>
      </c>
      <c r="AN440">
        <v>0.81</v>
      </c>
      <c r="AO440">
        <v>7805.72</v>
      </c>
      <c r="AP440">
        <v>0</v>
      </c>
      <c r="AQ440">
        <v>10.64</v>
      </c>
      <c r="AR440">
        <v>0</v>
      </c>
      <c r="AS440">
        <v>0</v>
      </c>
      <c r="AT440">
        <v>70</v>
      </c>
      <c r="AU440">
        <v>10</v>
      </c>
      <c r="AV440">
        <v>1</v>
      </c>
      <c r="AW440">
        <v>1</v>
      </c>
      <c r="AZ440">
        <v>1</v>
      </c>
      <c r="BA440">
        <v>1</v>
      </c>
      <c r="BB440">
        <v>1</v>
      </c>
      <c r="BC440">
        <v>1</v>
      </c>
      <c r="BD440" t="s">
        <v>3</v>
      </c>
      <c r="BE440" t="s">
        <v>3</v>
      </c>
      <c r="BF440" t="s">
        <v>3</v>
      </c>
      <c r="BG440" t="s">
        <v>3</v>
      </c>
      <c r="BH440">
        <v>0</v>
      </c>
      <c r="BI440">
        <v>4</v>
      </c>
      <c r="BJ440" t="s">
        <v>380</v>
      </c>
      <c r="BM440">
        <v>0</v>
      </c>
      <c r="BN440">
        <v>0</v>
      </c>
      <c r="BO440" t="s">
        <v>3</v>
      </c>
      <c r="BP440">
        <v>0</v>
      </c>
      <c r="BQ440">
        <v>1</v>
      </c>
      <c r="BR440">
        <v>0</v>
      </c>
      <c r="BS440">
        <v>1</v>
      </c>
      <c r="BT440">
        <v>1</v>
      </c>
      <c r="BU440">
        <v>1</v>
      </c>
      <c r="BV440">
        <v>1</v>
      </c>
      <c r="BW440">
        <v>1</v>
      </c>
      <c r="BX440">
        <v>1</v>
      </c>
      <c r="BY440" t="s">
        <v>3</v>
      </c>
      <c r="BZ440">
        <v>70</v>
      </c>
      <c r="CA440">
        <v>10</v>
      </c>
      <c r="CB440" t="s">
        <v>3</v>
      </c>
      <c r="CE440">
        <v>0</v>
      </c>
      <c r="CF440">
        <v>0</v>
      </c>
      <c r="CG440">
        <v>0</v>
      </c>
      <c r="CM440">
        <v>0</v>
      </c>
      <c r="CN440" t="s">
        <v>3</v>
      </c>
      <c r="CO440">
        <v>0</v>
      </c>
      <c r="CP440">
        <f t="shared" si="427"/>
        <v>5609.75</v>
      </c>
      <c r="CQ440">
        <f t="shared" si="441"/>
        <v>908.82</v>
      </c>
      <c r="CR440">
        <f t="shared" si="442"/>
        <v>50.7</v>
      </c>
      <c r="CS440">
        <f t="shared" si="443"/>
        <v>0.81</v>
      </c>
      <c r="CT440">
        <f t="shared" si="444"/>
        <v>7805.72</v>
      </c>
      <c r="CU440">
        <f t="shared" si="428"/>
        <v>0</v>
      </c>
      <c r="CV440">
        <f t="shared" si="445"/>
        <v>10.64</v>
      </c>
      <c r="CW440">
        <f t="shared" si="429"/>
        <v>0</v>
      </c>
      <c r="CX440">
        <f t="shared" si="430"/>
        <v>0</v>
      </c>
      <c r="CY440">
        <f t="shared" si="446"/>
        <v>3496.962</v>
      </c>
      <c r="CZ440">
        <f t="shared" si="447"/>
        <v>499.56599999999997</v>
      </c>
      <c r="DC440" t="s">
        <v>3</v>
      </c>
      <c r="DD440" t="s">
        <v>3</v>
      </c>
      <c r="DE440" t="s">
        <v>3</v>
      </c>
      <c r="DF440" t="s">
        <v>3</v>
      </c>
      <c r="DG440" t="s">
        <v>3</v>
      </c>
      <c r="DH440" t="s">
        <v>3</v>
      </c>
      <c r="DI440" t="s">
        <v>3</v>
      </c>
      <c r="DJ440" t="s">
        <v>3</v>
      </c>
      <c r="DK440" t="s">
        <v>3</v>
      </c>
      <c r="DL440" t="s">
        <v>3</v>
      </c>
      <c r="DM440" t="s">
        <v>3</v>
      </c>
      <c r="DN440">
        <v>0</v>
      </c>
      <c r="DO440">
        <v>0</v>
      </c>
      <c r="DP440">
        <v>1</v>
      </c>
      <c r="DQ440">
        <v>1</v>
      </c>
      <c r="DU440">
        <v>1003</v>
      </c>
      <c r="DV440" t="s">
        <v>104</v>
      </c>
      <c r="DW440" t="s">
        <v>104</v>
      </c>
      <c r="DX440">
        <v>100</v>
      </c>
      <c r="DZ440" t="s">
        <v>3</v>
      </c>
      <c r="EA440" t="s">
        <v>3</v>
      </c>
      <c r="EB440" t="s">
        <v>3</v>
      </c>
      <c r="EC440" t="s">
        <v>3</v>
      </c>
      <c r="EE440">
        <v>1441815344</v>
      </c>
      <c r="EF440">
        <v>1</v>
      </c>
      <c r="EG440" t="s">
        <v>22</v>
      </c>
      <c r="EH440">
        <v>0</v>
      </c>
      <c r="EI440" t="s">
        <v>3</v>
      </c>
      <c r="EJ440">
        <v>4</v>
      </c>
      <c r="EK440">
        <v>0</v>
      </c>
      <c r="EL440" t="s">
        <v>23</v>
      </c>
      <c r="EM440" t="s">
        <v>24</v>
      </c>
      <c r="EO440" t="s">
        <v>3</v>
      </c>
      <c r="EQ440">
        <v>1024</v>
      </c>
      <c r="ER440">
        <v>8765.24</v>
      </c>
      <c r="ES440">
        <v>908.82</v>
      </c>
      <c r="ET440">
        <v>50.7</v>
      </c>
      <c r="EU440">
        <v>0.81</v>
      </c>
      <c r="EV440">
        <v>7805.72</v>
      </c>
      <c r="EW440">
        <v>10.64</v>
      </c>
      <c r="EX440">
        <v>0</v>
      </c>
      <c r="EY440">
        <v>0</v>
      </c>
      <c r="FQ440">
        <v>0</v>
      </c>
      <c r="FR440">
        <f t="shared" si="431"/>
        <v>0</v>
      </c>
      <c r="FS440">
        <v>0</v>
      </c>
      <c r="FX440">
        <v>70</v>
      </c>
      <c r="FY440">
        <v>10</v>
      </c>
      <c r="GA440" t="s">
        <v>3</v>
      </c>
      <c r="GD440">
        <v>0</v>
      </c>
      <c r="GF440">
        <v>138948143</v>
      </c>
      <c r="GG440">
        <v>2</v>
      </c>
      <c r="GH440">
        <v>1</v>
      </c>
      <c r="GI440">
        <v>-2</v>
      </c>
      <c r="GJ440">
        <v>0</v>
      </c>
      <c r="GK440">
        <f>ROUND(R440*(R12)/100,2)</f>
        <v>0.56000000000000005</v>
      </c>
      <c r="GL440">
        <f t="shared" si="432"/>
        <v>0</v>
      </c>
      <c r="GM440">
        <f t="shared" si="433"/>
        <v>9606.84</v>
      </c>
      <c r="GN440">
        <f t="shared" si="434"/>
        <v>0</v>
      </c>
      <c r="GO440">
        <f t="shared" si="435"/>
        <v>0</v>
      </c>
      <c r="GP440">
        <f t="shared" si="436"/>
        <v>9606.84</v>
      </c>
      <c r="GR440">
        <v>0</v>
      </c>
      <c r="GS440">
        <v>3</v>
      </c>
      <c r="GT440">
        <v>0</v>
      </c>
      <c r="GU440" t="s">
        <v>3</v>
      </c>
      <c r="GV440">
        <f t="shared" si="437"/>
        <v>0</v>
      </c>
      <c r="GW440">
        <v>1</v>
      </c>
      <c r="GX440">
        <f t="shared" si="438"/>
        <v>0</v>
      </c>
      <c r="HA440">
        <v>0</v>
      </c>
      <c r="HB440">
        <v>0</v>
      </c>
      <c r="HC440">
        <f t="shared" si="439"/>
        <v>0</v>
      </c>
      <c r="HE440" t="s">
        <v>3</v>
      </c>
      <c r="HF440" t="s">
        <v>3</v>
      </c>
      <c r="HM440" t="s">
        <v>3</v>
      </c>
      <c r="HN440" t="s">
        <v>3</v>
      </c>
      <c r="HO440" t="s">
        <v>3</v>
      </c>
      <c r="HP440" t="s">
        <v>3</v>
      </c>
      <c r="HQ440" t="s">
        <v>3</v>
      </c>
      <c r="IK440">
        <v>0</v>
      </c>
    </row>
    <row r="441" spans="1:245" x14ac:dyDescent="0.2">
      <c r="A441">
        <v>17</v>
      </c>
      <c r="B441">
        <v>1</v>
      </c>
      <c r="D441">
        <f>ROW(EtalonRes!A251)</f>
        <v>251</v>
      </c>
      <c r="E441" t="s">
        <v>3</v>
      </c>
      <c r="F441" t="s">
        <v>271</v>
      </c>
      <c r="G441" t="s">
        <v>381</v>
      </c>
      <c r="H441" t="s">
        <v>104</v>
      </c>
      <c r="I441">
        <f>ROUND((1+8+1)/100,9)</f>
        <v>0.1</v>
      </c>
      <c r="J441">
        <v>0</v>
      </c>
      <c r="K441">
        <f>ROUND((1+8+1)/100,9)</f>
        <v>0.1</v>
      </c>
      <c r="O441">
        <f t="shared" si="411"/>
        <v>167.34</v>
      </c>
      <c r="P441">
        <f t="shared" si="412"/>
        <v>5.65</v>
      </c>
      <c r="Q441">
        <f t="shared" si="413"/>
        <v>1.1000000000000001</v>
      </c>
      <c r="R441">
        <f t="shared" si="414"/>
        <v>0</v>
      </c>
      <c r="S441">
        <f t="shared" si="415"/>
        <v>160.59</v>
      </c>
      <c r="T441">
        <f t="shared" si="416"/>
        <v>0</v>
      </c>
      <c r="U441">
        <f t="shared" si="417"/>
        <v>0.24199999999999999</v>
      </c>
      <c r="V441">
        <f t="shared" si="418"/>
        <v>0</v>
      </c>
      <c r="W441">
        <f t="shared" si="419"/>
        <v>0</v>
      </c>
      <c r="X441">
        <f t="shared" si="420"/>
        <v>112.41</v>
      </c>
      <c r="Y441">
        <f t="shared" si="421"/>
        <v>16.059999999999999</v>
      </c>
      <c r="AA441">
        <v>-1</v>
      </c>
      <c r="AB441">
        <f t="shared" si="422"/>
        <v>1673.25</v>
      </c>
      <c r="AC441">
        <f t="shared" si="450"/>
        <v>56.45</v>
      </c>
      <c r="AD441">
        <f t="shared" si="440"/>
        <v>10.95</v>
      </c>
      <c r="AE441">
        <f t="shared" si="448"/>
        <v>0.03</v>
      </c>
      <c r="AF441">
        <f t="shared" si="451"/>
        <v>1605.85</v>
      </c>
      <c r="AG441">
        <f t="shared" si="424"/>
        <v>0</v>
      </c>
      <c r="AH441">
        <f t="shared" si="452"/>
        <v>2.42</v>
      </c>
      <c r="AI441">
        <f t="shared" si="449"/>
        <v>0</v>
      </c>
      <c r="AJ441">
        <f t="shared" si="426"/>
        <v>0</v>
      </c>
      <c r="AK441">
        <v>1673.25</v>
      </c>
      <c r="AL441">
        <v>56.45</v>
      </c>
      <c r="AM441">
        <v>10.95</v>
      </c>
      <c r="AN441">
        <v>0.03</v>
      </c>
      <c r="AO441">
        <v>1605.85</v>
      </c>
      <c r="AP441">
        <v>0</v>
      </c>
      <c r="AQ441">
        <v>2.42</v>
      </c>
      <c r="AR441">
        <v>0</v>
      </c>
      <c r="AS441">
        <v>0</v>
      </c>
      <c r="AT441">
        <v>70</v>
      </c>
      <c r="AU441">
        <v>10</v>
      </c>
      <c r="AV441">
        <v>1</v>
      </c>
      <c r="AW441">
        <v>1</v>
      </c>
      <c r="AZ441">
        <v>1</v>
      </c>
      <c r="BA441">
        <v>1</v>
      </c>
      <c r="BB441">
        <v>1</v>
      </c>
      <c r="BC441">
        <v>1</v>
      </c>
      <c r="BD441" t="s">
        <v>3</v>
      </c>
      <c r="BE441" t="s">
        <v>3</v>
      </c>
      <c r="BF441" t="s">
        <v>3</v>
      </c>
      <c r="BG441" t="s">
        <v>3</v>
      </c>
      <c r="BH441">
        <v>0</v>
      </c>
      <c r="BI441">
        <v>4</v>
      </c>
      <c r="BJ441" t="s">
        <v>272</v>
      </c>
      <c r="BM441">
        <v>0</v>
      </c>
      <c r="BN441">
        <v>0</v>
      </c>
      <c r="BO441" t="s">
        <v>3</v>
      </c>
      <c r="BP441">
        <v>0</v>
      </c>
      <c r="BQ441">
        <v>1</v>
      </c>
      <c r="BR441">
        <v>0</v>
      </c>
      <c r="BS441">
        <v>1</v>
      </c>
      <c r="BT441">
        <v>1</v>
      </c>
      <c r="BU441">
        <v>1</v>
      </c>
      <c r="BV441">
        <v>1</v>
      </c>
      <c r="BW441">
        <v>1</v>
      </c>
      <c r="BX441">
        <v>1</v>
      </c>
      <c r="BY441" t="s">
        <v>3</v>
      </c>
      <c r="BZ441">
        <v>70</v>
      </c>
      <c r="CA441">
        <v>10</v>
      </c>
      <c r="CB441" t="s">
        <v>3</v>
      </c>
      <c r="CE441">
        <v>0</v>
      </c>
      <c r="CF441">
        <v>0</v>
      </c>
      <c r="CG441">
        <v>0</v>
      </c>
      <c r="CM441">
        <v>0</v>
      </c>
      <c r="CN441" t="s">
        <v>3</v>
      </c>
      <c r="CO441">
        <v>0</v>
      </c>
      <c r="CP441">
        <f t="shared" si="427"/>
        <v>167.34</v>
      </c>
      <c r="CQ441">
        <f t="shared" si="441"/>
        <v>56.45</v>
      </c>
      <c r="CR441">
        <f t="shared" si="442"/>
        <v>10.95</v>
      </c>
      <c r="CS441">
        <f t="shared" si="443"/>
        <v>0.03</v>
      </c>
      <c r="CT441">
        <f t="shared" si="444"/>
        <v>1605.85</v>
      </c>
      <c r="CU441">
        <f t="shared" si="428"/>
        <v>0</v>
      </c>
      <c r="CV441">
        <f t="shared" si="445"/>
        <v>2.42</v>
      </c>
      <c r="CW441">
        <f t="shared" si="429"/>
        <v>0</v>
      </c>
      <c r="CX441">
        <f t="shared" si="430"/>
        <v>0</v>
      </c>
      <c r="CY441">
        <f t="shared" si="446"/>
        <v>112.41300000000001</v>
      </c>
      <c r="CZ441">
        <f t="shared" si="447"/>
        <v>16.059000000000001</v>
      </c>
      <c r="DC441" t="s">
        <v>3</v>
      </c>
      <c r="DD441" t="s">
        <v>3</v>
      </c>
      <c r="DE441" t="s">
        <v>3</v>
      </c>
      <c r="DF441" t="s">
        <v>3</v>
      </c>
      <c r="DG441" t="s">
        <v>3</v>
      </c>
      <c r="DH441" t="s">
        <v>3</v>
      </c>
      <c r="DI441" t="s">
        <v>3</v>
      </c>
      <c r="DJ441" t="s">
        <v>3</v>
      </c>
      <c r="DK441" t="s">
        <v>3</v>
      </c>
      <c r="DL441" t="s">
        <v>3</v>
      </c>
      <c r="DM441" t="s">
        <v>3</v>
      </c>
      <c r="DN441">
        <v>0</v>
      </c>
      <c r="DO441">
        <v>0</v>
      </c>
      <c r="DP441">
        <v>1</v>
      </c>
      <c r="DQ441">
        <v>1</v>
      </c>
      <c r="DU441">
        <v>1003</v>
      </c>
      <c r="DV441" t="s">
        <v>104</v>
      </c>
      <c r="DW441" t="s">
        <v>104</v>
      </c>
      <c r="DX441">
        <v>100</v>
      </c>
      <c r="DZ441" t="s">
        <v>3</v>
      </c>
      <c r="EA441" t="s">
        <v>3</v>
      </c>
      <c r="EB441" t="s">
        <v>3</v>
      </c>
      <c r="EC441" t="s">
        <v>3</v>
      </c>
      <c r="EE441">
        <v>1441815344</v>
      </c>
      <c r="EF441">
        <v>1</v>
      </c>
      <c r="EG441" t="s">
        <v>22</v>
      </c>
      <c r="EH441">
        <v>0</v>
      </c>
      <c r="EI441" t="s">
        <v>3</v>
      </c>
      <c r="EJ441">
        <v>4</v>
      </c>
      <c r="EK441">
        <v>0</v>
      </c>
      <c r="EL441" t="s">
        <v>23</v>
      </c>
      <c r="EM441" t="s">
        <v>24</v>
      </c>
      <c r="EO441" t="s">
        <v>3</v>
      </c>
      <c r="EQ441">
        <v>1024</v>
      </c>
      <c r="ER441">
        <v>1673.25</v>
      </c>
      <c r="ES441">
        <v>56.45</v>
      </c>
      <c r="ET441">
        <v>10.95</v>
      </c>
      <c r="EU441">
        <v>0.03</v>
      </c>
      <c r="EV441">
        <v>1605.85</v>
      </c>
      <c r="EW441">
        <v>2.42</v>
      </c>
      <c r="EX441">
        <v>0</v>
      </c>
      <c r="EY441">
        <v>0</v>
      </c>
      <c r="FQ441">
        <v>0</v>
      </c>
      <c r="FR441">
        <f t="shared" si="431"/>
        <v>0</v>
      </c>
      <c r="FS441">
        <v>0</v>
      </c>
      <c r="FX441">
        <v>70</v>
      </c>
      <c r="FY441">
        <v>10</v>
      </c>
      <c r="GA441" t="s">
        <v>3</v>
      </c>
      <c r="GD441">
        <v>0</v>
      </c>
      <c r="GF441">
        <v>1032671561</v>
      </c>
      <c r="GG441">
        <v>2</v>
      </c>
      <c r="GH441">
        <v>1</v>
      </c>
      <c r="GI441">
        <v>-2</v>
      </c>
      <c r="GJ441">
        <v>0</v>
      </c>
      <c r="GK441">
        <f>ROUND(R441*(R12)/100,2)</f>
        <v>0</v>
      </c>
      <c r="GL441">
        <f t="shared" si="432"/>
        <v>0</v>
      </c>
      <c r="GM441">
        <f t="shared" si="433"/>
        <v>295.81</v>
      </c>
      <c r="GN441">
        <f t="shared" si="434"/>
        <v>0</v>
      </c>
      <c r="GO441">
        <f t="shared" si="435"/>
        <v>0</v>
      </c>
      <c r="GP441">
        <f t="shared" si="436"/>
        <v>295.81</v>
      </c>
      <c r="GR441">
        <v>0</v>
      </c>
      <c r="GS441">
        <v>3</v>
      </c>
      <c r="GT441">
        <v>0</v>
      </c>
      <c r="GU441" t="s">
        <v>3</v>
      </c>
      <c r="GV441">
        <f t="shared" si="437"/>
        <v>0</v>
      </c>
      <c r="GW441">
        <v>1</v>
      </c>
      <c r="GX441">
        <f t="shared" si="438"/>
        <v>0</v>
      </c>
      <c r="HA441">
        <v>0</v>
      </c>
      <c r="HB441">
        <v>0</v>
      </c>
      <c r="HC441">
        <f t="shared" si="439"/>
        <v>0</v>
      </c>
      <c r="HE441" t="s">
        <v>3</v>
      </c>
      <c r="HF441" t="s">
        <v>3</v>
      </c>
      <c r="HM441" t="s">
        <v>3</v>
      </c>
      <c r="HN441" t="s">
        <v>3</v>
      </c>
      <c r="HO441" t="s">
        <v>3</v>
      </c>
      <c r="HP441" t="s">
        <v>3</v>
      </c>
      <c r="HQ441" t="s">
        <v>3</v>
      </c>
      <c r="IK441">
        <v>0</v>
      </c>
    </row>
    <row r="442" spans="1:245" x14ac:dyDescent="0.2">
      <c r="A442">
        <v>17</v>
      </c>
      <c r="B442">
        <v>1</v>
      </c>
      <c r="D442">
        <f>ROW(EtalonRes!A254)</f>
        <v>254</v>
      </c>
      <c r="E442" t="s">
        <v>3</v>
      </c>
      <c r="F442" t="s">
        <v>268</v>
      </c>
      <c r="G442" t="s">
        <v>269</v>
      </c>
      <c r="H442" t="s">
        <v>104</v>
      </c>
      <c r="I442">
        <f>ROUND((60+10)/100,9)</f>
        <v>0.7</v>
      </c>
      <c r="J442">
        <v>0</v>
      </c>
      <c r="K442">
        <f>ROUND((60+10)/100,9)</f>
        <v>0.7</v>
      </c>
      <c r="O442">
        <f t="shared" si="411"/>
        <v>1756.31</v>
      </c>
      <c r="P442">
        <f t="shared" si="412"/>
        <v>141.96</v>
      </c>
      <c r="Q442">
        <f t="shared" si="413"/>
        <v>16.46</v>
      </c>
      <c r="R442">
        <f t="shared" si="414"/>
        <v>0.05</v>
      </c>
      <c r="S442">
        <f t="shared" si="415"/>
        <v>1597.89</v>
      </c>
      <c r="T442">
        <f t="shared" si="416"/>
        <v>0</v>
      </c>
      <c r="U442">
        <f t="shared" si="417"/>
        <v>2.4079999999999999</v>
      </c>
      <c r="V442">
        <f t="shared" si="418"/>
        <v>0</v>
      </c>
      <c r="W442">
        <f t="shared" si="419"/>
        <v>0</v>
      </c>
      <c r="X442">
        <f t="shared" si="420"/>
        <v>1118.52</v>
      </c>
      <c r="Y442">
        <f t="shared" si="421"/>
        <v>159.79</v>
      </c>
      <c r="AA442">
        <v>-1</v>
      </c>
      <c r="AB442">
        <f t="shared" si="422"/>
        <v>2509.0100000000002</v>
      </c>
      <c r="AC442">
        <f t="shared" si="450"/>
        <v>202.8</v>
      </c>
      <c r="AD442">
        <f t="shared" si="440"/>
        <v>23.51</v>
      </c>
      <c r="AE442">
        <f t="shared" si="448"/>
        <v>7.0000000000000007E-2</v>
      </c>
      <c r="AF442">
        <f t="shared" si="451"/>
        <v>2282.6999999999998</v>
      </c>
      <c r="AG442">
        <f t="shared" si="424"/>
        <v>0</v>
      </c>
      <c r="AH442">
        <f t="shared" si="452"/>
        <v>3.44</v>
      </c>
      <c r="AI442">
        <f t="shared" si="449"/>
        <v>0</v>
      </c>
      <c r="AJ442">
        <f t="shared" si="426"/>
        <v>0</v>
      </c>
      <c r="AK442">
        <v>2509.0100000000002</v>
      </c>
      <c r="AL442">
        <v>202.8</v>
      </c>
      <c r="AM442">
        <v>23.51</v>
      </c>
      <c r="AN442">
        <v>7.0000000000000007E-2</v>
      </c>
      <c r="AO442">
        <v>2282.6999999999998</v>
      </c>
      <c r="AP442">
        <v>0</v>
      </c>
      <c r="AQ442">
        <v>3.44</v>
      </c>
      <c r="AR442">
        <v>0</v>
      </c>
      <c r="AS442">
        <v>0</v>
      </c>
      <c r="AT442">
        <v>70</v>
      </c>
      <c r="AU442">
        <v>10</v>
      </c>
      <c r="AV442">
        <v>1</v>
      </c>
      <c r="AW442">
        <v>1</v>
      </c>
      <c r="AZ442">
        <v>1</v>
      </c>
      <c r="BA442">
        <v>1</v>
      </c>
      <c r="BB442">
        <v>1</v>
      </c>
      <c r="BC442">
        <v>1</v>
      </c>
      <c r="BD442" t="s">
        <v>3</v>
      </c>
      <c r="BE442" t="s">
        <v>3</v>
      </c>
      <c r="BF442" t="s">
        <v>3</v>
      </c>
      <c r="BG442" t="s">
        <v>3</v>
      </c>
      <c r="BH442">
        <v>0</v>
      </c>
      <c r="BI442">
        <v>4</v>
      </c>
      <c r="BJ442" t="s">
        <v>270</v>
      </c>
      <c r="BM442">
        <v>0</v>
      </c>
      <c r="BN442">
        <v>0</v>
      </c>
      <c r="BO442" t="s">
        <v>3</v>
      </c>
      <c r="BP442">
        <v>0</v>
      </c>
      <c r="BQ442">
        <v>1</v>
      </c>
      <c r="BR442">
        <v>0</v>
      </c>
      <c r="BS442">
        <v>1</v>
      </c>
      <c r="BT442">
        <v>1</v>
      </c>
      <c r="BU442">
        <v>1</v>
      </c>
      <c r="BV442">
        <v>1</v>
      </c>
      <c r="BW442">
        <v>1</v>
      </c>
      <c r="BX442">
        <v>1</v>
      </c>
      <c r="BY442" t="s">
        <v>3</v>
      </c>
      <c r="BZ442">
        <v>70</v>
      </c>
      <c r="CA442">
        <v>10</v>
      </c>
      <c r="CB442" t="s">
        <v>3</v>
      </c>
      <c r="CE442">
        <v>0</v>
      </c>
      <c r="CF442">
        <v>0</v>
      </c>
      <c r="CG442">
        <v>0</v>
      </c>
      <c r="CM442">
        <v>0</v>
      </c>
      <c r="CN442" t="s">
        <v>3</v>
      </c>
      <c r="CO442">
        <v>0</v>
      </c>
      <c r="CP442">
        <f t="shared" si="427"/>
        <v>1756.3100000000002</v>
      </c>
      <c r="CQ442">
        <f t="shared" si="441"/>
        <v>202.8</v>
      </c>
      <c r="CR442">
        <f t="shared" si="442"/>
        <v>23.51</v>
      </c>
      <c r="CS442">
        <f t="shared" si="443"/>
        <v>7.0000000000000007E-2</v>
      </c>
      <c r="CT442">
        <f t="shared" si="444"/>
        <v>2282.6999999999998</v>
      </c>
      <c r="CU442">
        <f t="shared" si="428"/>
        <v>0</v>
      </c>
      <c r="CV442">
        <f t="shared" si="445"/>
        <v>3.44</v>
      </c>
      <c r="CW442">
        <f t="shared" si="429"/>
        <v>0</v>
      </c>
      <c r="CX442">
        <f t="shared" si="430"/>
        <v>0</v>
      </c>
      <c r="CY442">
        <f t="shared" si="446"/>
        <v>1118.5230000000001</v>
      </c>
      <c r="CZ442">
        <f t="shared" si="447"/>
        <v>159.78900000000002</v>
      </c>
      <c r="DC442" t="s">
        <v>3</v>
      </c>
      <c r="DD442" t="s">
        <v>3</v>
      </c>
      <c r="DE442" t="s">
        <v>3</v>
      </c>
      <c r="DF442" t="s">
        <v>3</v>
      </c>
      <c r="DG442" t="s">
        <v>3</v>
      </c>
      <c r="DH442" t="s">
        <v>3</v>
      </c>
      <c r="DI442" t="s">
        <v>3</v>
      </c>
      <c r="DJ442" t="s">
        <v>3</v>
      </c>
      <c r="DK442" t="s">
        <v>3</v>
      </c>
      <c r="DL442" t="s">
        <v>3</v>
      </c>
      <c r="DM442" t="s">
        <v>3</v>
      </c>
      <c r="DN442">
        <v>0</v>
      </c>
      <c r="DO442">
        <v>0</v>
      </c>
      <c r="DP442">
        <v>1</v>
      </c>
      <c r="DQ442">
        <v>1</v>
      </c>
      <c r="DU442">
        <v>1003</v>
      </c>
      <c r="DV442" t="s">
        <v>104</v>
      </c>
      <c r="DW442" t="s">
        <v>104</v>
      </c>
      <c r="DX442">
        <v>100</v>
      </c>
      <c r="DZ442" t="s">
        <v>3</v>
      </c>
      <c r="EA442" t="s">
        <v>3</v>
      </c>
      <c r="EB442" t="s">
        <v>3</v>
      </c>
      <c r="EC442" t="s">
        <v>3</v>
      </c>
      <c r="EE442">
        <v>1441815344</v>
      </c>
      <c r="EF442">
        <v>1</v>
      </c>
      <c r="EG442" t="s">
        <v>22</v>
      </c>
      <c r="EH442">
        <v>0</v>
      </c>
      <c r="EI442" t="s">
        <v>3</v>
      </c>
      <c r="EJ442">
        <v>4</v>
      </c>
      <c r="EK442">
        <v>0</v>
      </c>
      <c r="EL442" t="s">
        <v>23</v>
      </c>
      <c r="EM442" t="s">
        <v>24</v>
      </c>
      <c r="EO442" t="s">
        <v>3</v>
      </c>
      <c r="EQ442">
        <v>1024</v>
      </c>
      <c r="ER442">
        <v>2509.0100000000002</v>
      </c>
      <c r="ES442">
        <v>202.8</v>
      </c>
      <c r="ET442">
        <v>23.51</v>
      </c>
      <c r="EU442">
        <v>7.0000000000000007E-2</v>
      </c>
      <c r="EV442">
        <v>2282.6999999999998</v>
      </c>
      <c r="EW442">
        <v>3.44</v>
      </c>
      <c r="EX442">
        <v>0</v>
      </c>
      <c r="EY442">
        <v>0</v>
      </c>
      <c r="FQ442">
        <v>0</v>
      </c>
      <c r="FR442">
        <f t="shared" si="431"/>
        <v>0</v>
      </c>
      <c r="FS442">
        <v>0</v>
      </c>
      <c r="FX442">
        <v>70</v>
      </c>
      <c r="FY442">
        <v>10</v>
      </c>
      <c r="GA442" t="s">
        <v>3</v>
      </c>
      <c r="GD442">
        <v>0</v>
      </c>
      <c r="GF442">
        <v>-1929809553</v>
      </c>
      <c r="GG442">
        <v>2</v>
      </c>
      <c r="GH442">
        <v>1</v>
      </c>
      <c r="GI442">
        <v>-2</v>
      </c>
      <c r="GJ442">
        <v>0</v>
      </c>
      <c r="GK442">
        <f>ROUND(R442*(R12)/100,2)</f>
        <v>0.05</v>
      </c>
      <c r="GL442">
        <f t="shared" si="432"/>
        <v>0</v>
      </c>
      <c r="GM442">
        <f t="shared" si="433"/>
        <v>3034.67</v>
      </c>
      <c r="GN442">
        <f t="shared" si="434"/>
        <v>0</v>
      </c>
      <c r="GO442">
        <f t="shared" si="435"/>
        <v>0</v>
      </c>
      <c r="GP442">
        <f t="shared" si="436"/>
        <v>3034.67</v>
      </c>
      <c r="GR442">
        <v>0</v>
      </c>
      <c r="GS442">
        <v>3</v>
      </c>
      <c r="GT442">
        <v>0</v>
      </c>
      <c r="GU442" t="s">
        <v>3</v>
      </c>
      <c r="GV442">
        <f t="shared" si="437"/>
        <v>0</v>
      </c>
      <c r="GW442">
        <v>1</v>
      </c>
      <c r="GX442">
        <f t="shared" si="438"/>
        <v>0</v>
      </c>
      <c r="HA442">
        <v>0</v>
      </c>
      <c r="HB442">
        <v>0</v>
      </c>
      <c r="HC442">
        <f t="shared" si="439"/>
        <v>0</v>
      </c>
      <c r="HE442" t="s">
        <v>3</v>
      </c>
      <c r="HF442" t="s">
        <v>3</v>
      </c>
      <c r="HM442" t="s">
        <v>3</v>
      </c>
      <c r="HN442" t="s">
        <v>3</v>
      </c>
      <c r="HO442" t="s">
        <v>3</v>
      </c>
      <c r="HP442" t="s">
        <v>3</v>
      </c>
      <c r="HQ442" t="s">
        <v>3</v>
      </c>
      <c r="IK442">
        <v>0</v>
      </c>
    </row>
    <row r="443" spans="1:245" x14ac:dyDescent="0.2">
      <c r="A443">
        <v>17</v>
      </c>
      <c r="B443">
        <v>1</v>
      </c>
      <c r="D443">
        <f>ROW(EtalonRes!A257)</f>
        <v>257</v>
      </c>
      <c r="E443" t="s">
        <v>3</v>
      </c>
      <c r="F443" t="s">
        <v>268</v>
      </c>
      <c r="G443" t="s">
        <v>269</v>
      </c>
      <c r="H443" t="s">
        <v>104</v>
      </c>
      <c r="I443">
        <f>ROUND((40+4+20)/100,9)</f>
        <v>0.64</v>
      </c>
      <c r="J443">
        <v>0</v>
      </c>
      <c r="K443">
        <f>ROUND((40+4+20)/100,9)</f>
        <v>0.64</v>
      </c>
      <c r="O443">
        <f t="shared" si="411"/>
        <v>1605.77</v>
      </c>
      <c r="P443">
        <f t="shared" si="412"/>
        <v>129.79</v>
      </c>
      <c r="Q443">
        <f t="shared" si="413"/>
        <v>15.05</v>
      </c>
      <c r="R443">
        <f t="shared" si="414"/>
        <v>0.04</v>
      </c>
      <c r="S443">
        <f t="shared" si="415"/>
        <v>1460.93</v>
      </c>
      <c r="T443">
        <f t="shared" si="416"/>
        <v>0</v>
      </c>
      <c r="U443">
        <f t="shared" si="417"/>
        <v>2.2016</v>
      </c>
      <c r="V443">
        <f t="shared" si="418"/>
        <v>0</v>
      </c>
      <c r="W443">
        <f t="shared" si="419"/>
        <v>0</v>
      </c>
      <c r="X443">
        <f t="shared" si="420"/>
        <v>1022.65</v>
      </c>
      <c r="Y443">
        <f t="shared" si="421"/>
        <v>146.09</v>
      </c>
      <c r="AA443">
        <v>-1</v>
      </c>
      <c r="AB443">
        <f t="shared" si="422"/>
        <v>2509.0100000000002</v>
      </c>
      <c r="AC443">
        <f t="shared" si="450"/>
        <v>202.8</v>
      </c>
      <c r="AD443">
        <f t="shared" si="440"/>
        <v>23.51</v>
      </c>
      <c r="AE443">
        <f t="shared" si="448"/>
        <v>7.0000000000000007E-2</v>
      </c>
      <c r="AF443">
        <f t="shared" si="451"/>
        <v>2282.6999999999998</v>
      </c>
      <c r="AG443">
        <f t="shared" si="424"/>
        <v>0</v>
      </c>
      <c r="AH443">
        <f t="shared" si="452"/>
        <v>3.44</v>
      </c>
      <c r="AI443">
        <f t="shared" si="449"/>
        <v>0</v>
      </c>
      <c r="AJ443">
        <f t="shared" si="426"/>
        <v>0</v>
      </c>
      <c r="AK443">
        <v>2509.0100000000002</v>
      </c>
      <c r="AL443">
        <v>202.8</v>
      </c>
      <c r="AM443">
        <v>23.51</v>
      </c>
      <c r="AN443">
        <v>7.0000000000000007E-2</v>
      </c>
      <c r="AO443">
        <v>2282.6999999999998</v>
      </c>
      <c r="AP443">
        <v>0</v>
      </c>
      <c r="AQ443">
        <v>3.44</v>
      </c>
      <c r="AR443">
        <v>0</v>
      </c>
      <c r="AS443">
        <v>0</v>
      </c>
      <c r="AT443">
        <v>70</v>
      </c>
      <c r="AU443">
        <v>10</v>
      </c>
      <c r="AV443">
        <v>1</v>
      </c>
      <c r="AW443">
        <v>1</v>
      </c>
      <c r="AZ443">
        <v>1</v>
      </c>
      <c r="BA443">
        <v>1</v>
      </c>
      <c r="BB443">
        <v>1</v>
      </c>
      <c r="BC443">
        <v>1</v>
      </c>
      <c r="BD443" t="s">
        <v>3</v>
      </c>
      <c r="BE443" t="s">
        <v>3</v>
      </c>
      <c r="BF443" t="s">
        <v>3</v>
      </c>
      <c r="BG443" t="s">
        <v>3</v>
      </c>
      <c r="BH443">
        <v>0</v>
      </c>
      <c r="BI443">
        <v>4</v>
      </c>
      <c r="BJ443" t="s">
        <v>270</v>
      </c>
      <c r="BM443">
        <v>0</v>
      </c>
      <c r="BN443">
        <v>0</v>
      </c>
      <c r="BO443" t="s">
        <v>3</v>
      </c>
      <c r="BP443">
        <v>0</v>
      </c>
      <c r="BQ443">
        <v>1</v>
      </c>
      <c r="BR443">
        <v>0</v>
      </c>
      <c r="BS443">
        <v>1</v>
      </c>
      <c r="BT443">
        <v>1</v>
      </c>
      <c r="BU443">
        <v>1</v>
      </c>
      <c r="BV443">
        <v>1</v>
      </c>
      <c r="BW443">
        <v>1</v>
      </c>
      <c r="BX443">
        <v>1</v>
      </c>
      <c r="BY443" t="s">
        <v>3</v>
      </c>
      <c r="BZ443">
        <v>70</v>
      </c>
      <c r="CA443">
        <v>10</v>
      </c>
      <c r="CB443" t="s">
        <v>3</v>
      </c>
      <c r="CE443">
        <v>0</v>
      </c>
      <c r="CF443">
        <v>0</v>
      </c>
      <c r="CG443">
        <v>0</v>
      </c>
      <c r="CM443">
        <v>0</v>
      </c>
      <c r="CN443" t="s">
        <v>3</v>
      </c>
      <c r="CO443">
        <v>0</v>
      </c>
      <c r="CP443">
        <f t="shared" si="427"/>
        <v>1605.77</v>
      </c>
      <c r="CQ443">
        <f t="shared" si="441"/>
        <v>202.8</v>
      </c>
      <c r="CR443">
        <f t="shared" si="442"/>
        <v>23.51</v>
      </c>
      <c r="CS443">
        <f t="shared" si="443"/>
        <v>7.0000000000000007E-2</v>
      </c>
      <c r="CT443">
        <f t="shared" si="444"/>
        <v>2282.6999999999998</v>
      </c>
      <c r="CU443">
        <f t="shared" si="428"/>
        <v>0</v>
      </c>
      <c r="CV443">
        <f t="shared" si="445"/>
        <v>3.44</v>
      </c>
      <c r="CW443">
        <f t="shared" si="429"/>
        <v>0</v>
      </c>
      <c r="CX443">
        <f t="shared" si="430"/>
        <v>0</v>
      </c>
      <c r="CY443">
        <f t="shared" si="446"/>
        <v>1022.6510000000001</v>
      </c>
      <c r="CZ443">
        <f t="shared" si="447"/>
        <v>146.09300000000002</v>
      </c>
      <c r="DC443" t="s">
        <v>3</v>
      </c>
      <c r="DD443" t="s">
        <v>3</v>
      </c>
      <c r="DE443" t="s">
        <v>3</v>
      </c>
      <c r="DF443" t="s">
        <v>3</v>
      </c>
      <c r="DG443" t="s">
        <v>3</v>
      </c>
      <c r="DH443" t="s">
        <v>3</v>
      </c>
      <c r="DI443" t="s">
        <v>3</v>
      </c>
      <c r="DJ443" t="s">
        <v>3</v>
      </c>
      <c r="DK443" t="s">
        <v>3</v>
      </c>
      <c r="DL443" t="s">
        <v>3</v>
      </c>
      <c r="DM443" t="s">
        <v>3</v>
      </c>
      <c r="DN443">
        <v>0</v>
      </c>
      <c r="DO443">
        <v>0</v>
      </c>
      <c r="DP443">
        <v>1</v>
      </c>
      <c r="DQ443">
        <v>1</v>
      </c>
      <c r="DU443">
        <v>1003</v>
      </c>
      <c r="DV443" t="s">
        <v>104</v>
      </c>
      <c r="DW443" t="s">
        <v>104</v>
      </c>
      <c r="DX443">
        <v>100</v>
      </c>
      <c r="DZ443" t="s">
        <v>3</v>
      </c>
      <c r="EA443" t="s">
        <v>3</v>
      </c>
      <c r="EB443" t="s">
        <v>3</v>
      </c>
      <c r="EC443" t="s">
        <v>3</v>
      </c>
      <c r="EE443">
        <v>1441815344</v>
      </c>
      <c r="EF443">
        <v>1</v>
      </c>
      <c r="EG443" t="s">
        <v>22</v>
      </c>
      <c r="EH443">
        <v>0</v>
      </c>
      <c r="EI443" t="s">
        <v>3</v>
      </c>
      <c r="EJ443">
        <v>4</v>
      </c>
      <c r="EK443">
        <v>0</v>
      </c>
      <c r="EL443" t="s">
        <v>23</v>
      </c>
      <c r="EM443" t="s">
        <v>24</v>
      </c>
      <c r="EO443" t="s">
        <v>3</v>
      </c>
      <c r="EQ443">
        <v>1024</v>
      </c>
      <c r="ER443">
        <v>2509.0100000000002</v>
      </c>
      <c r="ES443">
        <v>202.8</v>
      </c>
      <c r="ET443">
        <v>23.51</v>
      </c>
      <c r="EU443">
        <v>7.0000000000000007E-2</v>
      </c>
      <c r="EV443">
        <v>2282.6999999999998</v>
      </c>
      <c r="EW443">
        <v>3.44</v>
      </c>
      <c r="EX443">
        <v>0</v>
      </c>
      <c r="EY443">
        <v>0</v>
      </c>
      <c r="FQ443">
        <v>0</v>
      </c>
      <c r="FR443">
        <f t="shared" si="431"/>
        <v>0</v>
      </c>
      <c r="FS443">
        <v>0</v>
      </c>
      <c r="FX443">
        <v>70</v>
      </c>
      <c r="FY443">
        <v>10</v>
      </c>
      <c r="GA443" t="s">
        <v>3</v>
      </c>
      <c r="GD443">
        <v>0</v>
      </c>
      <c r="GF443">
        <v>-1929809553</v>
      </c>
      <c r="GG443">
        <v>2</v>
      </c>
      <c r="GH443">
        <v>1</v>
      </c>
      <c r="GI443">
        <v>-2</v>
      </c>
      <c r="GJ443">
        <v>0</v>
      </c>
      <c r="GK443">
        <f>ROUND(R443*(R12)/100,2)</f>
        <v>0.04</v>
      </c>
      <c r="GL443">
        <f t="shared" si="432"/>
        <v>0</v>
      </c>
      <c r="GM443">
        <f t="shared" si="433"/>
        <v>2774.55</v>
      </c>
      <c r="GN443">
        <f t="shared" si="434"/>
        <v>0</v>
      </c>
      <c r="GO443">
        <f t="shared" si="435"/>
        <v>0</v>
      </c>
      <c r="GP443">
        <f t="shared" si="436"/>
        <v>2774.55</v>
      </c>
      <c r="GR443">
        <v>0</v>
      </c>
      <c r="GS443">
        <v>3</v>
      </c>
      <c r="GT443">
        <v>0</v>
      </c>
      <c r="GU443" t="s">
        <v>3</v>
      </c>
      <c r="GV443">
        <f t="shared" si="437"/>
        <v>0</v>
      </c>
      <c r="GW443">
        <v>1</v>
      </c>
      <c r="GX443">
        <f t="shared" si="438"/>
        <v>0</v>
      </c>
      <c r="HA443">
        <v>0</v>
      </c>
      <c r="HB443">
        <v>0</v>
      </c>
      <c r="HC443">
        <f t="shared" si="439"/>
        <v>0</v>
      </c>
      <c r="HE443" t="s">
        <v>3</v>
      </c>
      <c r="HF443" t="s">
        <v>3</v>
      </c>
      <c r="HM443" t="s">
        <v>3</v>
      </c>
      <c r="HN443" t="s">
        <v>3</v>
      </c>
      <c r="HO443" t="s">
        <v>3</v>
      </c>
      <c r="HP443" t="s">
        <v>3</v>
      </c>
      <c r="HQ443" t="s">
        <v>3</v>
      </c>
      <c r="IK443">
        <v>0</v>
      </c>
    </row>
    <row r="445" spans="1:245" x14ac:dyDescent="0.2">
      <c r="A445" s="2">
        <v>51</v>
      </c>
      <c r="B445" s="2">
        <f>B379</f>
        <v>1</v>
      </c>
      <c r="C445" s="2">
        <f>A379</f>
        <v>5</v>
      </c>
      <c r="D445" s="2">
        <f>ROW(A379)</f>
        <v>379</v>
      </c>
      <c r="E445" s="2"/>
      <c r="F445" s="2" t="str">
        <f>IF(F379&lt;&gt;"",F379,"")</f>
        <v>Новый подраздел</v>
      </c>
      <c r="G445" s="2" t="str">
        <f>IF(G379&lt;&gt;"",G379,"")</f>
        <v>2.2 Автоматизированный узел управления системой отопления и вентиляции воздуха</v>
      </c>
      <c r="H445" s="2">
        <v>0</v>
      </c>
      <c r="I445" s="2"/>
      <c r="J445" s="2"/>
      <c r="K445" s="2"/>
      <c r="L445" s="2"/>
      <c r="M445" s="2"/>
      <c r="N445" s="2"/>
      <c r="O445" s="2">
        <f t="shared" ref="O445:T445" si="453">ROUND(AB445,2)</f>
        <v>44473.49</v>
      </c>
      <c r="P445" s="2">
        <f t="shared" si="453"/>
        <v>2879.05</v>
      </c>
      <c r="Q445" s="2">
        <f t="shared" si="453"/>
        <v>1407.24</v>
      </c>
      <c r="R445" s="2">
        <f t="shared" si="453"/>
        <v>892.28</v>
      </c>
      <c r="S445" s="2">
        <f t="shared" si="453"/>
        <v>40187.199999999997</v>
      </c>
      <c r="T445" s="2">
        <f t="shared" si="453"/>
        <v>0</v>
      </c>
      <c r="U445" s="2">
        <f>AH445</f>
        <v>58.637999999999984</v>
      </c>
      <c r="V445" s="2">
        <f>AI445</f>
        <v>0</v>
      </c>
      <c r="W445" s="2">
        <f>ROUND(AJ445,2)</f>
        <v>0</v>
      </c>
      <c r="X445" s="2">
        <f>ROUND(AK445,2)</f>
        <v>28131.06</v>
      </c>
      <c r="Y445" s="2">
        <f>ROUND(AL445,2)</f>
        <v>4018.72</v>
      </c>
      <c r="Z445" s="2"/>
      <c r="AA445" s="2"/>
      <c r="AB445" s="2">
        <f>ROUND(SUMIF(AA383:AA443,"=1472506909",O383:O443),2)</f>
        <v>44473.49</v>
      </c>
      <c r="AC445" s="2">
        <f>ROUND(SUMIF(AA383:AA443,"=1472506909",P383:P443),2)</f>
        <v>2879.05</v>
      </c>
      <c r="AD445" s="2">
        <f>ROUND(SUMIF(AA383:AA443,"=1472506909",Q383:Q443),2)</f>
        <v>1407.24</v>
      </c>
      <c r="AE445" s="2">
        <f>ROUND(SUMIF(AA383:AA443,"=1472506909",R383:R443),2)</f>
        <v>892.28</v>
      </c>
      <c r="AF445" s="2">
        <f>ROUND(SUMIF(AA383:AA443,"=1472506909",S383:S443),2)</f>
        <v>40187.199999999997</v>
      </c>
      <c r="AG445" s="2">
        <f>ROUND(SUMIF(AA383:AA443,"=1472506909",T383:T443),2)</f>
        <v>0</v>
      </c>
      <c r="AH445" s="2">
        <f>SUMIF(AA383:AA443,"=1472506909",U383:U443)</f>
        <v>58.637999999999984</v>
      </c>
      <c r="AI445" s="2">
        <f>SUMIF(AA383:AA443,"=1472506909",V383:V443)</f>
        <v>0</v>
      </c>
      <c r="AJ445" s="2">
        <f>ROUND(SUMIF(AA383:AA443,"=1472506909",W383:W443),2)</f>
        <v>0</v>
      </c>
      <c r="AK445" s="2">
        <f>ROUND(SUMIF(AA383:AA443,"=1472506909",X383:X443),2)</f>
        <v>28131.06</v>
      </c>
      <c r="AL445" s="2">
        <f>ROUND(SUMIF(AA383:AA443,"=1472506909",Y383:Y443),2)</f>
        <v>4018.72</v>
      </c>
      <c r="AM445" s="2"/>
      <c r="AN445" s="2"/>
      <c r="AO445" s="2">
        <f t="shared" ref="AO445:BD445" si="454">ROUND(BX445,2)</f>
        <v>0</v>
      </c>
      <c r="AP445" s="2">
        <f t="shared" si="454"/>
        <v>0</v>
      </c>
      <c r="AQ445" s="2">
        <f t="shared" si="454"/>
        <v>0</v>
      </c>
      <c r="AR445" s="2">
        <f t="shared" si="454"/>
        <v>77586.929999999993</v>
      </c>
      <c r="AS445" s="2">
        <f t="shared" si="454"/>
        <v>0</v>
      </c>
      <c r="AT445" s="2">
        <f t="shared" si="454"/>
        <v>0</v>
      </c>
      <c r="AU445" s="2">
        <f t="shared" si="454"/>
        <v>77586.929999999993</v>
      </c>
      <c r="AV445" s="2">
        <f t="shared" si="454"/>
        <v>2879.05</v>
      </c>
      <c r="AW445" s="2">
        <f t="shared" si="454"/>
        <v>2879.05</v>
      </c>
      <c r="AX445" s="2">
        <f t="shared" si="454"/>
        <v>0</v>
      </c>
      <c r="AY445" s="2">
        <f t="shared" si="454"/>
        <v>2879.05</v>
      </c>
      <c r="AZ445" s="2">
        <f t="shared" si="454"/>
        <v>0</v>
      </c>
      <c r="BA445" s="2">
        <f t="shared" si="454"/>
        <v>0</v>
      </c>
      <c r="BB445" s="2">
        <f t="shared" si="454"/>
        <v>0</v>
      </c>
      <c r="BC445" s="2">
        <f t="shared" si="454"/>
        <v>0</v>
      </c>
      <c r="BD445" s="2">
        <f t="shared" si="454"/>
        <v>0</v>
      </c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>
        <f>ROUND(SUMIF(AA383:AA443,"=1472506909",FQ383:FQ443),2)</f>
        <v>0</v>
      </c>
      <c r="BY445" s="2">
        <f>ROUND(SUMIF(AA383:AA443,"=1472506909",FR383:FR443),2)</f>
        <v>0</v>
      </c>
      <c r="BZ445" s="2">
        <f>ROUND(SUMIF(AA383:AA443,"=1472506909",GL383:GL443),2)</f>
        <v>0</v>
      </c>
      <c r="CA445" s="2">
        <f>ROUND(SUMIF(AA383:AA443,"=1472506909",GM383:GM443),2)</f>
        <v>77586.929999999993</v>
      </c>
      <c r="CB445" s="2">
        <f>ROUND(SUMIF(AA383:AA443,"=1472506909",GN383:GN443),2)</f>
        <v>0</v>
      </c>
      <c r="CC445" s="2">
        <f>ROUND(SUMIF(AA383:AA443,"=1472506909",GO383:GO443),2)</f>
        <v>0</v>
      </c>
      <c r="CD445" s="2">
        <f>ROUND(SUMIF(AA383:AA443,"=1472506909",GP383:GP443),2)</f>
        <v>77586.929999999993</v>
      </c>
      <c r="CE445" s="2">
        <f>AC445-BX445</f>
        <v>2879.05</v>
      </c>
      <c r="CF445" s="2">
        <f>AC445-BY445</f>
        <v>2879.05</v>
      </c>
      <c r="CG445" s="2">
        <f>BX445-BZ445</f>
        <v>0</v>
      </c>
      <c r="CH445" s="2">
        <f>AC445-BX445-BY445+BZ445</f>
        <v>2879.05</v>
      </c>
      <c r="CI445" s="2">
        <f>BY445-BZ445</f>
        <v>0</v>
      </c>
      <c r="CJ445" s="2">
        <f>ROUND(SUMIF(AA383:AA443,"=1472506909",GX383:GX443),2)</f>
        <v>0</v>
      </c>
      <c r="CK445" s="2">
        <f>ROUND(SUMIF(AA383:AA443,"=1472506909",GY383:GY443),2)</f>
        <v>0</v>
      </c>
      <c r="CL445" s="2">
        <f>ROUND(SUMIF(AA383:AA443,"=1472506909",GZ383:GZ443),2)</f>
        <v>0</v>
      </c>
      <c r="CM445" s="2">
        <f>ROUND(SUMIF(AA383:AA443,"=1472506909",HD383:HD443),2)</f>
        <v>0</v>
      </c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  <c r="CZ445" s="2"/>
      <c r="DA445" s="2"/>
      <c r="DB445" s="2"/>
      <c r="DC445" s="2"/>
      <c r="DD445" s="2"/>
      <c r="DE445" s="2"/>
      <c r="DF445" s="2"/>
      <c r="DG445" s="3"/>
      <c r="DH445" s="3"/>
      <c r="DI445" s="3"/>
      <c r="DJ445" s="3"/>
      <c r="DK445" s="3"/>
      <c r="DL445" s="3"/>
      <c r="DM445" s="3"/>
      <c r="DN445" s="3"/>
      <c r="DO445" s="3"/>
      <c r="DP445" s="3"/>
      <c r="DQ445" s="3"/>
      <c r="DR445" s="3"/>
      <c r="DS445" s="3"/>
      <c r="DT445" s="3"/>
      <c r="DU445" s="3"/>
      <c r="DV445" s="3"/>
      <c r="DW445" s="3"/>
      <c r="DX445" s="3"/>
      <c r="DY445" s="3"/>
      <c r="DZ445" s="3"/>
      <c r="EA445" s="3"/>
      <c r="EB445" s="3"/>
      <c r="EC445" s="3"/>
      <c r="ED445" s="3"/>
      <c r="EE445" s="3"/>
      <c r="EF445" s="3"/>
      <c r="EG445" s="3"/>
      <c r="EH445" s="3"/>
      <c r="EI445" s="3"/>
      <c r="EJ445" s="3"/>
      <c r="EK445" s="3"/>
      <c r="EL445" s="3"/>
      <c r="EM445" s="3"/>
      <c r="EN445" s="3"/>
      <c r="EO445" s="3"/>
      <c r="EP445" s="3"/>
      <c r="EQ445" s="3"/>
      <c r="ER445" s="3"/>
      <c r="ES445" s="3"/>
      <c r="ET445" s="3"/>
      <c r="EU445" s="3"/>
      <c r="EV445" s="3"/>
      <c r="EW445" s="3"/>
      <c r="EX445" s="3"/>
      <c r="EY445" s="3"/>
      <c r="EZ445" s="3"/>
      <c r="FA445" s="3"/>
      <c r="FB445" s="3"/>
      <c r="FC445" s="3"/>
      <c r="FD445" s="3"/>
      <c r="FE445" s="3"/>
      <c r="FF445" s="3"/>
      <c r="FG445" s="3"/>
      <c r="FH445" s="3"/>
      <c r="FI445" s="3"/>
      <c r="FJ445" s="3"/>
      <c r="FK445" s="3"/>
      <c r="FL445" s="3"/>
      <c r="FM445" s="3"/>
      <c r="FN445" s="3"/>
      <c r="FO445" s="3"/>
      <c r="FP445" s="3"/>
      <c r="FQ445" s="3"/>
      <c r="FR445" s="3"/>
      <c r="FS445" s="3"/>
      <c r="FT445" s="3"/>
      <c r="FU445" s="3"/>
      <c r="FV445" s="3"/>
      <c r="FW445" s="3"/>
      <c r="FX445" s="3"/>
      <c r="FY445" s="3"/>
      <c r="FZ445" s="3"/>
      <c r="GA445" s="3"/>
      <c r="GB445" s="3"/>
      <c r="GC445" s="3"/>
      <c r="GD445" s="3"/>
      <c r="GE445" s="3"/>
      <c r="GF445" s="3"/>
      <c r="GG445" s="3"/>
      <c r="GH445" s="3"/>
      <c r="GI445" s="3"/>
      <c r="GJ445" s="3"/>
      <c r="GK445" s="3"/>
      <c r="GL445" s="3"/>
      <c r="GM445" s="3"/>
      <c r="GN445" s="3"/>
      <c r="GO445" s="3"/>
      <c r="GP445" s="3"/>
      <c r="GQ445" s="3"/>
      <c r="GR445" s="3"/>
      <c r="GS445" s="3"/>
      <c r="GT445" s="3"/>
      <c r="GU445" s="3"/>
      <c r="GV445" s="3"/>
      <c r="GW445" s="3"/>
      <c r="GX445" s="3">
        <v>0</v>
      </c>
    </row>
    <row r="447" spans="1:245" x14ac:dyDescent="0.2">
      <c r="A447" s="4">
        <v>50</v>
      </c>
      <c r="B447" s="4">
        <v>0</v>
      </c>
      <c r="C447" s="4">
        <v>0</v>
      </c>
      <c r="D447" s="4">
        <v>1</v>
      </c>
      <c r="E447" s="4">
        <v>201</v>
      </c>
      <c r="F447" s="4">
        <f>ROUND(Source!O445,O447)</f>
        <v>44473.49</v>
      </c>
      <c r="G447" s="4" t="s">
        <v>36</v>
      </c>
      <c r="H447" s="4" t="s">
        <v>37</v>
      </c>
      <c r="I447" s="4"/>
      <c r="J447" s="4"/>
      <c r="K447" s="4">
        <v>201</v>
      </c>
      <c r="L447" s="4">
        <v>1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44473.49</v>
      </c>
      <c r="X447" s="4">
        <v>1</v>
      </c>
      <c r="Y447" s="4">
        <v>44473.49</v>
      </c>
      <c r="Z447" s="4"/>
      <c r="AA447" s="4"/>
      <c r="AB447" s="4"/>
    </row>
    <row r="448" spans="1:245" x14ac:dyDescent="0.2">
      <c r="A448" s="4">
        <v>50</v>
      </c>
      <c r="B448" s="4">
        <v>0</v>
      </c>
      <c r="C448" s="4">
        <v>0</v>
      </c>
      <c r="D448" s="4">
        <v>1</v>
      </c>
      <c r="E448" s="4">
        <v>202</v>
      </c>
      <c r="F448" s="4">
        <f>ROUND(Source!P445,O448)</f>
        <v>2879.05</v>
      </c>
      <c r="G448" s="4" t="s">
        <v>38</v>
      </c>
      <c r="H448" s="4" t="s">
        <v>39</v>
      </c>
      <c r="I448" s="4"/>
      <c r="J448" s="4"/>
      <c r="K448" s="4">
        <v>202</v>
      </c>
      <c r="L448" s="4">
        <v>2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2879.05</v>
      </c>
      <c r="X448" s="4">
        <v>1</v>
      </c>
      <c r="Y448" s="4">
        <v>2879.05</v>
      </c>
      <c r="Z448" s="4"/>
      <c r="AA448" s="4"/>
      <c r="AB448" s="4"/>
    </row>
    <row r="449" spans="1:28" x14ac:dyDescent="0.2">
      <c r="A449" s="4">
        <v>50</v>
      </c>
      <c r="B449" s="4">
        <v>0</v>
      </c>
      <c r="C449" s="4">
        <v>0</v>
      </c>
      <c r="D449" s="4">
        <v>1</v>
      </c>
      <c r="E449" s="4">
        <v>222</v>
      </c>
      <c r="F449" s="4">
        <f>ROUND(Source!AO445,O449)</f>
        <v>0</v>
      </c>
      <c r="G449" s="4" t="s">
        <v>40</v>
      </c>
      <c r="H449" s="4" t="s">
        <v>41</v>
      </c>
      <c r="I449" s="4"/>
      <c r="J449" s="4"/>
      <c r="K449" s="4">
        <v>222</v>
      </c>
      <c r="L449" s="4">
        <v>3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0</v>
      </c>
      <c r="X449" s="4">
        <v>1</v>
      </c>
      <c r="Y449" s="4">
        <v>0</v>
      </c>
      <c r="Z449" s="4"/>
      <c r="AA449" s="4"/>
      <c r="AB449" s="4"/>
    </row>
    <row r="450" spans="1:28" x14ac:dyDescent="0.2">
      <c r="A450" s="4">
        <v>50</v>
      </c>
      <c r="B450" s="4">
        <v>0</v>
      </c>
      <c r="C450" s="4">
        <v>0</v>
      </c>
      <c r="D450" s="4">
        <v>1</v>
      </c>
      <c r="E450" s="4">
        <v>225</v>
      </c>
      <c r="F450" s="4">
        <f>ROUND(Source!AV445,O450)</f>
        <v>2879.05</v>
      </c>
      <c r="G450" s="4" t="s">
        <v>42</v>
      </c>
      <c r="H450" s="4" t="s">
        <v>43</v>
      </c>
      <c r="I450" s="4"/>
      <c r="J450" s="4"/>
      <c r="K450" s="4">
        <v>225</v>
      </c>
      <c r="L450" s="4">
        <v>4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2879.05</v>
      </c>
      <c r="X450" s="4">
        <v>1</v>
      </c>
      <c r="Y450" s="4">
        <v>2879.05</v>
      </c>
      <c r="Z450" s="4"/>
      <c r="AA450" s="4"/>
      <c r="AB450" s="4"/>
    </row>
    <row r="451" spans="1:28" x14ac:dyDescent="0.2">
      <c r="A451" s="4">
        <v>50</v>
      </c>
      <c r="B451" s="4">
        <v>0</v>
      </c>
      <c r="C451" s="4">
        <v>0</v>
      </c>
      <c r="D451" s="4">
        <v>1</v>
      </c>
      <c r="E451" s="4">
        <v>226</v>
      </c>
      <c r="F451" s="4">
        <f>ROUND(Source!AW445,O451)</f>
        <v>2879.05</v>
      </c>
      <c r="G451" s="4" t="s">
        <v>44</v>
      </c>
      <c r="H451" s="4" t="s">
        <v>45</v>
      </c>
      <c r="I451" s="4"/>
      <c r="J451" s="4"/>
      <c r="K451" s="4">
        <v>226</v>
      </c>
      <c r="L451" s="4">
        <v>5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2879.05</v>
      </c>
      <c r="X451" s="4">
        <v>1</v>
      </c>
      <c r="Y451" s="4">
        <v>2879.05</v>
      </c>
      <c r="Z451" s="4"/>
      <c r="AA451" s="4"/>
      <c r="AB451" s="4"/>
    </row>
    <row r="452" spans="1:28" x14ac:dyDescent="0.2">
      <c r="A452" s="4">
        <v>50</v>
      </c>
      <c r="B452" s="4">
        <v>0</v>
      </c>
      <c r="C452" s="4">
        <v>0</v>
      </c>
      <c r="D452" s="4">
        <v>1</v>
      </c>
      <c r="E452" s="4">
        <v>227</v>
      </c>
      <c r="F452" s="4">
        <f>ROUND(Source!AX445,O452)</f>
        <v>0</v>
      </c>
      <c r="G452" s="4" t="s">
        <v>46</v>
      </c>
      <c r="H452" s="4" t="s">
        <v>47</v>
      </c>
      <c r="I452" s="4"/>
      <c r="J452" s="4"/>
      <c r="K452" s="4">
        <v>227</v>
      </c>
      <c r="L452" s="4">
        <v>6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0</v>
      </c>
      <c r="X452" s="4">
        <v>1</v>
      </c>
      <c r="Y452" s="4">
        <v>0</v>
      </c>
      <c r="Z452" s="4"/>
      <c r="AA452" s="4"/>
      <c r="AB452" s="4"/>
    </row>
    <row r="453" spans="1:28" x14ac:dyDescent="0.2">
      <c r="A453" s="4">
        <v>50</v>
      </c>
      <c r="B453" s="4">
        <v>0</v>
      </c>
      <c r="C453" s="4">
        <v>0</v>
      </c>
      <c r="D453" s="4">
        <v>1</v>
      </c>
      <c r="E453" s="4">
        <v>228</v>
      </c>
      <c r="F453" s="4">
        <f>ROUND(Source!AY445,O453)</f>
        <v>2879.05</v>
      </c>
      <c r="G453" s="4" t="s">
        <v>48</v>
      </c>
      <c r="H453" s="4" t="s">
        <v>49</v>
      </c>
      <c r="I453" s="4"/>
      <c r="J453" s="4"/>
      <c r="K453" s="4">
        <v>228</v>
      </c>
      <c r="L453" s="4">
        <v>7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2879.05</v>
      </c>
      <c r="X453" s="4">
        <v>1</v>
      </c>
      <c r="Y453" s="4">
        <v>2879.05</v>
      </c>
      <c r="Z453" s="4"/>
      <c r="AA453" s="4"/>
      <c r="AB453" s="4"/>
    </row>
    <row r="454" spans="1:28" x14ac:dyDescent="0.2">
      <c r="A454" s="4">
        <v>50</v>
      </c>
      <c r="B454" s="4">
        <v>0</v>
      </c>
      <c r="C454" s="4">
        <v>0</v>
      </c>
      <c r="D454" s="4">
        <v>1</v>
      </c>
      <c r="E454" s="4">
        <v>216</v>
      </c>
      <c r="F454" s="4">
        <f>ROUND(Source!AP445,O454)</f>
        <v>0</v>
      </c>
      <c r="G454" s="4" t="s">
        <v>50</v>
      </c>
      <c r="H454" s="4" t="s">
        <v>51</v>
      </c>
      <c r="I454" s="4"/>
      <c r="J454" s="4"/>
      <c r="K454" s="4">
        <v>216</v>
      </c>
      <c r="L454" s="4">
        <v>8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8" x14ac:dyDescent="0.2">
      <c r="A455" s="4">
        <v>50</v>
      </c>
      <c r="B455" s="4">
        <v>0</v>
      </c>
      <c r="C455" s="4">
        <v>0</v>
      </c>
      <c r="D455" s="4">
        <v>1</v>
      </c>
      <c r="E455" s="4">
        <v>223</v>
      </c>
      <c r="F455" s="4">
        <f>ROUND(Source!AQ445,O455)</f>
        <v>0</v>
      </c>
      <c r="G455" s="4" t="s">
        <v>52</v>
      </c>
      <c r="H455" s="4" t="s">
        <v>53</v>
      </c>
      <c r="I455" s="4"/>
      <c r="J455" s="4"/>
      <c r="K455" s="4">
        <v>223</v>
      </c>
      <c r="L455" s="4">
        <v>9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0</v>
      </c>
      <c r="X455" s="4">
        <v>1</v>
      </c>
      <c r="Y455" s="4">
        <v>0</v>
      </c>
      <c r="Z455" s="4"/>
      <c r="AA455" s="4"/>
      <c r="AB455" s="4"/>
    </row>
    <row r="456" spans="1:28" x14ac:dyDescent="0.2">
      <c r="A456" s="4">
        <v>50</v>
      </c>
      <c r="B456" s="4">
        <v>0</v>
      </c>
      <c r="C456" s="4">
        <v>0</v>
      </c>
      <c r="D456" s="4">
        <v>1</v>
      </c>
      <c r="E456" s="4">
        <v>229</v>
      </c>
      <c r="F456" s="4">
        <f>ROUND(Source!AZ445,O456)</f>
        <v>0</v>
      </c>
      <c r="G456" s="4" t="s">
        <v>54</v>
      </c>
      <c r="H456" s="4" t="s">
        <v>55</v>
      </c>
      <c r="I456" s="4"/>
      <c r="J456" s="4"/>
      <c r="K456" s="4">
        <v>229</v>
      </c>
      <c r="L456" s="4">
        <v>10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28" x14ac:dyDescent="0.2">
      <c r="A457" s="4">
        <v>50</v>
      </c>
      <c r="B457" s="4">
        <v>0</v>
      </c>
      <c r="C457" s="4">
        <v>0</v>
      </c>
      <c r="D457" s="4">
        <v>1</v>
      </c>
      <c r="E457" s="4">
        <v>203</v>
      </c>
      <c r="F457" s="4">
        <f>ROUND(Source!Q445,O457)</f>
        <v>1407.24</v>
      </c>
      <c r="G457" s="4" t="s">
        <v>56</v>
      </c>
      <c r="H457" s="4" t="s">
        <v>57</v>
      </c>
      <c r="I457" s="4"/>
      <c r="J457" s="4"/>
      <c r="K457" s="4">
        <v>203</v>
      </c>
      <c r="L457" s="4">
        <v>11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1407.24</v>
      </c>
      <c r="X457" s="4">
        <v>1</v>
      </c>
      <c r="Y457" s="4">
        <v>1407.24</v>
      </c>
      <c r="Z457" s="4"/>
      <c r="AA457" s="4"/>
      <c r="AB457" s="4"/>
    </row>
    <row r="458" spans="1:28" x14ac:dyDescent="0.2">
      <c r="A458" s="4">
        <v>50</v>
      </c>
      <c r="B458" s="4">
        <v>0</v>
      </c>
      <c r="C458" s="4">
        <v>0</v>
      </c>
      <c r="D458" s="4">
        <v>1</v>
      </c>
      <c r="E458" s="4">
        <v>231</v>
      </c>
      <c r="F458" s="4">
        <f>ROUND(Source!BB445,O458)</f>
        <v>0</v>
      </c>
      <c r="G458" s="4" t="s">
        <v>58</v>
      </c>
      <c r="H458" s="4" t="s">
        <v>59</v>
      </c>
      <c r="I458" s="4"/>
      <c r="J458" s="4"/>
      <c r="K458" s="4">
        <v>231</v>
      </c>
      <c r="L458" s="4">
        <v>12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8" x14ac:dyDescent="0.2">
      <c r="A459" s="4">
        <v>50</v>
      </c>
      <c r="B459" s="4">
        <v>0</v>
      </c>
      <c r="C459" s="4">
        <v>0</v>
      </c>
      <c r="D459" s="4">
        <v>1</v>
      </c>
      <c r="E459" s="4">
        <v>204</v>
      </c>
      <c r="F459" s="4">
        <f>ROUND(Source!R445,O459)</f>
        <v>892.28</v>
      </c>
      <c r="G459" s="4" t="s">
        <v>60</v>
      </c>
      <c r="H459" s="4" t="s">
        <v>61</v>
      </c>
      <c r="I459" s="4"/>
      <c r="J459" s="4"/>
      <c r="K459" s="4">
        <v>204</v>
      </c>
      <c r="L459" s="4">
        <v>13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892.28</v>
      </c>
      <c r="X459" s="4">
        <v>1</v>
      </c>
      <c r="Y459" s="4">
        <v>892.28</v>
      </c>
      <c r="Z459" s="4"/>
      <c r="AA459" s="4"/>
      <c r="AB459" s="4"/>
    </row>
    <row r="460" spans="1:28" x14ac:dyDescent="0.2">
      <c r="A460" s="4">
        <v>50</v>
      </c>
      <c r="B460" s="4">
        <v>0</v>
      </c>
      <c r="C460" s="4">
        <v>0</v>
      </c>
      <c r="D460" s="4">
        <v>1</v>
      </c>
      <c r="E460" s="4">
        <v>205</v>
      </c>
      <c r="F460" s="4">
        <f>ROUND(Source!S445,O460)</f>
        <v>40187.199999999997</v>
      </c>
      <c r="G460" s="4" t="s">
        <v>62</v>
      </c>
      <c r="H460" s="4" t="s">
        <v>63</v>
      </c>
      <c r="I460" s="4"/>
      <c r="J460" s="4"/>
      <c r="K460" s="4">
        <v>205</v>
      </c>
      <c r="L460" s="4">
        <v>14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40187.199999999997</v>
      </c>
      <c r="X460" s="4">
        <v>1</v>
      </c>
      <c r="Y460" s="4">
        <v>40187.199999999997</v>
      </c>
      <c r="Z460" s="4"/>
      <c r="AA460" s="4"/>
      <c r="AB460" s="4"/>
    </row>
    <row r="461" spans="1:28" x14ac:dyDescent="0.2">
      <c r="A461" s="4">
        <v>50</v>
      </c>
      <c r="B461" s="4">
        <v>0</v>
      </c>
      <c r="C461" s="4">
        <v>0</v>
      </c>
      <c r="D461" s="4">
        <v>1</v>
      </c>
      <c r="E461" s="4">
        <v>232</v>
      </c>
      <c r="F461" s="4">
        <f>ROUND(Source!BC445,O461)</f>
        <v>0</v>
      </c>
      <c r="G461" s="4" t="s">
        <v>64</v>
      </c>
      <c r="H461" s="4" t="s">
        <v>65</v>
      </c>
      <c r="I461" s="4"/>
      <c r="J461" s="4"/>
      <c r="K461" s="4">
        <v>232</v>
      </c>
      <c r="L461" s="4">
        <v>15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8" x14ac:dyDescent="0.2">
      <c r="A462" s="4">
        <v>50</v>
      </c>
      <c r="B462" s="4">
        <v>0</v>
      </c>
      <c r="C462" s="4">
        <v>0</v>
      </c>
      <c r="D462" s="4">
        <v>1</v>
      </c>
      <c r="E462" s="4">
        <v>214</v>
      </c>
      <c r="F462" s="4">
        <f>ROUND(Source!AS445,O462)</f>
        <v>0</v>
      </c>
      <c r="G462" s="4" t="s">
        <v>66</v>
      </c>
      <c r="H462" s="4" t="s">
        <v>67</v>
      </c>
      <c r="I462" s="4"/>
      <c r="J462" s="4"/>
      <c r="K462" s="4">
        <v>214</v>
      </c>
      <c r="L462" s="4">
        <v>16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0</v>
      </c>
      <c r="X462" s="4">
        <v>1</v>
      </c>
      <c r="Y462" s="4">
        <v>0</v>
      </c>
      <c r="Z462" s="4"/>
      <c r="AA462" s="4"/>
      <c r="AB462" s="4"/>
    </row>
    <row r="463" spans="1:28" x14ac:dyDescent="0.2">
      <c r="A463" s="4">
        <v>50</v>
      </c>
      <c r="B463" s="4">
        <v>0</v>
      </c>
      <c r="C463" s="4">
        <v>0</v>
      </c>
      <c r="D463" s="4">
        <v>1</v>
      </c>
      <c r="E463" s="4">
        <v>215</v>
      </c>
      <c r="F463" s="4">
        <f>ROUND(Source!AT445,O463)</f>
        <v>0</v>
      </c>
      <c r="G463" s="4" t="s">
        <v>68</v>
      </c>
      <c r="H463" s="4" t="s">
        <v>69</v>
      </c>
      <c r="I463" s="4"/>
      <c r="J463" s="4"/>
      <c r="K463" s="4">
        <v>215</v>
      </c>
      <c r="L463" s="4">
        <v>17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8" x14ac:dyDescent="0.2">
      <c r="A464" s="4">
        <v>50</v>
      </c>
      <c r="B464" s="4">
        <v>0</v>
      </c>
      <c r="C464" s="4">
        <v>0</v>
      </c>
      <c r="D464" s="4">
        <v>1</v>
      </c>
      <c r="E464" s="4">
        <v>217</v>
      </c>
      <c r="F464" s="4">
        <f>ROUND(Source!AU445,O464)</f>
        <v>77586.929999999993</v>
      </c>
      <c r="G464" s="4" t="s">
        <v>70</v>
      </c>
      <c r="H464" s="4" t="s">
        <v>71</v>
      </c>
      <c r="I464" s="4"/>
      <c r="J464" s="4"/>
      <c r="K464" s="4">
        <v>217</v>
      </c>
      <c r="L464" s="4">
        <v>18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77586.929999999993</v>
      </c>
      <c r="X464" s="4">
        <v>1</v>
      </c>
      <c r="Y464" s="4">
        <v>77586.929999999993</v>
      </c>
      <c r="Z464" s="4"/>
      <c r="AA464" s="4"/>
      <c r="AB464" s="4"/>
    </row>
    <row r="465" spans="1:206" x14ac:dyDescent="0.2">
      <c r="A465" s="4">
        <v>50</v>
      </c>
      <c r="B465" s="4">
        <v>0</v>
      </c>
      <c r="C465" s="4">
        <v>0</v>
      </c>
      <c r="D465" s="4">
        <v>1</v>
      </c>
      <c r="E465" s="4">
        <v>230</v>
      </c>
      <c r="F465" s="4">
        <f>ROUND(Source!BA445,O465)</f>
        <v>0</v>
      </c>
      <c r="G465" s="4" t="s">
        <v>72</v>
      </c>
      <c r="H465" s="4" t="s">
        <v>73</v>
      </c>
      <c r="I465" s="4"/>
      <c r="J465" s="4"/>
      <c r="K465" s="4">
        <v>230</v>
      </c>
      <c r="L465" s="4">
        <v>19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06" x14ac:dyDescent="0.2">
      <c r="A466" s="4">
        <v>50</v>
      </c>
      <c r="B466" s="4">
        <v>0</v>
      </c>
      <c r="C466" s="4">
        <v>0</v>
      </c>
      <c r="D466" s="4">
        <v>1</v>
      </c>
      <c r="E466" s="4">
        <v>206</v>
      </c>
      <c r="F466" s="4">
        <f>ROUND(Source!T445,O466)</f>
        <v>0</v>
      </c>
      <c r="G466" s="4" t="s">
        <v>74</v>
      </c>
      <c r="H466" s="4" t="s">
        <v>75</v>
      </c>
      <c r="I466" s="4"/>
      <c r="J466" s="4"/>
      <c r="K466" s="4">
        <v>206</v>
      </c>
      <c r="L466" s="4">
        <v>20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06" x14ac:dyDescent="0.2">
      <c r="A467" s="4">
        <v>50</v>
      </c>
      <c r="B467" s="4">
        <v>0</v>
      </c>
      <c r="C467" s="4">
        <v>0</v>
      </c>
      <c r="D467" s="4">
        <v>1</v>
      </c>
      <c r="E467" s="4">
        <v>207</v>
      </c>
      <c r="F467" s="4">
        <f>Source!U445</f>
        <v>58.637999999999984</v>
      </c>
      <c r="G467" s="4" t="s">
        <v>76</v>
      </c>
      <c r="H467" s="4" t="s">
        <v>77</v>
      </c>
      <c r="I467" s="4"/>
      <c r="J467" s="4"/>
      <c r="K467" s="4">
        <v>207</v>
      </c>
      <c r="L467" s="4">
        <v>21</v>
      </c>
      <c r="M467" s="4">
        <v>3</v>
      </c>
      <c r="N467" s="4" t="s">
        <v>3</v>
      </c>
      <c r="O467" s="4">
        <v>-1</v>
      </c>
      <c r="P467" s="4"/>
      <c r="Q467" s="4"/>
      <c r="R467" s="4"/>
      <c r="S467" s="4"/>
      <c r="T467" s="4"/>
      <c r="U467" s="4"/>
      <c r="V467" s="4"/>
      <c r="W467" s="4">
        <v>58.637999999999984</v>
      </c>
      <c r="X467" s="4">
        <v>1</v>
      </c>
      <c r="Y467" s="4">
        <v>58.637999999999984</v>
      </c>
      <c r="Z467" s="4"/>
      <c r="AA467" s="4"/>
      <c r="AB467" s="4"/>
    </row>
    <row r="468" spans="1:206" x14ac:dyDescent="0.2">
      <c r="A468" s="4">
        <v>50</v>
      </c>
      <c r="B468" s="4">
        <v>0</v>
      </c>
      <c r="C468" s="4">
        <v>0</v>
      </c>
      <c r="D468" s="4">
        <v>1</v>
      </c>
      <c r="E468" s="4">
        <v>208</v>
      </c>
      <c r="F468" s="4">
        <f>Source!V445</f>
        <v>0</v>
      </c>
      <c r="G468" s="4" t="s">
        <v>78</v>
      </c>
      <c r="H468" s="4" t="s">
        <v>79</v>
      </c>
      <c r="I468" s="4"/>
      <c r="J468" s="4"/>
      <c r="K468" s="4">
        <v>208</v>
      </c>
      <c r="L468" s="4">
        <v>22</v>
      </c>
      <c r="M468" s="4">
        <v>3</v>
      </c>
      <c r="N468" s="4" t="s">
        <v>3</v>
      </c>
      <c r="O468" s="4">
        <v>-1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06" x14ac:dyDescent="0.2">
      <c r="A469" s="4">
        <v>50</v>
      </c>
      <c r="B469" s="4">
        <v>0</v>
      </c>
      <c r="C469" s="4">
        <v>0</v>
      </c>
      <c r="D469" s="4">
        <v>1</v>
      </c>
      <c r="E469" s="4">
        <v>209</v>
      </c>
      <c r="F469" s="4">
        <f>ROUND(Source!W445,O469)</f>
        <v>0</v>
      </c>
      <c r="G469" s="4" t="s">
        <v>80</v>
      </c>
      <c r="H469" s="4" t="s">
        <v>81</v>
      </c>
      <c r="I469" s="4"/>
      <c r="J469" s="4"/>
      <c r="K469" s="4">
        <v>209</v>
      </c>
      <c r="L469" s="4">
        <v>23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06" x14ac:dyDescent="0.2">
      <c r="A470" s="4">
        <v>50</v>
      </c>
      <c r="B470" s="4">
        <v>0</v>
      </c>
      <c r="C470" s="4">
        <v>0</v>
      </c>
      <c r="D470" s="4">
        <v>1</v>
      </c>
      <c r="E470" s="4">
        <v>233</v>
      </c>
      <c r="F470" s="4">
        <f>ROUND(Source!BD445,O470)</f>
        <v>0</v>
      </c>
      <c r="G470" s="4" t="s">
        <v>82</v>
      </c>
      <c r="H470" s="4" t="s">
        <v>83</v>
      </c>
      <c r="I470" s="4"/>
      <c r="J470" s="4"/>
      <c r="K470" s="4">
        <v>233</v>
      </c>
      <c r="L470" s="4">
        <v>24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0</v>
      </c>
      <c r="X470" s="4">
        <v>1</v>
      </c>
      <c r="Y470" s="4">
        <v>0</v>
      </c>
      <c r="Z470" s="4"/>
      <c r="AA470" s="4"/>
      <c r="AB470" s="4"/>
    </row>
    <row r="471" spans="1:206" x14ac:dyDescent="0.2">
      <c r="A471" s="4">
        <v>50</v>
      </c>
      <c r="B471" s="4">
        <v>0</v>
      </c>
      <c r="C471" s="4">
        <v>0</v>
      </c>
      <c r="D471" s="4">
        <v>1</v>
      </c>
      <c r="E471" s="4">
        <v>210</v>
      </c>
      <c r="F471" s="4">
        <f>ROUND(Source!X445,O471)</f>
        <v>28131.06</v>
      </c>
      <c r="G471" s="4" t="s">
        <v>84</v>
      </c>
      <c r="H471" s="4" t="s">
        <v>85</v>
      </c>
      <c r="I471" s="4"/>
      <c r="J471" s="4"/>
      <c r="K471" s="4">
        <v>210</v>
      </c>
      <c r="L471" s="4">
        <v>25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28131.06</v>
      </c>
      <c r="X471" s="4">
        <v>1</v>
      </c>
      <c r="Y471" s="4">
        <v>28131.06</v>
      </c>
      <c r="Z471" s="4"/>
      <c r="AA471" s="4"/>
      <c r="AB471" s="4"/>
    </row>
    <row r="472" spans="1:206" x14ac:dyDescent="0.2">
      <c r="A472" s="4">
        <v>50</v>
      </c>
      <c r="B472" s="4">
        <v>0</v>
      </c>
      <c r="C472" s="4">
        <v>0</v>
      </c>
      <c r="D472" s="4">
        <v>1</v>
      </c>
      <c r="E472" s="4">
        <v>211</v>
      </c>
      <c r="F472" s="4">
        <f>ROUND(Source!Y445,O472)</f>
        <v>4018.72</v>
      </c>
      <c r="G472" s="4" t="s">
        <v>86</v>
      </c>
      <c r="H472" s="4" t="s">
        <v>87</v>
      </c>
      <c r="I472" s="4"/>
      <c r="J472" s="4"/>
      <c r="K472" s="4">
        <v>211</v>
      </c>
      <c r="L472" s="4">
        <v>26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4018.72</v>
      </c>
      <c r="X472" s="4">
        <v>1</v>
      </c>
      <c r="Y472" s="4">
        <v>4018.72</v>
      </c>
      <c r="Z472" s="4"/>
      <c r="AA472" s="4"/>
      <c r="AB472" s="4"/>
    </row>
    <row r="473" spans="1:206" x14ac:dyDescent="0.2">
      <c r="A473" s="4">
        <v>50</v>
      </c>
      <c r="B473" s="4">
        <v>0</v>
      </c>
      <c r="C473" s="4">
        <v>0</v>
      </c>
      <c r="D473" s="4">
        <v>1</v>
      </c>
      <c r="E473" s="4">
        <v>224</v>
      </c>
      <c r="F473" s="4">
        <f>ROUND(Source!AR445,O473)</f>
        <v>77586.929999999993</v>
      </c>
      <c r="G473" s="4" t="s">
        <v>88</v>
      </c>
      <c r="H473" s="4" t="s">
        <v>89</v>
      </c>
      <c r="I473" s="4"/>
      <c r="J473" s="4"/>
      <c r="K473" s="4">
        <v>224</v>
      </c>
      <c r="L473" s="4">
        <v>27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77586.929999999993</v>
      </c>
      <c r="X473" s="4">
        <v>1</v>
      </c>
      <c r="Y473" s="4">
        <v>77586.929999999993</v>
      </c>
      <c r="Z473" s="4"/>
      <c r="AA473" s="4"/>
      <c r="AB473" s="4"/>
    </row>
    <row r="475" spans="1:206" x14ac:dyDescent="0.2">
      <c r="A475" s="2">
        <v>51</v>
      </c>
      <c r="B475" s="2">
        <f>B311</f>
        <v>1</v>
      </c>
      <c r="C475" s="2">
        <f>A311</f>
        <v>4</v>
      </c>
      <c r="D475" s="2">
        <f>ROW(A311)</f>
        <v>311</v>
      </c>
      <c r="E475" s="2"/>
      <c r="F475" s="2" t="str">
        <f>IF(F311&lt;&gt;"",F311,"")</f>
        <v>Новый раздел</v>
      </c>
      <c r="G475" s="2" t="str">
        <f>IF(G311&lt;&gt;"",G311,"")</f>
        <v>2. Внутренние сети отопления</v>
      </c>
      <c r="H475" s="2">
        <v>0</v>
      </c>
      <c r="I475" s="2"/>
      <c r="J475" s="2"/>
      <c r="K475" s="2"/>
      <c r="L475" s="2"/>
      <c r="M475" s="2"/>
      <c r="N475" s="2"/>
      <c r="O475" s="2">
        <f t="shared" ref="O475:T475" si="455">ROUND(O349+O445+AB475,2)</f>
        <v>210206.83</v>
      </c>
      <c r="P475" s="2">
        <f t="shared" si="455"/>
        <v>3703.6</v>
      </c>
      <c r="Q475" s="2">
        <f t="shared" si="455"/>
        <v>15848.26</v>
      </c>
      <c r="R475" s="2">
        <f t="shared" si="455"/>
        <v>10027.77</v>
      </c>
      <c r="S475" s="2">
        <f t="shared" si="455"/>
        <v>190654.97</v>
      </c>
      <c r="T475" s="2">
        <f t="shared" si="455"/>
        <v>0</v>
      </c>
      <c r="U475" s="2">
        <f>U349+U445+AH475</f>
        <v>302.91843999999998</v>
      </c>
      <c r="V475" s="2">
        <f>V349+V445+AI475</f>
        <v>0</v>
      </c>
      <c r="W475" s="2">
        <f>ROUND(W349+W445+AJ475,2)</f>
        <v>0</v>
      </c>
      <c r="X475" s="2">
        <f>ROUND(X349+X445+AK475,2)</f>
        <v>133458.53</v>
      </c>
      <c r="Y475" s="2">
        <f>ROUND(Y349+Y445+AL475,2)</f>
        <v>19065.52</v>
      </c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>
        <f t="shared" ref="AO475:BD475" si="456">ROUND(AO349+AO445+BX475,2)</f>
        <v>0</v>
      </c>
      <c r="AP475" s="2">
        <f t="shared" si="456"/>
        <v>0</v>
      </c>
      <c r="AQ475" s="2">
        <f t="shared" si="456"/>
        <v>0</v>
      </c>
      <c r="AR475" s="2">
        <f t="shared" si="456"/>
        <v>373560.86</v>
      </c>
      <c r="AS475" s="2">
        <f t="shared" si="456"/>
        <v>0</v>
      </c>
      <c r="AT475" s="2">
        <f t="shared" si="456"/>
        <v>0</v>
      </c>
      <c r="AU475" s="2">
        <f t="shared" si="456"/>
        <v>373560.86</v>
      </c>
      <c r="AV475" s="2">
        <f t="shared" si="456"/>
        <v>3703.6</v>
      </c>
      <c r="AW475" s="2">
        <f t="shared" si="456"/>
        <v>3703.6</v>
      </c>
      <c r="AX475" s="2">
        <f t="shared" si="456"/>
        <v>0</v>
      </c>
      <c r="AY475" s="2">
        <f t="shared" si="456"/>
        <v>3703.6</v>
      </c>
      <c r="AZ475" s="2">
        <f t="shared" si="456"/>
        <v>0</v>
      </c>
      <c r="BA475" s="2">
        <f t="shared" si="456"/>
        <v>0</v>
      </c>
      <c r="BB475" s="2">
        <f t="shared" si="456"/>
        <v>0</v>
      </c>
      <c r="BC475" s="2">
        <f t="shared" si="456"/>
        <v>0</v>
      </c>
      <c r="BD475" s="2">
        <f t="shared" si="456"/>
        <v>0</v>
      </c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  <c r="CZ475" s="2"/>
      <c r="DA475" s="2"/>
      <c r="DB475" s="2"/>
      <c r="DC475" s="2"/>
      <c r="DD475" s="2"/>
      <c r="DE475" s="2"/>
      <c r="DF475" s="2"/>
      <c r="DG475" s="3"/>
      <c r="DH475" s="3"/>
      <c r="DI475" s="3"/>
      <c r="DJ475" s="3"/>
      <c r="DK475" s="3"/>
      <c r="DL475" s="3"/>
      <c r="DM475" s="3"/>
      <c r="DN475" s="3"/>
      <c r="DO475" s="3"/>
      <c r="DP475" s="3"/>
      <c r="DQ475" s="3"/>
      <c r="DR475" s="3"/>
      <c r="DS475" s="3"/>
      <c r="DT475" s="3"/>
      <c r="DU475" s="3"/>
      <c r="DV475" s="3"/>
      <c r="DW475" s="3"/>
      <c r="DX475" s="3"/>
      <c r="DY475" s="3"/>
      <c r="DZ475" s="3"/>
      <c r="EA475" s="3"/>
      <c r="EB475" s="3"/>
      <c r="EC475" s="3"/>
      <c r="ED475" s="3"/>
      <c r="EE475" s="3"/>
      <c r="EF475" s="3"/>
      <c r="EG475" s="3"/>
      <c r="EH475" s="3"/>
      <c r="EI475" s="3"/>
      <c r="EJ475" s="3"/>
      <c r="EK475" s="3"/>
      <c r="EL475" s="3"/>
      <c r="EM475" s="3"/>
      <c r="EN475" s="3"/>
      <c r="EO475" s="3"/>
      <c r="EP475" s="3"/>
      <c r="EQ475" s="3"/>
      <c r="ER475" s="3"/>
      <c r="ES475" s="3"/>
      <c r="ET475" s="3"/>
      <c r="EU475" s="3"/>
      <c r="EV475" s="3"/>
      <c r="EW475" s="3"/>
      <c r="EX475" s="3"/>
      <c r="EY475" s="3"/>
      <c r="EZ475" s="3"/>
      <c r="FA475" s="3"/>
      <c r="FB475" s="3"/>
      <c r="FC475" s="3"/>
      <c r="FD475" s="3"/>
      <c r="FE475" s="3"/>
      <c r="FF475" s="3"/>
      <c r="FG475" s="3"/>
      <c r="FH475" s="3"/>
      <c r="FI475" s="3"/>
      <c r="FJ475" s="3"/>
      <c r="FK475" s="3"/>
      <c r="FL475" s="3"/>
      <c r="FM475" s="3"/>
      <c r="FN475" s="3"/>
      <c r="FO475" s="3"/>
      <c r="FP475" s="3"/>
      <c r="FQ475" s="3"/>
      <c r="FR475" s="3"/>
      <c r="FS475" s="3"/>
      <c r="FT475" s="3"/>
      <c r="FU475" s="3"/>
      <c r="FV475" s="3"/>
      <c r="FW475" s="3"/>
      <c r="FX475" s="3"/>
      <c r="FY475" s="3"/>
      <c r="FZ475" s="3"/>
      <c r="GA475" s="3"/>
      <c r="GB475" s="3"/>
      <c r="GC475" s="3"/>
      <c r="GD475" s="3"/>
      <c r="GE475" s="3"/>
      <c r="GF475" s="3"/>
      <c r="GG475" s="3"/>
      <c r="GH475" s="3"/>
      <c r="GI475" s="3"/>
      <c r="GJ475" s="3"/>
      <c r="GK475" s="3"/>
      <c r="GL475" s="3"/>
      <c r="GM475" s="3"/>
      <c r="GN475" s="3"/>
      <c r="GO475" s="3"/>
      <c r="GP475" s="3"/>
      <c r="GQ475" s="3"/>
      <c r="GR475" s="3"/>
      <c r="GS475" s="3"/>
      <c r="GT475" s="3"/>
      <c r="GU475" s="3"/>
      <c r="GV475" s="3"/>
      <c r="GW475" s="3"/>
      <c r="GX475" s="3">
        <v>0</v>
      </c>
    </row>
    <row r="477" spans="1:206" x14ac:dyDescent="0.2">
      <c r="A477" s="4">
        <v>50</v>
      </c>
      <c r="B477" s="4">
        <v>0</v>
      </c>
      <c r="C477" s="4">
        <v>0</v>
      </c>
      <c r="D477" s="4">
        <v>1</v>
      </c>
      <c r="E477" s="4">
        <v>201</v>
      </c>
      <c r="F477" s="4">
        <f>ROUND(Source!O475,O477)</f>
        <v>210206.83</v>
      </c>
      <c r="G477" s="4" t="s">
        <v>36</v>
      </c>
      <c r="H477" s="4" t="s">
        <v>37</v>
      </c>
      <c r="I477" s="4"/>
      <c r="J477" s="4"/>
      <c r="K477" s="4">
        <v>201</v>
      </c>
      <c r="L477" s="4">
        <v>1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210206.83</v>
      </c>
      <c r="X477" s="4">
        <v>1</v>
      </c>
      <c r="Y477" s="4">
        <v>210206.83</v>
      </c>
      <c r="Z477" s="4"/>
      <c r="AA477" s="4"/>
      <c r="AB477" s="4"/>
    </row>
    <row r="478" spans="1:206" x14ac:dyDescent="0.2">
      <c r="A478" s="4">
        <v>50</v>
      </c>
      <c r="B478" s="4">
        <v>0</v>
      </c>
      <c r="C478" s="4">
        <v>0</v>
      </c>
      <c r="D478" s="4">
        <v>1</v>
      </c>
      <c r="E478" s="4">
        <v>202</v>
      </c>
      <c r="F478" s="4">
        <f>ROUND(Source!P475,O478)</f>
        <v>3703.6</v>
      </c>
      <c r="G478" s="4" t="s">
        <v>38</v>
      </c>
      <c r="H478" s="4" t="s">
        <v>39</v>
      </c>
      <c r="I478" s="4"/>
      <c r="J478" s="4"/>
      <c r="K478" s="4">
        <v>202</v>
      </c>
      <c r="L478" s="4">
        <v>2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3703.6</v>
      </c>
      <c r="X478" s="4">
        <v>1</v>
      </c>
      <c r="Y478" s="4">
        <v>3703.6</v>
      </c>
      <c r="Z478" s="4"/>
      <c r="AA478" s="4"/>
      <c r="AB478" s="4"/>
    </row>
    <row r="479" spans="1:206" x14ac:dyDescent="0.2">
      <c r="A479" s="4">
        <v>50</v>
      </c>
      <c r="B479" s="4">
        <v>0</v>
      </c>
      <c r="C479" s="4">
        <v>0</v>
      </c>
      <c r="D479" s="4">
        <v>1</v>
      </c>
      <c r="E479" s="4">
        <v>222</v>
      </c>
      <c r="F479" s="4">
        <f>ROUND(Source!AO475,O479)</f>
        <v>0</v>
      </c>
      <c r="G479" s="4" t="s">
        <v>40</v>
      </c>
      <c r="H479" s="4" t="s">
        <v>41</v>
      </c>
      <c r="I479" s="4"/>
      <c r="J479" s="4"/>
      <c r="K479" s="4">
        <v>222</v>
      </c>
      <c r="L479" s="4">
        <v>3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0</v>
      </c>
      <c r="X479" s="4">
        <v>1</v>
      </c>
      <c r="Y479" s="4">
        <v>0</v>
      </c>
      <c r="Z479" s="4"/>
      <c r="AA479" s="4"/>
      <c r="AB479" s="4"/>
    </row>
    <row r="480" spans="1:206" x14ac:dyDescent="0.2">
      <c r="A480" s="4">
        <v>50</v>
      </c>
      <c r="B480" s="4">
        <v>0</v>
      </c>
      <c r="C480" s="4">
        <v>0</v>
      </c>
      <c r="D480" s="4">
        <v>1</v>
      </c>
      <c r="E480" s="4">
        <v>225</v>
      </c>
      <c r="F480" s="4">
        <f>ROUND(Source!AV475,O480)</f>
        <v>3703.6</v>
      </c>
      <c r="G480" s="4" t="s">
        <v>42</v>
      </c>
      <c r="H480" s="4" t="s">
        <v>43</v>
      </c>
      <c r="I480" s="4"/>
      <c r="J480" s="4"/>
      <c r="K480" s="4">
        <v>225</v>
      </c>
      <c r="L480" s="4">
        <v>4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3703.6</v>
      </c>
      <c r="X480" s="4">
        <v>1</v>
      </c>
      <c r="Y480" s="4">
        <v>3703.6</v>
      </c>
      <c r="Z480" s="4"/>
      <c r="AA480" s="4"/>
      <c r="AB480" s="4"/>
    </row>
    <row r="481" spans="1:28" x14ac:dyDescent="0.2">
      <c r="A481" s="4">
        <v>50</v>
      </c>
      <c r="B481" s="4">
        <v>0</v>
      </c>
      <c r="C481" s="4">
        <v>0</v>
      </c>
      <c r="D481" s="4">
        <v>1</v>
      </c>
      <c r="E481" s="4">
        <v>226</v>
      </c>
      <c r="F481" s="4">
        <f>ROUND(Source!AW475,O481)</f>
        <v>3703.6</v>
      </c>
      <c r="G481" s="4" t="s">
        <v>44</v>
      </c>
      <c r="H481" s="4" t="s">
        <v>45</v>
      </c>
      <c r="I481" s="4"/>
      <c r="J481" s="4"/>
      <c r="K481" s="4">
        <v>226</v>
      </c>
      <c r="L481" s="4">
        <v>5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3703.6</v>
      </c>
      <c r="X481" s="4">
        <v>1</v>
      </c>
      <c r="Y481" s="4">
        <v>3703.6</v>
      </c>
      <c r="Z481" s="4"/>
      <c r="AA481" s="4"/>
      <c r="AB481" s="4"/>
    </row>
    <row r="482" spans="1:28" x14ac:dyDescent="0.2">
      <c r="A482" s="4">
        <v>50</v>
      </c>
      <c r="B482" s="4">
        <v>0</v>
      </c>
      <c r="C482" s="4">
        <v>0</v>
      </c>
      <c r="D482" s="4">
        <v>1</v>
      </c>
      <c r="E482" s="4">
        <v>227</v>
      </c>
      <c r="F482" s="4">
        <f>ROUND(Source!AX475,O482)</f>
        <v>0</v>
      </c>
      <c r="G482" s="4" t="s">
        <v>46</v>
      </c>
      <c r="H482" s="4" t="s">
        <v>47</v>
      </c>
      <c r="I482" s="4"/>
      <c r="J482" s="4"/>
      <c r="K482" s="4">
        <v>227</v>
      </c>
      <c r="L482" s="4">
        <v>6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8" x14ac:dyDescent="0.2">
      <c r="A483" s="4">
        <v>50</v>
      </c>
      <c r="B483" s="4">
        <v>0</v>
      </c>
      <c r="C483" s="4">
        <v>0</v>
      </c>
      <c r="D483" s="4">
        <v>1</v>
      </c>
      <c r="E483" s="4">
        <v>228</v>
      </c>
      <c r="F483" s="4">
        <f>ROUND(Source!AY475,O483)</f>
        <v>3703.6</v>
      </c>
      <c r="G483" s="4" t="s">
        <v>48</v>
      </c>
      <c r="H483" s="4" t="s">
        <v>49</v>
      </c>
      <c r="I483" s="4"/>
      <c r="J483" s="4"/>
      <c r="K483" s="4">
        <v>228</v>
      </c>
      <c r="L483" s="4">
        <v>7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3703.6</v>
      </c>
      <c r="X483" s="4">
        <v>1</v>
      </c>
      <c r="Y483" s="4">
        <v>3703.6</v>
      </c>
      <c r="Z483" s="4"/>
      <c r="AA483" s="4"/>
      <c r="AB483" s="4"/>
    </row>
    <row r="484" spans="1:28" x14ac:dyDescent="0.2">
      <c r="A484" s="4">
        <v>50</v>
      </c>
      <c r="B484" s="4">
        <v>0</v>
      </c>
      <c r="C484" s="4">
        <v>0</v>
      </c>
      <c r="D484" s="4">
        <v>1</v>
      </c>
      <c r="E484" s="4">
        <v>216</v>
      </c>
      <c r="F484" s="4">
        <f>ROUND(Source!AP475,O484)</f>
        <v>0</v>
      </c>
      <c r="G484" s="4" t="s">
        <v>50</v>
      </c>
      <c r="H484" s="4" t="s">
        <v>51</v>
      </c>
      <c r="I484" s="4"/>
      <c r="J484" s="4"/>
      <c r="K484" s="4">
        <v>216</v>
      </c>
      <c r="L484" s="4">
        <v>8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8" x14ac:dyDescent="0.2">
      <c r="A485" s="4">
        <v>50</v>
      </c>
      <c r="B485" s="4">
        <v>0</v>
      </c>
      <c r="C485" s="4">
        <v>0</v>
      </c>
      <c r="D485" s="4">
        <v>1</v>
      </c>
      <c r="E485" s="4">
        <v>223</v>
      </c>
      <c r="F485" s="4">
        <f>ROUND(Source!AQ475,O485)</f>
        <v>0</v>
      </c>
      <c r="G485" s="4" t="s">
        <v>52</v>
      </c>
      <c r="H485" s="4" t="s">
        <v>53</v>
      </c>
      <c r="I485" s="4"/>
      <c r="J485" s="4"/>
      <c r="K485" s="4">
        <v>223</v>
      </c>
      <c r="L485" s="4">
        <v>9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0</v>
      </c>
      <c r="X485" s="4">
        <v>1</v>
      </c>
      <c r="Y485" s="4">
        <v>0</v>
      </c>
      <c r="Z485" s="4"/>
      <c r="AA485" s="4"/>
      <c r="AB485" s="4"/>
    </row>
    <row r="486" spans="1:28" x14ac:dyDescent="0.2">
      <c r="A486" s="4">
        <v>50</v>
      </c>
      <c r="B486" s="4">
        <v>0</v>
      </c>
      <c r="C486" s="4">
        <v>0</v>
      </c>
      <c r="D486" s="4">
        <v>1</v>
      </c>
      <c r="E486" s="4">
        <v>229</v>
      </c>
      <c r="F486" s="4">
        <f>ROUND(Source!AZ475,O486)</f>
        <v>0</v>
      </c>
      <c r="G486" s="4" t="s">
        <v>54</v>
      </c>
      <c r="H486" s="4" t="s">
        <v>55</v>
      </c>
      <c r="I486" s="4"/>
      <c r="J486" s="4"/>
      <c r="K486" s="4">
        <v>229</v>
      </c>
      <c r="L486" s="4">
        <v>10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0</v>
      </c>
      <c r="X486" s="4">
        <v>1</v>
      </c>
      <c r="Y486" s="4">
        <v>0</v>
      </c>
      <c r="Z486" s="4"/>
      <c r="AA486" s="4"/>
      <c r="AB486" s="4"/>
    </row>
    <row r="487" spans="1:28" x14ac:dyDescent="0.2">
      <c r="A487" s="4">
        <v>50</v>
      </c>
      <c r="B487" s="4">
        <v>0</v>
      </c>
      <c r="C487" s="4">
        <v>0</v>
      </c>
      <c r="D487" s="4">
        <v>1</v>
      </c>
      <c r="E487" s="4">
        <v>203</v>
      </c>
      <c r="F487" s="4">
        <f>ROUND(Source!Q475,O487)</f>
        <v>15848.26</v>
      </c>
      <c r="G487" s="4" t="s">
        <v>56</v>
      </c>
      <c r="H487" s="4" t="s">
        <v>57</v>
      </c>
      <c r="I487" s="4"/>
      <c r="J487" s="4"/>
      <c r="K487" s="4">
        <v>203</v>
      </c>
      <c r="L487" s="4">
        <v>11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15848.26</v>
      </c>
      <c r="X487" s="4">
        <v>1</v>
      </c>
      <c r="Y487" s="4">
        <v>15848.26</v>
      </c>
      <c r="Z487" s="4"/>
      <c r="AA487" s="4"/>
      <c r="AB487" s="4"/>
    </row>
    <row r="488" spans="1:28" x14ac:dyDescent="0.2">
      <c r="A488" s="4">
        <v>50</v>
      </c>
      <c r="B488" s="4">
        <v>0</v>
      </c>
      <c r="C488" s="4">
        <v>0</v>
      </c>
      <c r="D488" s="4">
        <v>1</v>
      </c>
      <c r="E488" s="4">
        <v>231</v>
      </c>
      <c r="F488" s="4">
        <f>ROUND(Source!BB475,O488)</f>
        <v>0</v>
      </c>
      <c r="G488" s="4" t="s">
        <v>58</v>
      </c>
      <c r="H488" s="4" t="s">
        <v>59</v>
      </c>
      <c r="I488" s="4"/>
      <c r="J488" s="4"/>
      <c r="K488" s="4">
        <v>231</v>
      </c>
      <c r="L488" s="4">
        <v>12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0</v>
      </c>
      <c r="X488" s="4">
        <v>1</v>
      </c>
      <c r="Y488" s="4">
        <v>0</v>
      </c>
      <c r="Z488" s="4"/>
      <c r="AA488" s="4"/>
      <c r="AB488" s="4"/>
    </row>
    <row r="489" spans="1:28" x14ac:dyDescent="0.2">
      <c r="A489" s="4">
        <v>50</v>
      </c>
      <c r="B489" s="4">
        <v>0</v>
      </c>
      <c r="C489" s="4">
        <v>0</v>
      </c>
      <c r="D489" s="4">
        <v>1</v>
      </c>
      <c r="E489" s="4">
        <v>204</v>
      </c>
      <c r="F489" s="4">
        <f>ROUND(Source!R475,O489)</f>
        <v>10027.77</v>
      </c>
      <c r="G489" s="4" t="s">
        <v>60</v>
      </c>
      <c r="H489" s="4" t="s">
        <v>61</v>
      </c>
      <c r="I489" s="4"/>
      <c r="J489" s="4"/>
      <c r="K489" s="4">
        <v>204</v>
      </c>
      <c r="L489" s="4">
        <v>13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10027.77</v>
      </c>
      <c r="X489" s="4">
        <v>1</v>
      </c>
      <c r="Y489" s="4">
        <v>10027.77</v>
      </c>
      <c r="Z489" s="4"/>
      <c r="AA489" s="4"/>
      <c r="AB489" s="4"/>
    </row>
    <row r="490" spans="1:28" x14ac:dyDescent="0.2">
      <c r="A490" s="4">
        <v>50</v>
      </c>
      <c r="B490" s="4">
        <v>0</v>
      </c>
      <c r="C490" s="4">
        <v>0</v>
      </c>
      <c r="D490" s="4">
        <v>1</v>
      </c>
      <c r="E490" s="4">
        <v>205</v>
      </c>
      <c r="F490" s="4">
        <f>ROUND(Source!S475,O490)</f>
        <v>190654.97</v>
      </c>
      <c r="G490" s="4" t="s">
        <v>62</v>
      </c>
      <c r="H490" s="4" t="s">
        <v>63</v>
      </c>
      <c r="I490" s="4"/>
      <c r="J490" s="4"/>
      <c r="K490" s="4">
        <v>205</v>
      </c>
      <c r="L490" s="4">
        <v>14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190654.97</v>
      </c>
      <c r="X490" s="4">
        <v>1</v>
      </c>
      <c r="Y490" s="4">
        <v>190654.97</v>
      </c>
      <c r="Z490" s="4"/>
      <c r="AA490" s="4"/>
      <c r="AB490" s="4"/>
    </row>
    <row r="491" spans="1:28" x14ac:dyDescent="0.2">
      <c r="A491" s="4">
        <v>50</v>
      </c>
      <c r="B491" s="4">
        <v>0</v>
      </c>
      <c r="C491" s="4">
        <v>0</v>
      </c>
      <c r="D491" s="4">
        <v>1</v>
      </c>
      <c r="E491" s="4">
        <v>232</v>
      </c>
      <c r="F491" s="4">
        <f>ROUND(Source!BC475,O491)</f>
        <v>0</v>
      </c>
      <c r="G491" s="4" t="s">
        <v>64</v>
      </c>
      <c r="H491" s="4" t="s">
        <v>65</v>
      </c>
      <c r="I491" s="4"/>
      <c r="J491" s="4"/>
      <c r="K491" s="4">
        <v>232</v>
      </c>
      <c r="L491" s="4">
        <v>15</v>
      </c>
      <c r="M491" s="4">
        <v>3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0</v>
      </c>
      <c r="X491" s="4">
        <v>1</v>
      </c>
      <c r="Y491" s="4">
        <v>0</v>
      </c>
      <c r="Z491" s="4"/>
      <c r="AA491" s="4"/>
      <c r="AB491" s="4"/>
    </row>
    <row r="492" spans="1:28" x14ac:dyDescent="0.2">
      <c r="A492" s="4">
        <v>50</v>
      </c>
      <c r="B492" s="4">
        <v>0</v>
      </c>
      <c r="C492" s="4">
        <v>0</v>
      </c>
      <c r="D492" s="4">
        <v>1</v>
      </c>
      <c r="E492" s="4">
        <v>214</v>
      </c>
      <c r="F492" s="4">
        <f>ROUND(Source!AS475,O492)</f>
        <v>0</v>
      </c>
      <c r="G492" s="4" t="s">
        <v>66</v>
      </c>
      <c r="H492" s="4" t="s">
        <v>67</v>
      </c>
      <c r="I492" s="4"/>
      <c r="J492" s="4"/>
      <c r="K492" s="4">
        <v>214</v>
      </c>
      <c r="L492" s="4">
        <v>16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>
        <v>0</v>
      </c>
      <c r="X492" s="4">
        <v>1</v>
      </c>
      <c r="Y492" s="4">
        <v>0</v>
      </c>
      <c r="Z492" s="4"/>
      <c r="AA492" s="4"/>
      <c r="AB492" s="4"/>
    </row>
    <row r="493" spans="1:28" x14ac:dyDescent="0.2">
      <c r="A493" s="4">
        <v>50</v>
      </c>
      <c r="B493" s="4">
        <v>0</v>
      </c>
      <c r="C493" s="4">
        <v>0</v>
      </c>
      <c r="D493" s="4">
        <v>1</v>
      </c>
      <c r="E493" s="4">
        <v>215</v>
      </c>
      <c r="F493" s="4">
        <f>ROUND(Source!AT475,O493)</f>
        <v>0</v>
      </c>
      <c r="G493" s="4" t="s">
        <v>68</v>
      </c>
      <c r="H493" s="4" t="s">
        <v>69</v>
      </c>
      <c r="I493" s="4"/>
      <c r="J493" s="4"/>
      <c r="K493" s="4">
        <v>215</v>
      </c>
      <c r="L493" s="4">
        <v>17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0</v>
      </c>
      <c r="X493" s="4">
        <v>1</v>
      </c>
      <c r="Y493" s="4">
        <v>0</v>
      </c>
      <c r="Z493" s="4"/>
      <c r="AA493" s="4"/>
      <c r="AB493" s="4"/>
    </row>
    <row r="494" spans="1:28" x14ac:dyDescent="0.2">
      <c r="A494" s="4">
        <v>50</v>
      </c>
      <c r="B494" s="4">
        <v>0</v>
      </c>
      <c r="C494" s="4">
        <v>0</v>
      </c>
      <c r="D494" s="4">
        <v>1</v>
      </c>
      <c r="E494" s="4">
        <v>217</v>
      </c>
      <c r="F494" s="4">
        <f>ROUND(Source!AU475,O494)</f>
        <v>373560.86</v>
      </c>
      <c r="G494" s="4" t="s">
        <v>70</v>
      </c>
      <c r="H494" s="4" t="s">
        <v>71</v>
      </c>
      <c r="I494" s="4"/>
      <c r="J494" s="4"/>
      <c r="K494" s="4">
        <v>217</v>
      </c>
      <c r="L494" s="4">
        <v>18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373560.86</v>
      </c>
      <c r="X494" s="4">
        <v>1</v>
      </c>
      <c r="Y494" s="4">
        <v>373560.86</v>
      </c>
      <c r="Z494" s="4"/>
      <c r="AA494" s="4"/>
      <c r="AB494" s="4"/>
    </row>
    <row r="495" spans="1:28" x14ac:dyDescent="0.2">
      <c r="A495" s="4">
        <v>50</v>
      </c>
      <c r="B495" s="4">
        <v>0</v>
      </c>
      <c r="C495" s="4">
        <v>0</v>
      </c>
      <c r="D495" s="4">
        <v>1</v>
      </c>
      <c r="E495" s="4">
        <v>230</v>
      </c>
      <c r="F495" s="4">
        <f>ROUND(Source!BA475,O495)</f>
        <v>0</v>
      </c>
      <c r="G495" s="4" t="s">
        <v>72</v>
      </c>
      <c r="H495" s="4" t="s">
        <v>73</v>
      </c>
      <c r="I495" s="4"/>
      <c r="J495" s="4"/>
      <c r="K495" s="4">
        <v>230</v>
      </c>
      <c r="L495" s="4">
        <v>19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0</v>
      </c>
      <c r="X495" s="4">
        <v>1</v>
      </c>
      <c r="Y495" s="4">
        <v>0</v>
      </c>
      <c r="Z495" s="4"/>
      <c r="AA495" s="4"/>
      <c r="AB495" s="4"/>
    </row>
    <row r="496" spans="1:28" x14ac:dyDescent="0.2">
      <c r="A496" s="4">
        <v>50</v>
      </c>
      <c r="B496" s="4">
        <v>0</v>
      </c>
      <c r="C496" s="4">
        <v>0</v>
      </c>
      <c r="D496" s="4">
        <v>1</v>
      </c>
      <c r="E496" s="4">
        <v>206</v>
      </c>
      <c r="F496" s="4">
        <f>ROUND(Source!T475,O496)</f>
        <v>0</v>
      </c>
      <c r="G496" s="4" t="s">
        <v>74</v>
      </c>
      <c r="H496" s="4" t="s">
        <v>75</v>
      </c>
      <c r="I496" s="4"/>
      <c r="J496" s="4"/>
      <c r="K496" s="4">
        <v>206</v>
      </c>
      <c r="L496" s="4">
        <v>20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0</v>
      </c>
      <c r="X496" s="4">
        <v>1</v>
      </c>
      <c r="Y496" s="4">
        <v>0</v>
      </c>
      <c r="Z496" s="4"/>
      <c r="AA496" s="4"/>
      <c r="AB496" s="4"/>
    </row>
    <row r="497" spans="1:206" x14ac:dyDescent="0.2">
      <c r="A497" s="4">
        <v>50</v>
      </c>
      <c r="B497" s="4">
        <v>0</v>
      </c>
      <c r="C497" s="4">
        <v>0</v>
      </c>
      <c r="D497" s="4">
        <v>1</v>
      </c>
      <c r="E497" s="4">
        <v>207</v>
      </c>
      <c r="F497" s="4">
        <f>Source!U475</f>
        <v>302.91843999999998</v>
      </c>
      <c r="G497" s="4" t="s">
        <v>76</v>
      </c>
      <c r="H497" s="4" t="s">
        <v>77</v>
      </c>
      <c r="I497" s="4"/>
      <c r="J497" s="4"/>
      <c r="K497" s="4">
        <v>207</v>
      </c>
      <c r="L497" s="4">
        <v>21</v>
      </c>
      <c r="M497" s="4">
        <v>3</v>
      </c>
      <c r="N497" s="4" t="s">
        <v>3</v>
      </c>
      <c r="O497" s="4">
        <v>-1</v>
      </c>
      <c r="P497" s="4"/>
      <c r="Q497" s="4"/>
      <c r="R497" s="4"/>
      <c r="S497" s="4"/>
      <c r="T497" s="4"/>
      <c r="U497" s="4"/>
      <c r="V497" s="4"/>
      <c r="W497" s="4">
        <v>302.91844000000026</v>
      </c>
      <c r="X497" s="4">
        <v>1</v>
      </c>
      <c r="Y497" s="4">
        <v>302.91844000000026</v>
      </c>
      <c r="Z497" s="4"/>
      <c r="AA497" s="4"/>
      <c r="AB497" s="4"/>
    </row>
    <row r="498" spans="1:206" x14ac:dyDescent="0.2">
      <c r="A498" s="4">
        <v>50</v>
      </c>
      <c r="B498" s="4">
        <v>0</v>
      </c>
      <c r="C498" s="4">
        <v>0</v>
      </c>
      <c r="D498" s="4">
        <v>1</v>
      </c>
      <c r="E498" s="4">
        <v>208</v>
      </c>
      <c r="F498" s="4">
        <f>Source!V475</f>
        <v>0</v>
      </c>
      <c r="G498" s="4" t="s">
        <v>78</v>
      </c>
      <c r="H498" s="4" t="s">
        <v>79</v>
      </c>
      <c r="I498" s="4"/>
      <c r="J498" s="4"/>
      <c r="K498" s="4">
        <v>208</v>
      </c>
      <c r="L498" s="4">
        <v>22</v>
      </c>
      <c r="M498" s="4">
        <v>3</v>
      </c>
      <c r="N498" s="4" t="s">
        <v>3</v>
      </c>
      <c r="O498" s="4">
        <v>-1</v>
      </c>
      <c r="P498" s="4"/>
      <c r="Q498" s="4"/>
      <c r="R498" s="4"/>
      <c r="S498" s="4"/>
      <c r="T498" s="4"/>
      <c r="U498" s="4"/>
      <c r="V498" s="4"/>
      <c r="W498" s="4">
        <v>0</v>
      </c>
      <c r="X498" s="4">
        <v>1</v>
      </c>
      <c r="Y498" s="4">
        <v>0</v>
      </c>
      <c r="Z498" s="4"/>
      <c r="AA498" s="4"/>
      <c r="AB498" s="4"/>
    </row>
    <row r="499" spans="1:206" x14ac:dyDescent="0.2">
      <c r="A499" s="4">
        <v>50</v>
      </c>
      <c r="B499" s="4">
        <v>0</v>
      </c>
      <c r="C499" s="4">
        <v>0</v>
      </c>
      <c r="D499" s="4">
        <v>1</v>
      </c>
      <c r="E499" s="4">
        <v>209</v>
      </c>
      <c r="F499" s="4">
        <f>ROUND(Source!W475,O499)</f>
        <v>0</v>
      </c>
      <c r="G499" s="4" t="s">
        <v>80</v>
      </c>
      <c r="H499" s="4" t="s">
        <v>81</v>
      </c>
      <c r="I499" s="4"/>
      <c r="J499" s="4"/>
      <c r="K499" s="4">
        <v>209</v>
      </c>
      <c r="L499" s="4">
        <v>23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0</v>
      </c>
      <c r="X499" s="4">
        <v>1</v>
      </c>
      <c r="Y499" s="4">
        <v>0</v>
      </c>
      <c r="Z499" s="4"/>
      <c r="AA499" s="4"/>
      <c r="AB499" s="4"/>
    </row>
    <row r="500" spans="1:206" x14ac:dyDescent="0.2">
      <c r="A500" s="4">
        <v>50</v>
      </c>
      <c r="B500" s="4">
        <v>0</v>
      </c>
      <c r="C500" s="4">
        <v>0</v>
      </c>
      <c r="D500" s="4">
        <v>1</v>
      </c>
      <c r="E500" s="4">
        <v>233</v>
      </c>
      <c r="F500" s="4">
        <f>ROUND(Source!BD475,O500)</f>
        <v>0</v>
      </c>
      <c r="G500" s="4" t="s">
        <v>82</v>
      </c>
      <c r="H500" s="4" t="s">
        <v>83</v>
      </c>
      <c r="I500" s="4"/>
      <c r="J500" s="4"/>
      <c r="K500" s="4">
        <v>233</v>
      </c>
      <c r="L500" s="4">
        <v>24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0</v>
      </c>
      <c r="X500" s="4">
        <v>1</v>
      </c>
      <c r="Y500" s="4">
        <v>0</v>
      </c>
      <c r="Z500" s="4"/>
      <c r="AA500" s="4"/>
      <c r="AB500" s="4"/>
    </row>
    <row r="501" spans="1:206" x14ac:dyDescent="0.2">
      <c r="A501" s="4">
        <v>50</v>
      </c>
      <c r="B501" s="4">
        <v>0</v>
      </c>
      <c r="C501" s="4">
        <v>0</v>
      </c>
      <c r="D501" s="4">
        <v>1</v>
      </c>
      <c r="E501" s="4">
        <v>210</v>
      </c>
      <c r="F501" s="4">
        <f>ROUND(Source!X475,O501)</f>
        <v>133458.53</v>
      </c>
      <c r="G501" s="4" t="s">
        <v>84</v>
      </c>
      <c r="H501" s="4" t="s">
        <v>85</v>
      </c>
      <c r="I501" s="4"/>
      <c r="J501" s="4"/>
      <c r="K501" s="4">
        <v>210</v>
      </c>
      <c r="L501" s="4">
        <v>25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133458.53</v>
      </c>
      <c r="X501" s="4">
        <v>1</v>
      </c>
      <c r="Y501" s="4">
        <v>133458.53</v>
      </c>
      <c r="Z501" s="4"/>
      <c r="AA501" s="4"/>
      <c r="AB501" s="4"/>
    </row>
    <row r="502" spans="1:206" x14ac:dyDescent="0.2">
      <c r="A502" s="4">
        <v>50</v>
      </c>
      <c r="B502" s="4">
        <v>0</v>
      </c>
      <c r="C502" s="4">
        <v>0</v>
      </c>
      <c r="D502" s="4">
        <v>1</v>
      </c>
      <c r="E502" s="4">
        <v>211</v>
      </c>
      <c r="F502" s="4">
        <f>ROUND(Source!Y475,O502)</f>
        <v>19065.52</v>
      </c>
      <c r="G502" s="4" t="s">
        <v>86</v>
      </c>
      <c r="H502" s="4" t="s">
        <v>87</v>
      </c>
      <c r="I502" s="4"/>
      <c r="J502" s="4"/>
      <c r="K502" s="4">
        <v>211</v>
      </c>
      <c r="L502" s="4">
        <v>26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>
        <v>19065.52</v>
      </c>
      <c r="X502" s="4">
        <v>1</v>
      </c>
      <c r="Y502" s="4">
        <v>19065.52</v>
      </c>
      <c r="Z502" s="4"/>
      <c r="AA502" s="4"/>
      <c r="AB502" s="4"/>
    </row>
    <row r="503" spans="1:206" x14ac:dyDescent="0.2">
      <c r="A503" s="4">
        <v>50</v>
      </c>
      <c r="B503" s="4">
        <v>0</v>
      </c>
      <c r="C503" s="4">
        <v>0</v>
      </c>
      <c r="D503" s="4">
        <v>1</v>
      </c>
      <c r="E503" s="4">
        <v>224</v>
      </c>
      <c r="F503" s="4">
        <f>ROUND(Source!AR475,O503)</f>
        <v>373560.86</v>
      </c>
      <c r="G503" s="4" t="s">
        <v>88</v>
      </c>
      <c r="H503" s="4" t="s">
        <v>89</v>
      </c>
      <c r="I503" s="4"/>
      <c r="J503" s="4"/>
      <c r="K503" s="4">
        <v>224</v>
      </c>
      <c r="L503" s="4">
        <v>27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>
        <v>373560.86</v>
      </c>
      <c r="X503" s="4">
        <v>1</v>
      </c>
      <c r="Y503" s="4">
        <v>373560.86</v>
      </c>
      <c r="Z503" s="4"/>
      <c r="AA503" s="4"/>
      <c r="AB503" s="4"/>
    </row>
    <row r="505" spans="1:206" x14ac:dyDescent="0.2">
      <c r="A505" s="1">
        <v>4</v>
      </c>
      <c r="B505" s="1">
        <v>1</v>
      </c>
      <c r="C505" s="1"/>
      <c r="D505" s="1">
        <f>ROW(A696)</f>
        <v>696</v>
      </c>
      <c r="E505" s="1"/>
      <c r="F505" s="1" t="s">
        <v>13</v>
      </c>
      <c r="G505" s="1" t="s">
        <v>382</v>
      </c>
      <c r="H505" s="1" t="s">
        <v>3</v>
      </c>
      <c r="I505" s="1">
        <v>0</v>
      </c>
      <c r="J505" s="1"/>
      <c r="K505" s="1">
        <v>-1</v>
      </c>
      <c r="L505" s="1"/>
      <c r="M505" s="1" t="s">
        <v>3</v>
      </c>
      <c r="N505" s="1"/>
      <c r="O505" s="1"/>
      <c r="P505" s="1"/>
      <c r="Q505" s="1"/>
      <c r="R505" s="1"/>
      <c r="S505" s="1">
        <v>0</v>
      </c>
      <c r="T505" s="1"/>
      <c r="U505" s="1" t="s">
        <v>3</v>
      </c>
      <c r="V505" s="1">
        <v>0</v>
      </c>
      <c r="W505" s="1"/>
      <c r="X505" s="1"/>
      <c r="Y505" s="1"/>
      <c r="Z505" s="1"/>
      <c r="AA505" s="1"/>
      <c r="AB505" s="1" t="s">
        <v>3</v>
      </c>
      <c r="AC505" s="1" t="s">
        <v>3</v>
      </c>
      <c r="AD505" s="1" t="s">
        <v>3</v>
      </c>
      <c r="AE505" s="1" t="s">
        <v>3</v>
      </c>
      <c r="AF505" s="1" t="s">
        <v>3</v>
      </c>
      <c r="AG505" s="1" t="s">
        <v>3</v>
      </c>
      <c r="AH505" s="1"/>
      <c r="AI505" s="1"/>
      <c r="AJ505" s="1"/>
      <c r="AK505" s="1"/>
      <c r="AL505" s="1"/>
      <c r="AM505" s="1"/>
      <c r="AN505" s="1"/>
      <c r="AO505" s="1"/>
      <c r="AP505" s="1" t="s">
        <v>3</v>
      </c>
      <c r="AQ505" s="1" t="s">
        <v>3</v>
      </c>
      <c r="AR505" s="1" t="s">
        <v>3</v>
      </c>
      <c r="AS505" s="1"/>
      <c r="AT505" s="1"/>
      <c r="AU505" s="1"/>
      <c r="AV505" s="1"/>
      <c r="AW505" s="1"/>
      <c r="AX505" s="1"/>
      <c r="AY505" s="1"/>
      <c r="AZ505" s="1" t="s">
        <v>3</v>
      </c>
      <c r="BA505" s="1"/>
      <c r="BB505" s="1" t="s">
        <v>3</v>
      </c>
      <c r="BC505" s="1" t="s">
        <v>3</v>
      </c>
      <c r="BD505" s="1" t="s">
        <v>3</v>
      </c>
      <c r="BE505" s="1" t="s">
        <v>3</v>
      </c>
      <c r="BF505" s="1" t="s">
        <v>3</v>
      </c>
      <c r="BG505" s="1" t="s">
        <v>3</v>
      </c>
      <c r="BH505" s="1" t="s">
        <v>3</v>
      </c>
      <c r="BI505" s="1" t="s">
        <v>3</v>
      </c>
      <c r="BJ505" s="1" t="s">
        <v>3</v>
      </c>
      <c r="BK505" s="1" t="s">
        <v>3</v>
      </c>
      <c r="BL505" s="1" t="s">
        <v>3</v>
      </c>
      <c r="BM505" s="1" t="s">
        <v>3</v>
      </c>
      <c r="BN505" s="1" t="s">
        <v>3</v>
      </c>
      <c r="BO505" s="1" t="s">
        <v>3</v>
      </c>
      <c r="BP505" s="1" t="s">
        <v>3</v>
      </c>
      <c r="BQ505" s="1"/>
      <c r="BR505" s="1"/>
      <c r="BS505" s="1"/>
      <c r="BT505" s="1"/>
      <c r="BU505" s="1"/>
      <c r="BV505" s="1"/>
      <c r="BW505" s="1"/>
      <c r="BX505" s="1">
        <v>0</v>
      </c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>
        <v>0</v>
      </c>
    </row>
    <row r="507" spans="1:206" x14ac:dyDescent="0.2">
      <c r="A507" s="2">
        <v>52</v>
      </c>
      <c r="B507" s="2">
        <f t="shared" ref="B507:G507" si="457">B696</f>
        <v>1</v>
      </c>
      <c r="C507" s="2">
        <f t="shared" si="457"/>
        <v>4</v>
      </c>
      <c r="D507" s="2">
        <f t="shared" si="457"/>
        <v>505</v>
      </c>
      <c r="E507" s="2">
        <f t="shared" si="457"/>
        <v>0</v>
      </c>
      <c r="F507" s="2" t="str">
        <f t="shared" si="457"/>
        <v>Новый раздел</v>
      </c>
      <c r="G507" s="2" t="str">
        <f t="shared" si="457"/>
        <v>3. Вентиляция и кондиционирование</v>
      </c>
      <c r="H507" s="2"/>
      <c r="I507" s="2"/>
      <c r="J507" s="2"/>
      <c r="K507" s="2"/>
      <c r="L507" s="2"/>
      <c r="M507" s="2"/>
      <c r="N507" s="2"/>
      <c r="O507" s="2">
        <f t="shared" ref="O507:AT507" si="458">O696</f>
        <v>290845.90999999997</v>
      </c>
      <c r="P507" s="2">
        <f t="shared" si="458"/>
        <v>6910.81</v>
      </c>
      <c r="Q507" s="2">
        <f t="shared" si="458"/>
        <v>18807.009999999998</v>
      </c>
      <c r="R507" s="2">
        <f t="shared" si="458"/>
        <v>11728.44</v>
      </c>
      <c r="S507" s="2">
        <f t="shared" si="458"/>
        <v>265128.09000000003</v>
      </c>
      <c r="T507" s="2">
        <f t="shared" si="458"/>
        <v>0</v>
      </c>
      <c r="U507" s="2">
        <f t="shared" si="458"/>
        <v>402.90500000000003</v>
      </c>
      <c r="V507" s="2">
        <f t="shared" si="458"/>
        <v>0</v>
      </c>
      <c r="W507" s="2">
        <f t="shared" si="458"/>
        <v>0</v>
      </c>
      <c r="X507" s="2">
        <f t="shared" si="458"/>
        <v>185589.68</v>
      </c>
      <c r="Y507" s="2">
        <f t="shared" si="458"/>
        <v>26512.799999999999</v>
      </c>
      <c r="Z507" s="2">
        <f t="shared" si="458"/>
        <v>0</v>
      </c>
      <c r="AA507" s="2">
        <f t="shared" si="458"/>
        <v>0</v>
      </c>
      <c r="AB507" s="2">
        <f t="shared" si="458"/>
        <v>0</v>
      </c>
      <c r="AC507" s="2">
        <f t="shared" si="458"/>
        <v>0</v>
      </c>
      <c r="AD507" s="2">
        <f t="shared" si="458"/>
        <v>0</v>
      </c>
      <c r="AE507" s="2">
        <f t="shared" si="458"/>
        <v>0</v>
      </c>
      <c r="AF507" s="2">
        <f t="shared" si="458"/>
        <v>0</v>
      </c>
      <c r="AG507" s="2">
        <f t="shared" si="458"/>
        <v>0</v>
      </c>
      <c r="AH507" s="2">
        <f t="shared" si="458"/>
        <v>0</v>
      </c>
      <c r="AI507" s="2">
        <f t="shared" si="458"/>
        <v>0</v>
      </c>
      <c r="AJ507" s="2">
        <f t="shared" si="458"/>
        <v>0</v>
      </c>
      <c r="AK507" s="2">
        <f t="shared" si="458"/>
        <v>0</v>
      </c>
      <c r="AL507" s="2">
        <f t="shared" si="458"/>
        <v>0</v>
      </c>
      <c r="AM507" s="2">
        <f t="shared" si="458"/>
        <v>0</v>
      </c>
      <c r="AN507" s="2">
        <f t="shared" si="458"/>
        <v>0</v>
      </c>
      <c r="AO507" s="2">
        <f t="shared" si="458"/>
        <v>0</v>
      </c>
      <c r="AP507" s="2">
        <f t="shared" si="458"/>
        <v>0</v>
      </c>
      <c r="AQ507" s="2">
        <f t="shared" si="458"/>
        <v>0</v>
      </c>
      <c r="AR507" s="2">
        <f t="shared" si="458"/>
        <v>515615.1</v>
      </c>
      <c r="AS507" s="2">
        <f t="shared" si="458"/>
        <v>0</v>
      </c>
      <c r="AT507" s="2">
        <f t="shared" si="458"/>
        <v>0</v>
      </c>
      <c r="AU507" s="2">
        <f t="shared" ref="AU507:BZ507" si="459">AU696</f>
        <v>515615.1</v>
      </c>
      <c r="AV507" s="2">
        <f t="shared" si="459"/>
        <v>6910.81</v>
      </c>
      <c r="AW507" s="2">
        <f t="shared" si="459"/>
        <v>6910.81</v>
      </c>
      <c r="AX507" s="2">
        <f t="shared" si="459"/>
        <v>0</v>
      </c>
      <c r="AY507" s="2">
        <f t="shared" si="459"/>
        <v>6910.81</v>
      </c>
      <c r="AZ507" s="2">
        <f t="shared" si="459"/>
        <v>0</v>
      </c>
      <c r="BA507" s="2">
        <f t="shared" si="459"/>
        <v>0</v>
      </c>
      <c r="BB507" s="2">
        <f t="shared" si="459"/>
        <v>0</v>
      </c>
      <c r="BC507" s="2">
        <f t="shared" si="459"/>
        <v>0</v>
      </c>
      <c r="BD507" s="2">
        <f t="shared" si="459"/>
        <v>0</v>
      </c>
      <c r="BE507" s="2">
        <f t="shared" si="459"/>
        <v>0</v>
      </c>
      <c r="BF507" s="2">
        <f t="shared" si="459"/>
        <v>0</v>
      </c>
      <c r="BG507" s="2">
        <f t="shared" si="459"/>
        <v>0</v>
      </c>
      <c r="BH507" s="2">
        <f t="shared" si="459"/>
        <v>0</v>
      </c>
      <c r="BI507" s="2">
        <f t="shared" si="459"/>
        <v>0</v>
      </c>
      <c r="BJ507" s="2">
        <f t="shared" si="459"/>
        <v>0</v>
      </c>
      <c r="BK507" s="2">
        <f t="shared" si="459"/>
        <v>0</v>
      </c>
      <c r="BL507" s="2">
        <f t="shared" si="459"/>
        <v>0</v>
      </c>
      <c r="BM507" s="2">
        <f t="shared" si="459"/>
        <v>0</v>
      </c>
      <c r="BN507" s="2">
        <f t="shared" si="459"/>
        <v>0</v>
      </c>
      <c r="BO507" s="2">
        <f t="shared" si="459"/>
        <v>0</v>
      </c>
      <c r="BP507" s="2">
        <f t="shared" si="459"/>
        <v>0</v>
      </c>
      <c r="BQ507" s="2">
        <f t="shared" si="459"/>
        <v>0</v>
      </c>
      <c r="BR507" s="2">
        <f t="shared" si="459"/>
        <v>0</v>
      </c>
      <c r="BS507" s="2">
        <f t="shared" si="459"/>
        <v>0</v>
      </c>
      <c r="BT507" s="2">
        <f t="shared" si="459"/>
        <v>0</v>
      </c>
      <c r="BU507" s="2">
        <f t="shared" si="459"/>
        <v>0</v>
      </c>
      <c r="BV507" s="2">
        <f t="shared" si="459"/>
        <v>0</v>
      </c>
      <c r="BW507" s="2">
        <f t="shared" si="459"/>
        <v>0</v>
      </c>
      <c r="BX507" s="2">
        <f t="shared" si="459"/>
        <v>0</v>
      </c>
      <c r="BY507" s="2">
        <f t="shared" si="459"/>
        <v>0</v>
      </c>
      <c r="BZ507" s="2">
        <f t="shared" si="459"/>
        <v>0</v>
      </c>
      <c r="CA507" s="2">
        <f t="shared" ref="CA507:DF507" si="460">CA696</f>
        <v>0</v>
      </c>
      <c r="CB507" s="2">
        <f t="shared" si="460"/>
        <v>0</v>
      </c>
      <c r="CC507" s="2">
        <f t="shared" si="460"/>
        <v>0</v>
      </c>
      <c r="CD507" s="2">
        <f t="shared" si="460"/>
        <v>0</v>
      </c>
      <c r="CE507" s="2">
        <f t="shared" si="460"/>
        <v>0</v>
      </c>
      <c r="CF507" s="2">
        <f t="shared" si="460"/>
        <v>0</v>
      </c>
      <c r="CG507" s="2">
        <f t="shared" si="460"/>
        <v>0</v>
      </c>
      <c r="CH507" s="2">
        <f t="shared" si="460"/>
        <v>0</v>
      </c>
      <c r="CI507" s="2">
        <f t="shared" si="460"/>
        <v>0</v>
      </c>
      <c r="CJ507" s="2">
        <f t="shared" si="460"/>
        <v>0</v>
      </c>
      <c r="CK507" s="2">
        <f t="shared" si="460"/>
        <v>0</v>
      </c>
      <c r="CL507" s="2">
        <f t="shared" si="460"/>
        <v>0</v>
      </c>
      <c r="CM507" s="2">
        <f t="shared" si="460"/>
        <v>0</v>
      </c>
      <c r="CN507" s="2">
        <f t="shared" si="460"/>
        <v>0</v>
      </c>
      <c r="CO507" s="2">
        <f t="shared" si="460"/>
        <v>0</v>
      </c>
      <c r="CP507" s="2">
        <f t="shared" si="460"/>
        <v>0</v>
      </c>
      <c r="CQ507" s="2">
        <f t="shared" si="460"/>
        <v>0</v>
      </c>
      <c r="CR507" s="2">
        <f t="shared" si="460"/>
        <v>0</v>
      </c>
      <c r="CS507" s="2">
        <f t="shared" si="460"/>
        <v>0</v>
      </c>
      <c r="CT507" s="2">
        <f t="shared" si="460"/>
        <v>0</v>
      </c>
      <c r="CU507" s="2">
        <f t="shared" si="460"/>
        <v>0</v>
      </c>
      <c r="CV507" s="2">
        <f t="shared" si="460"/>
        <v>0</v>
      </c>
      <c r="CW507" s="2">
        <f t="shared" si="460"/>
        <v>0</v>
      </c>
      <c r="CX507" s="2">
        <f t="shared" si="460"/>
        <v>0</v>
      </c>
      <c r="CY507" s="2">
        <f t="shared" si="460"/>
        <v>0</v>
      </c>
      <c r="CZ507" s="2">
        <f t="shared" si="460"/>
        <v>0</v>
      </c>
      <c r="DA507" s="2">
        <f t="shared" si="460"/>
        <v>0</v>
      </c>
      <c r="DB507" s="2">
        <f t="shared" si="460"/>
        <v>0</v>
      </c>
      <c r="DC507" s="2">
        <f t="shared" si="460"/>
        <v>0</v>
      </c>
      <c r="DD507" s="2">
        <f t="shared" si="460"/>
        <v>0</v>
      </c>
      <c r="DE507" s="2">
        <f t="shared" si="460"/>
        <v>0</v>
      </c>
      <c r="DF507" s="2">
        <f t="shared" si="460"/>
        <v>0</v>
      </c>
      <c r="DG507" s="3">
        <f t="shared" ref="DG507:EL507" si="461">DG696</f>
        <v>0</v>
      </c>
      <c r="DH507" s="3">
        <f t="shared" si="461"/>
        <v>0</v>
      </c>
      <c r="DI507" s="3">
        <f t="shared" si="461"/>
        <v>0</v>
      </c>
      <c r="DJ507" s="3">
        <f t="shared" si="461"/>
        <v>0</v>
      </c>
      <c r="DK507" s="3">
        <f t="shared" si="461"/>
        <v>0</v>
      </c>
      <c r="DL507" s="3">
        <f t="shared" si="461"/>
        <v>0</v>
      </c>
      <c r="DM507" s="3">
        <f t="shared" si="461"/>
        <v>0</v>
      </c>
      <c r="DN507" s="3">
        <f t="shared" si="461"/>
        <v>0</v>
      </c>
      <c r="DO507" s="3">
        <f t="shared" si="461"/>
        <v>0</v>
      </c>
      <c r="DP507" s="3">
        <f t="shared" si="461"/>
        <v>0</v>
      </c>
      <c r="DQ507" s="3">
        <f t="shared" si="461"/>
        <v>0</v>
      </c>
      <c r="DR507" s="3">
        <f t="shared" si="461"/>
        <v>0</v>
      </c>
      <c r="DS507" s="3">
        <f t="shared" si="461"/>
        <v>0</v>
      </c>
      <c r="DT507" s="3">
        <f t="shared" si="461"/>
        <v>0</v>
      </c>
      <c r="DU507" s="3">
        <f t="shared" si="461"/>
        <v>0</v>
      </c>
      <c r="DV507" s="3">
        <f t="shared" si="461"/>
        <v>0</v>
      </c>
      <c r="DW507" s="3">
        <f t="shared" si="461"/>
        <v>0</v>
      </c>
      <c r="DX507" s="3">
        <f t="shared" si="461"/>
        <v>0</v>
      </c>
      <c r="DY507" s="3">
        <f t="shared" si="461"/>
        <v>0</v>
      </c>
      <c r="DZ507" s="3">
        <f t="shared" si="461"/>
        <v>0</v>
      </c>
      <c r="EA507" s="3">
        <f t="shared" si="461"/>
        <v>0</v>
      </c>
      <c r="EB507" s="3">
        <f t="shared" si="461"/>
        <v>0</v>
      </c>
      <c r="EC507" s="3">
        <f t="shared" si="461"/>
        <v>0</v>
      </c>
      <c r="ED507" s="3">
        <f t="shared" si="461"/>
        <v>0</v>
      </c>
      <c r="EE507" s="3">
        <f t="shared" si="461"/>
        <v>0</v>
      </c>
      <c r="EF507" s="3">
        <f t="shared" si="461"/>
        <v>0</v>
      </c>
      <c r="EG507" s="3">
        <f t="shared" si="461"/>
        <v>0</v>
      </c>
      <c r="EH507" s="3">
        <f t="shared" si="461"/>
        <v>0</v>
      </c>
      <c r="EI507" s="3">
        <f t="shared" si="461"/>
        <v>0</v>
      </c>
      <c r="EJ507" s="3">
        <f t="shared" si="461"/>
        <v>0</v>
      </c>
      <c r="EK507" s="3">
        <f t="shared" si="461"/>
        <v>0</v>
      </c>
      <c r="EL507" s="3">
        <f t="shared" si="461"/>
        <v>0</v>
      </c>
      <c r="EM507" s="3">
        <f t="shared" ref="EM507:FR507" si="462">EM696</f>
        <v>0</v>
      </c>
      <c r="EN507" s="3">
        <f t="shared" si="462"/>
        <v>0</v>
      </c>
      <c r="EO507" s="3">
        <f t="shared" si="462"/>
        <v>0</v>
      </c>
      <c r="EP507" s="3">
        <f t="shared" si="462"/>
        <v>0</v>
      </c>
      <c r="EQ507" s="3">
        <f t="shared" si="462"/>
        <v>0</v>
      </c>
      <c r="ER507" s="3">
        <f t="shared" si="462"/>
        <v>0</v>
      </c>
      <c r="ES507" s="3">
        <f t="shared" si="462"/>
        <v>0</v>
      </c>
      <c r="ET507" s="3">
        <f t="shared" si="462"/>
        <v>0</v>
      </c>
      <c r="EU507" s="3">
        <f t="shared" si="462"/>
        <v>0</v>
      </c>
      <c r="EV507" s="3">
        <f t="shared" si="462"/>
        <v>0</v>
      </c>
      <c r="EW507" s="3">
        <f t="shared" si="462"/>
        <v>0</v>
      </c>
      <c r="EX507" s="3">
        <f t="shared" si="462"/>
        <v>0</v>
      </c>
      <c r="EY507" s="3">
        <f t="shared" si="462"/>
        <v>0</v>
      </c>
      <c r="EZ507" s="3">
        <f t="shared" si="462"/>
        <v>0</v>
      </c>
      <c r="FA507" s="3">
        <f t="shared" si="462"/>
        <v>0</v>
      </c>
      <c r="FB507" s="3">
        <f t="shared" si="462"/>
        <v>0</v>
      </c>
      <c r="FC507" s="3">
        <f t="shared" si="462"/>
        <v>0</v>
      </c>
      <c r="FD507" s="3">
        <f t="shared" si="462"/>
        <v>0</v>
      </c>
      <c r="FE507" s="3">
        <f t="shared" si="462"/>
        <v>0</v>
      </c>
      <c r="FF507" s="3">
        <f t="shared" si="462"/>
        <v>0</v>
      </c>
      <c r="FG507" s="3">
        <f t="shared" si="462"/>
        <v>0</v>
      </c>
      <c r="FH507" s="3">
        <f t="shared" si="462"/>
        <v>0</v>
      </c>
      <c r="FI507" s="3">
        <f t="shared" si="462"/>
        <v>0</v>
      </c>
      <c r="FJ507" s="3">
        <f t="shared" si="462"/>
        <v>0</v>
      </c>
      <c r="FK507" s="3">
        <f t="shared" si="462"/>
        <v>0</v>
      </c>
      <c r="FL507" s="3">
        <f t="shared" si="462"/>
        <v>0</v>
      </c>
      <c r="FM507" s="3">
        <f t="shared" si="462"/>
        <v>0</v>
      </c>
      <c r="FN507" s="3">
        <f t="shared" si="462"/>
        <v>0</v>
      </c>
      <c r="FO507" s="3">
        <f t="shared" si="462"/>
        <v>0</v>
      </c>
      <c r="FP507" s="3">
        <f t="shared" si="462"/>
        <v>0</v>
      </c>
      <c r="FQ507" s="3">
        <f t="shared" si="462"/>
        <v>0</v>
      </c>
      <c r="FR507" s="3">
        <f t="shared" si="462"/>
        <v>0</v>
      </c>
      <c r="FS507" s="3">
        <f t="shared" ref="FS507:GX507" si="463">FS696</f>
        <v>0</v>
      </c>
      <c r="FT507" s="3">
        <f t="shared" si="463"/>
        <v>0</v>
      </c>
      <c r="FU507" s="3">
        <f t="shared" si="463"/>
        <v>0</v>
      </c>
      <c r="FV507" s="3">
        <f t="shared" si="463"/>
        <v>0</v>
      </c>
      <c r="FW507" s="3">
        <f t="shared" si="463"/>
        <v>0</v>
      </c>
      <c r="FX507" s="3">
        <f t="shared" si="463"/>
        <v>0</v>
      </c>
      <c r="FY507" s="3">
        <f t="shared" si="463"/>
        <v>0</v>
      </c>
      <c r="FZ507" s="3">
        <f t="shared" si="463"/>
        <v>0</v>
      </c>
      <c r="GA507" s="3">
        <f t="shared" si="463"/>
        <v>0</v>
      </c>
      <c r="GB507" s="3">
        <f t="shared" si="463"/>
        <v>0</v>
      </c>
      <c r="GC507" s="3">
        <f t="shared" si="463"/>
        <v>0</v>
      </c>
      <c r="GD507" s="3">
        <f t="shared" si="463"/>
        <v>0</v>
      </c>
      <c r="GE507" s="3">
        <f t="shared" si="463"/>
        <v>0</v>
      </c>
      <c r="GF507" s="3">
        <f t="shared" si="463"/>
        <v>0</v>
      </c>
      <c r="GG507" s="3">
        <f t="shared" si="463"/>
        <v>0</v>
      </c>
      <c r="GH507" s="3">
        <f t="shared" si="463"/>
        <v>0</v>
      </c>
      <c r="GI507" s="3">
        <f t="shared" si="463"/>
        <v>0</v>
      </c>
      <c r="GJ507" s="3">
        <f t="shared" si="463"/>
        <v>0</v>
      </c>
      <c r="GK507" s="3">
        <f t="shared" si="463"/>
        <v>0</v>
      </c>
      <c r="GL507" s="3">
        <f t="shared" si="463"/>
        <v>0</v>
      </c>
      <c r="GM507" s="3">
        <f t="shared" si="463"/>
        <v>0</v>
      </c>
      <c r="GN507" s="3">
        <f t="shared" si="463"/>
        <v>0</v>
      </c>
      <c r="GO507" s="3">
        <f t="shared" si="463"/>
        <v>0</v>
      </c>
      <c r="GP507" s="3">
        <f t="shared" si="463"/>
        <v>0</v>
      </c>
      <c r="GQ507" s="3">
        <f t="shared" si="463"/>
        <v>0</v>
      </c>
      <c r="GR507" s="3">
        <f t="shared" si="463"/>
        <v>0</v>
      </c>
      <c r="GS507" s="3">
        <f t="shared" si="463"/>
        <v>0</v>
      </c>
      <c r="GT507" s="3">
        <f t="shared" si="463"/>
        <v>0</v>
      </c>
      <c r="GU507" s="3">
        <f t="shared" si="463"/>
        <v>0</v>
      </c>
      <c r="GV507" s="3">
        <f t="shared" si="463"/>
        <v>0</v>
      </c>
      <c r="GW507" s="3">
        <f t="shared" si="463"/>
        <v>0</v>
      </c>
      <c r="GX507" s="3">
        <f t="shared" si="463"/>
        <v>0</v>
      </c>
    </row>
    <row r="509" spans="1:206" x14ac:dyDescent="0.2">
      <c r="A509" s="1">
        <v>5</v>
      </c>
      <c r="B509" s="1">
        <v>1</v>
      </c>
      <c r="C509" s="1"/>
      <c r="D509" s="1">
        <f>ROW(A563)</f>
        <v>563</v>
      </c>
      <c r="E509" s="1"/>
      <c r="F509" s="1" t="s">
        <v>15</v>
      </c>
      <c r="G509" s="1" t="s">
        <v>383</v>
      </c>
      <c r="H509" s="1" t="s">
        <v>3</v>
      </c>
      <c r="I509" s="1">
        <v>0</v>
      </c>
      <c r="J509" s="1"/>
      <c r="K509" s="1">
        <v>-1</v>
      </c>
      <c r="L509" s="1"/>
      <c r="M509" s="1" t="s">
        <v>3</v>
      </c>
      <c r="N509" s="1"/>
      <c r="O509" s="1"/>
      <c r="P509" s="1"/>
      <c r="Q509" s="1"/>
      <c r="R509" s="1"/>
      <c r="S509" s="1">
        <v>0</v>
      </c>
      <c r="T509" s="1"/>
      <c r="U509" s="1" t="s">
        <v>3</v>
      </c>
      <c r="V509" s="1">
        <v>0</v>
      </c>
      <c r="W509" s="1"/>
      <c r="X509" s="1"/>
      <c r="Y509" s="1"/>
      <c r="Z509" s="1"/>
      <c r="AA509" s="1"/>
      <c r="AB509" s="1" t="s">
        <v>3</v>
      </c>
      <c r="AC509" s="1" t="s">
        <v>3</v>
      </c>
      <c r="AD509" s="1" t="s">
        <v>3</v>
      </c>
      <c r="AE509" s="1" t="s">
        <v>3</v>
      </c>
      <c r="AF509" s="1" t="s">
        <v>3</v>
      </c>
      <c r="AG509" s="1" t="s">
        <v>3</v>
      </c>
      <c r="AH509" s="1"/>
      <c r="AI509" s="1"/>
      <c r="AJ509" s="1"/>
      <c r="AK509" s="1"/>
      <c r="AL509" s="1"/>
      <c r="AM509" s="1"/>
      <c r="AN509" s="1"/>
      <c r="AO509" s="1"/>
      <c r="AP509" s="1" t="s">
        <v>3</v>
      </c>
      <c r="AQ509" s="1" t="s">
        <v>3</v>
      </c>
      <c r="AR509" s="1" t="s">
        <v>3</v>
      </c>
      <c r="AS509" s="1"/>
      <c r="AT509" s="1"/>
      <c r="AU509" s="1"/>
      <c r="AV509" s="1"/>
      <c r="AW509" s="1"/>
      <c r="AX509" s="1"/>
      <c r="AY509" s="1"/>
      <c r="AZ509" s="1" t="s">
        <v>3</v>
      </c>
      <c r="BA509" s="1"/>
      <c r="BB509" s="1" t="s">
        <v>3</v>
      </c>
      <c r="BC509" s="1" t="s">
        <v>3</v>
      </c>
      <c r="BD509" s="1" t="s">
        <v>3</v>
      </c>
      <c r="BE509" s="1" t="s">
        <v>3</v>
      </c>
      <c r="BF509" s="1" t="s">
        <v>3</v>
      </c>
      <c r="BG509" s="1" t="s">
        <v>3</v>
      </c>
      <c r="BH509" s="1" t="s">
        <v>3</v>
      </c>
      <c r="BI509" s="1" t="s">
        <v>3</v>
      </c>
      <c r="BJ509" s="1" t="s">
        <v>3</v>
      </c>
      <c r="BK509" s="1" t="s">
        <v>3</v>
      </c>
      <c r="BL509" s="1" t="s">
        <v>3</v>
      </c>
      <c r="BM509" s="1" t="s">
        <v>3</v>
      </c>
      <c r="BN509" s="1" t="s">
        <v>3</v>
      </c>
      <c r="BO509" s="1" t="s">
        <v>3</v>
      </c>
      <c r="BP509" s="1" t="s">
        <v>3</v>
      </c>
      <c r="BQ509" s="1"/>
      <c r="BR509" s="1"/>
      <c r="BS509" s="1"/>
      <c r="BT509" s="1"/>
      <c r="BU509" s="1"/>
      <c r="BV509" s="1"/>
      <c r="BW509" s="1"/>
      <c r="BX509" s="1">
        <v>0</v>
      </c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>
        <v>0</v>
      </c>
    </row>
    <row r="511" spans="1:206" x14ac:dyDescent="0.2">
      <c r="A511" s="2">
        <v>52</v>
      </c>
      <c r="B511" s="2">
        <f t="shared" ref="B511:G511" si="464">B563</f>
        <v>1</v>
      </c>
      <c r="C511" s="2">
        <f t="shared" si="464"/>
        <v>5</v>
      </c>
      <c r="D511" s="2">
        <f t="shared" si="464"/>
        <v>509</v>
      </c>
      <c r="E511" s="2">
        <f t="shared" si="464"/>
        <v>0</v>
      </c>
      <c r="F511" s="2" t="str">
        <f t="shared" si="464"/>
        <v>Новый подраздел</v>
      </c>
      <c r="G511" s="2" t="str">
        <f t="shared" si="464"/>
        <v>Вентиляция</v>
      </c>
      <c r="H511" s="2"/>
      <c r="I511" s="2"/>
      <c r="J511" s="2"/>
      <c r="K511" s="2"/>
      <c r="L511" s="2"/>
      <c r="M511" s="2"/>
      <c r="N511" s="2"/>
      <c r="O511" s="2">
        <f t="shared" ref="O511:AT511" si="465">O563</f>
        <v>178785.94</v>
      </c>
      <c r="P511" s="2">
        <f t="shared" si="465"/>
        <v>5373.44</v>
      </c>
      <c r="Q511" s="2">
        <f t="shared" si="465"/>
        <v>9395.82</v>
      </c>
      <c r="R511" s="2">
        <f t="shared" si="465"/>
        <v>5803.25</v>
      </c>
      <c r="S511" s="2">
        <f t="shared" si="465"/>
        <v>164016.68</v>
      </c>
      <c r="T511" s="2">
        <f t="shared" si="465"/>
        <v>0</v>
      </c>
      <c r="U511" s="2">
        <f t="shared" si="465"/>
        <v>248.20500000000001</v>
      </c>
      <c r="V511" s="2">
        <f t="shared" si="465"/>
        <v>0</v>
      </c>
      <c r="W511" s="2">
        <f t="shared" si="465"/>
        <v>0</v>
      </c>
      <c r="X511" s="2">
        <f t="shared" si="465"/>
        <v>114811.68</v>
      </c>
      <c r="Y511" s="2">
        <f t="shared" si="465"/>
        <v>16401.66</v>
      </c>
      <c r="Z511" s="2">
        <f t="shared" si="465"/>
        <v>0</v>
      </c>
      <c r="AA511" s="2">
        <f t="shared" si="465"/>
        <v>0</v>
      </c>
      <c r="AB511" s="2">
        <f t="shared" si="465"/>
        <v>178785.94</v>
      </c>
      <c r="AC511" s="2">
        <f t="shared" si="465"/>
        <v>5373.44</v>
      </c>
      <c r="AD511" s="2">
        <f t="shared" si="465"/>
        <v>9395.82</v>
      </c>
      <c r="AE511" s="2">
        <f t="shared" si="465"/>
        <v>5803.25</v>
      </c>
      <c r="AF511" s="2">
        <f t="shared" si="465"/>
        <v>164016.68</v>
      </c>
      <c r="AG511" s="2">
        <f t="shared" si="465"/>
        <v>0</v>
      </c>
      <c r="AH511" s="2">
        <f t="shared" si="465"/>
        <v>248.20500000000001</v>
      </c>
      <c r="AI511" s="2">
        <f t="shared" si="465"/>
        <v>0</v>
      </c>
      <c r="AJ511" s="2">
        <f t="shared" si="465"/>
        <v>0</v>
      </c>
      <c r="AK511" s="2">
        <f t="shared" si="465"/>
        <v>114811.68</v>
      </c>
      <c r="AL511" s="2">
        <f t="shared" si="465"/>
        <v>16401.66</v>
      </c>
      <c r="AM511" s="2">
        <f t="shared" si="465"/>
        <v>0</v>
      </c>
      <c r="AN511" s="2">
        <f t="shared" si="465"/>
        <v>0</v>
      </c>
      <c r="AO511" s="2">
        <f t="shared" si="465"/>
        <v>0</v>
      </c>
      <c r="AP511" s="2">
        <f t="shared" si="465"/>
        <v>0</v>
      </c>
      <c r="AQ511" s="2">
        <f t="shared" si="465"/>
        <v>0</v>
      </c>
      <c r="AR511" s="2">
        <f t="shared" si="465"/>
        <v>316266.78999999998</v>
      </c>
      <c r="AS511" s="2">
        <f t="shared" si="465"/>
        <v>0</v>
      </c>
      <c r="AT511" s="2">
        <f t="shared" si="465"/>
        <v>0</v>
      </c>
      <c r="AU511" s="2">
        <f t="shared" ref="AU511:BZ511" si="466">AU563</f>
        <v>316266.78999999998</v>
      </c>
      <c r="AV511" s="2">
        <f t="shared" si="466"/>
        <v>5373.44</v>
      </c>
      <c r="AW511" s="2">
        <f t="shared" si="466"/>
        <v>5373.44</v>
      </c>
      <c r="AX511" s="2">
        <f t="shared" si="466"/>
        <v>0</v>
      </c>
      <c r="AY511" s="2">
        <f t="shared" si="466"/>
        <v>5373.44</v>
      </c>
      <c r="AZ511" s="2">
        <f t="shared" si="466"/>
        <v>0</v>
      </c>
      <c r="BA511" s="2">
        <f t="shared" si="466"/>
        <v>0</v>
      </c>
      <c r="BB511" s="2">
        <f t="shared" si="466"/>
        <v>0</v>
      </c>
      <c r="BC511" s="2">
        <f t="shared" si="466"/>
        <v>0</v>
      </c>
      <c r="BD511" s="2">
        <f t="shared" si="466"/>
        <v>0</v>
      </c>
      <c r="BE511" s="2">
        <f t="shared" si="466"/>
        <v>0</v>
      </c>
      <c r="BF511" s="2">
        <f t="shared" si="466"/>
        <v>0</v>
      </c>
      <c r="BG511" s="2">
        <f t="shared" si="466"/>
        <v>0</v>
      </c>
      <c r="BH511" s="2">
        <f t="shared" si="466"/>
        <v>0</v>
      </c>
      <c r="BI511" s="2">
        <f t="shared" si="466"/>
        <v>0</v>
      </c>
      <c r="BJ511" s="2">
        <f t="shared" si="466"/>
        <v>0</v>
      </c>
      <c r="BK511" s="2">
        <f t="shared" si="466"/>
        <v>0</v>
      </c>
      <c r="BL511" s="2">
        <f t="shared" si="466"/>
        <v>0</v>
      </c>
      <c r="BM511" s="2">
        <f t="shared" si="466"/>
        <v>0</v>
      </c>
      <c r="BN511" s="2">
        <f t="shared" si="466"/>
        <v>0</v>
      </c>
      <c r="BO511" s="2">
        <f t="shared" si="466"/>
        <v>0</v>
      </c>
      <c r="BP511" s="2">
        <f t="shared" si="466"/>
        <v>0</v>
      </c>
      <c r="BQ511" s="2">
        <f t="shared" si="466"/>
        <v>0</v>
      </c>
      <c r="BR511" s="2">
        <f t="shared" si="466"/>
        <v>0</v>
      </c>
      <c r="BS511" s="2">
        <f t="shared" si="466"/>
        <v>0</v>
      </c>
      <c r="BT511" s="2">
        <f t="shared" si="466"/>
        <v>0</v>
      </c>
      <c r="BU511" s="2">
        <f t="shared" si="466"/>
        <v>0</v>
      </c>
      <c r="BV511" s="2">
        <f t="shared" si="466"/>
        <v>0</v>
      </c>
      <c r="BW511" s="2">
        <f t="shared" si="466"/>
        <v>0</v>
      </c>
      <c r="BX511" s="2">
        <f t="shared" si="466"/>
        <v>0</v>
      </c>
      <c r="BY511" s="2">
        <f t="shared" si="466"/>
        <v>0</v>
      </c>
      <c r="BZ511" s="2">
        <f t="shared" si="466"/>
        <v>0</v>
      </c>
      <c r="CA511" s="2">
        <f t="shared" ref="CA511:DF511" si="467">CA563</f>
        <v>316266.78999999998</v>
      </c>
      <c r="CB511" s="2">
        <f t="shared" si="467"/>
        <v>0</v>
      </c>
      <c r="CC511" s="2">
        <f t="shared" si="467"/>
        <v>0</v>
      </c>
      <c r="CD511" s="2">
        <f t="shared" si="467"/>
        <v>316266.78999999998</v>
      </c>
      <c r="CE511" s="2">
        <f t="shared" si="467"/>
        <v>5373.44</v>
      </c>
      <c r="CF511" s="2">
        <f t="shared" si="467"/>
        <v>5373.44</v>
      </c>
      <c r="CG511" s="2">
        <f t="shared" si="467"/>
        <v>0</v>
      </c>
      <c r="CH511" s="2">
        <f t="shared" si="467"/>
        <v>5373.44</v>
      </c>
      <c r="CI511" s="2">
        <f t="shared" si="467"/>
        <v>0</v>
      </c>
      <c r="CJ511" s="2">
        <f t="shared" si="467"/>
        <v>0</v>
      </c>
      <c r="CK511" s="2">
        <f t="shared" si="467"/>
        <v>0</v>
      </c>
      <c r="CL511" s="2">
        <f t="shared" si="467"/>
        <v>0</v>
      </c>
      <c r="CM511" s="2">
        <f t="shared" si="467"/>
        <v>0</v>
      </c>
      <c r="CN511" s="2">
        <f t="shared" si="467"/>
        <v>0</v>
      </c>
      <c r="CO511" s="2">
        <f t="shared" si="467"/>
        <v>0</v>
      </c>
      <c r="CP511" s="2">
        <f t="shared" si="467"/>
        <v>0</v>
      </c>
      <c r="CQ511" s="2">
        <f t="shared" si="467"/>
        <v>0</v>
      </c>
      <c r="CR511" s="2">
        <f t="shared" si="467"/>
        <v>0</v>
      </c>
      <c r="CS511" s="2">
        <f t="shared" si="467"/>
        <v>0</v>
      </c>
      <c r="CT511" s="2">
        <f t="shared" si="467"/>
        <v>0</v>
      </c>
      <c r="CU511" s="2">
        <f t="shared" si="467"/>
        <v>0</v>
      </c>
      <c r="CV511" s="2">
        <f t="shared" si="467"/>
        <v>0</v>
      </c>
      <c r="CW511" s="2">
        <f t="shared" si="467"/>
        <v>0</v>
      </c>
      <c r="CX511" s="2">
        <f t="shared" si="467"/>
        <v>0</v>
      </c>
      <c r="CY511" s="2">
        <f t="shared" si="467"/>
        <v>0</v>
      </c>
      <c r="CZ511" s="2">
        <f t="shared" si="467"/>
        <v>0</v>
      </c>
      <c r="DA511" s="2">
        <f t="shared" si="467"/>
        <v>0</v>
      </c>
      <c r="DB511" s="2">
        <f t="shared" si="467"/>
        <v>0</v>
      </c>
      <c r="DC511" s="2">
        <f t="shared" si="467"/>
        <v>0</v>
      </c>
      <c r="DD511" s="2">
        <f t="shared" si="467"/>
        <v>0</v>
      </c>
      <c r="DE511" s="2">
        <f t="shared" si="467"/>
        <v>0</v>
      </c>
      <c r="DF511" s="2">
        <f t="shared" si="467"/>
        <v>0</v>
      </c>
      <c r="DG511" s="3">
        <f t="shared" ref="DG511:EL511" si="468">DG563</f>
        <v>0</v>
      </c>
      <c r="DH511" s="3">
        <f t="shared" si="468"/>
        <v>0</v>
      </c>
      <c r="DI511" s="3">
        <f t="shared" si="468"/>
        <v>0</v>
      </c>
      <c r="DJ511" s="3">
        <f t="shared" si="468"/>
        <v>0</v>
      </c>
      <c r="DK511" s="3">
        <f t="shared" si="468"/>
        <v>0</v>
      </c>
      <c r="DL511" s="3">
        <f t="shared" si="468"/>
        <v>0</v>
      </c>
      <c r="DM511" s="3">
        <f t="shared" si="468"/>
        <v>0</v>
      </c>
      <c r="DN511" s="3">
        <f t="shared" si="468"/>
        <v>0</v>
      </c>
      <c r="DO511" s="3">
        <f t="shared" si="468"/>
        <v>0</v>
      </c>
      <c r="DP511" s="3">
        <f t="shared" si="468"/>
        <v>0</v>
      </c>
      <c r="DQ511" s="3">
        <f t="shared" si="468"/>
        <v>0</v>
      </c>
      <c r="DR511" s="3">
        <f t="shared" si="468"/>
        <v>0</v>
      </c>
      <c r="DS511" s="3">
        <f t="shared" si="468"/>
        <v>0</v>
      </c>
      <c r="DT511" s="3">
        <f t="shared" si="468"/>
        <v>0</v>
      </c>
      <c r="DU511" s="3">
        <f t="shared" si="468"/>
        <v>0</v>
      </c>
      <c r="DV511" s="3">
        <f t="shared" si="468"/>
        <v>0</v>
      </c>
      <c r="DW511" s="3">
        <f t="shared" si="468"/>
        <v>0</v>
      </c>
      <c r="DX511" s="3">
        <f t="shared" si="468"/>
        <v>0</v>
      </c>
      <c r="DY511" s="3">
        <f t="shared" si="468"/>
        <v>0</v>
      </c>
      <c r="DZ511" s="3">
        <f t="shared" si="468"/>
        <v>0</v>
      </c>
      <c r="EA511" s="3">
        <f t="shared" si="468"/>
        <v>0</v>
      </c>
      <c r="EB511" s="3">
        <f t="shared" si="468"/>
        <v>0</v>
      </c>
      <c r="EC511" s="3">
        <f t="shared" si="468"/>
        <v>0</v>
      </c>
      <c r="ED511" s="3">
        <f t="shared" si="468"/>
        <v>0</v>
      </c>
      <c r="EE511" s="3">
        <f t="shared" si="468"/>
        <v>0</v>
      </c>
      <c r="EF511" s="3">
        <f t="shared" si="468"/>
        <v>0</v>
      </c>
      <c r="EG511" s="3">
        <f t="shared" si="468"/>
        <v>0</v>
      </c>
      <c r="EH511" s="3">
        <f t="shared" si="468"/>
        <v>0</v>
      </c>
      <c r="EI511" s="3">
        <f t="shared" si="468"/>
        <v>0</v>
      </c>
      <c r="EJ511" s="3">
        <f t="shared" si="468"/>
        <v>0</v>
      </c>
      <c r="EK511" s="3">
        <f t="shared" si="468"/>
        <v>0</v>
      </c>
      <c r="EL511" s="3">
        <f t="shared" si="468"/>
        <v>0</v>
      </c>
      <c r="EM511" s="3">
        <f t="shared" ref="EM511:FR511" si="469">EM563</f>
        <v>0</v>
      </c>
      <c r="EN511" s="3">
        <f t="shared" si="469"/>
        <v>0</v>
      </c>
      <c r="EO511" s="3">
        <f t="shared" si="469"/>
        <v>0</v>
      </c>
      <c r="EP511" s="3">
        <f t="shared" si="469"/>
        <v>0</v>
      </c>
      <c r="EQ511" s="3">
        <f t="shared" si="469"/>
        <v>0</v>
      </c>
      <c r="ER511" s="3">
        <f t="shared" si="469"/>
        <v>0</v>
      </c>
      <c r="ES511" s="3">
        <f t="shared" si="469"/>
        <v>0</v>
      </c>
      <c r="ET511" s="3">
        <f t="shared" si="469"/>
        <v>0</v>
      </c>
      <c r="EU511" s="3">
        <f t="shared" si="469"/>
        <v>0</v>
      </c>
      <c r="EV511" s="3">
        <f t="shared" si="469"/>
        <v>0</v>
      </c>
      <c r="EW511" s="3">
        <f t="shared" si="469"/>
        <v>0</v>
      </c>
      <c r="EX511" s="3">
        <f t="shared" si="469"/>
        <v>0</v>
      </c>
      <c r="EY511" s="3">
        <f t="shared" si="469"/>
        <v>0</v>
      </c>
      <c r="EZ511" s="3">
        <f t="shared" si="469"/>
        <v>0</v>
      </c>
      <c r="FA511" s="3">
        <f t="shared" si="469"/>
        <v>0</v>
      </c>
      <c r="FB511" s="3">
        <f t="shared" si="469"/>
        <v>0</v>
      </c>
      <c r="FC511" s="3">
        <f t="shared" si="469"/>
        <v>0</v>
      </c>
      <c r="FD511" s="3">
        <f t="shared" si="469"/>
        <v>0</v>
      </c>
      <c r="FE511" s="3">
        <f t="shared" si="469"/>
        <v>0</v>
      </c>
      <c r="FF511" s="3">
        <f t="shared" si="469"/>
        <v>0</v>
      </c>
      <c r="FG511" s="3">
        <f t="shared" si="469"/>
        <v>0</v>
      </c>
      <c r="FH511" s="3">
        <f t="shared" si="469"/>
        <v>0</v>
      </c>
      <c r="FI511" s="3">
        <f t="shared" si="469"/>
        <v>0</v>
      </c>
      <c r="FJ511" s="3">
        <f t="shared" si="469"/>
        <v>0</v>
      </c>
      <c r="FK511" s="3">
        <f t="shared" si="469"/>
        <v>0</v>
      </c>
      <c r="FL511" s="3">
        <f t="shared" si="469"/>
        <v>0</v>
      </c>
      <c r="FM511" s="3">
        <f t="shared" si="469"/>
        <v>0</v>
      </c>
      <c r="FN511" s="3">
        <f t="shared" si="469"/>
        <v>0</v>
      </c>
      <c r="FO511" s="3">
        <f t="shared" si="469"/>
        <v>0</v>
      </c>
      <c r="FP511" s="3">
        <f t="shared" si="469"/>
        <v>0</v>
      </c>
      <c r="FQ511" s="3">
        <f t="shared" si="469"/>
        <v>0</v>
      </c>
      <c r="FR511" s="3">
        <f t="shared" si="469"/>
        <v>0</v>
      </c>
      <c r="FS511" s="3">
        <f t="shared" ref="FS511:GX511" si="470">FS563</f>
        <v>0</v>
      </c>
      <c r="FT511" s="3">
        <f t="shared" si="470"/>
        <v>0</v>
      </c>
      <c r="FU511" s="3">
        <f t="shared" si="470"/>
        <v>0</v>
      </c>
      <c r="FV511" s="3">
        <f t="shared" si="470"/>
        <v>0</v>
      </c>
      <c r="FW511" s="3">
        <f t="shared" si="470"/>
        <v>0</v>
      </c>
      <c r="FX511" s="3">
        <f t="shared" si="470"/>
        <v>0</v>
      </c>
      <c r="FY511" s="3">
        <f t="shared" si="470"/>
        <v>0</v>
      </c>
      <c r="FZ511" s="3">
        <f t="shared" si="470"/>
        <v>0</v>
      </c>
      <c r="GA511" s="3">
        <f t="shared" si="470"/>
        <v>0</v>
      </c>
      <c r="GB511" s="3">
        <f t="shared" si="470"/>
        <v>0</v>
      </c>
      <c r="GC511" s="3">
        <f t="shared" si="470"/>
        <v>0</v>
      </c>
      <c r="GD511" s="3">
        <f t="shared" si="470"/>
        <v>0</v>
      </c>
      <c r="GE511" s="3">
        <f t="shared" si="470"/>
        <v>0</v>
      </c>
      <c r="GF511" s="3">
        <f t="shared" si="470"/>
        <v>0</v>
      </c>
      <c r="GG511" s="3">
        <f t="shared" si="470"/>
        <v>0</v>
      </c>
      <c r="GH511" s="3">
        <f t="shared" si="470"/>
        <v>0</v>
      </c>
      <c r="GI511" s="3">
        <f t="shared" si="470"/>
        <v>0</v>
      </c>
      <c r="GJ511" s="3">
        <f t="shared" si="470"/>
        <v>0</v>
      </c>
      <c r="GK511" s="3">
        <f t="shared" si="470"/>
        <v>0</v>
      </c>
      <c r="GL511" s="3">
        <f t="shared" si="470"/>
        <v>0</v>
      </c>
      <c r="GM511" s="3">
        <f t="shared" si="470"/>
        <v>0</v>
      </c>
      <c r="GN511" s="3">
        <f t="shared" si="470"/>
        <v>0</v>
      </c>
      <c r="GO511" s="3">
        <f t="shared" si="470"/>
        <v>0</v>
      </c>
      <c r="GP511" s="3">
        <f t="shared" si="470"/>
        <v>0</v>
      </c>
      <c r="GQ511" s="3">
        <f t="shared" si="470"/>
        <v>0</v>
      </c>
      <c r="GR511" s="3">
        <f t="shared" si="470"/>
        <v>0</v>
      </c>
      <c r="GS511" s="3">
        <f t="shared" si="470"/>
        <v>0</v>
      </c>
      <c r="GT511" s="3">
        <f t="shared" si="470"/>
        <v>0</v>
      </c>
      <c r="GU511" s="3">
        <f t="shared" si="470"/>
        <v>0</v>
      </c>
      <c r="GV511" s="3">
        <f t="shared" si="470"/>
        <v>0</v>
      </c>
      <c r="GW511" s="3">
        <f t="shared" si="470"/>
        <v>0</v>
      </c>
      <c r="GX511" s="3">
        <f t="shared" si="470"/>
        <v>0</v>
      </c>
    </row>
    <row r="513" spans="1:245" x14ac:dyDescent="0.2">
      <c r="A513">
        <v>17</v>
      </c>
      <c r="B513">
        <v>1</v>
      </c>
      <c r="D513">
        <f>ROW(EtalonRes!A271)</f>
        <v>271</v>
      </c>
      <c r="E513" t="s">
        <v>3</v>
      </c>
      <c r="F513" t="s">
        <v>384</v>
      </c>
      <c r="G513" t="s">
        <v>385</v>
      </c>
      <c r="H513" t="s">
        <v>386</v>
      </c>
      <c r="I513">
        <f>ROUND(4,9)</f>
        <v>4</v>
      </c>
      <c r="J513">
        <v>0</v>
      </c>
      <c r="K513">
        <f>ROUND(4,9)</f>
        <v>4</v>
      </c>
      <c r="O513">
        <f t="shared" ref="O513:O546" si="471">ROUND(CP513,2)</f>
        <v>157239.49</v>
      </c>
      <c r="P513">
        <f t="shared" ref="P513:P546" si="472">ROUND(CQ513*I513,2)</f>
        <v>8597.57</v>
      </c>
      <c r="Q513">
        <f t="shared" ref="Q513:Q546" si="473">ROUND(CR513*I513,2)</f>
        <v>0</v>
      </c>
      <c r="R513">
        <f t="shared" ref="R513:R546" si="474">ROUND(CS513*I513,2)</f>
        <v>0</v>
      </c>
      <c r="S513">
        <f t="shared" ref="S513:S546" si="475">ROUND(CT513*I513,2)</f>
        <v>148641.92000000001</v>
      </c>
      <c r="T513">
        <f t="shared" ref="T513:T546" si="476">ROUND(CU513*I513,2)</f>
        <v>0</v>
      </c>
      <c r="U513">
        <f t="shared" ref="U513:U546" si="477">CV513*I513</f>
        <v>224</v>
      </c>
      <c r="V513">
        <f t="shared" ref="V513:V546" si="478">CW513*I513</f>
        <v>0</v>
      </c>
      <c r="W513">
        <f t="shared" ref="W513:W546" si="479">ROUND(CX513*I513,2)</f>
        <v>0</v>
      </c>
      <c r="X513">
        <f t="shared" ref="X513:X546" si="480">ROUND(CY513,2)</f>
        <v>104049.34</v>
      </c>
      <c r="Y513">
        <f t="shared" ref="Y513:Y546" si="481">ROUND(CZ513,2)</f>
        <v>14864.19</v>
      </c>
      <c r="AA513">
        <v>-1</v>
      </c>
      <c r="AB513">
        <f t="shared" ref="AB513:AB546" si="482">ROUND((AC513+AD513+AF513),6)</f>
        <v>39309.873333000003</v>
      </c>
      <c r="AC513">
        <f>ROUND((((ES513/12)*8)),6)</f>
        <v>2149.393333</v>
      </c>
      <c r="AD513">
        <f>ROUND((((((ET513/12)*8))-(((EU513/12)*8)))+AE513),6)</f>
        <v>0</v>
      </c>
      <c r="AE513">
        <f>ROUND((((EU513/12)*8)),6)</f>
        <v>0</v>
      </c>
      <c r="AF513">
        <f>ROUND((((EV513/12)*8)),6)</f>
        <v>37160.480000000003</v>
      </c>
      <c r="AG513">
        <f t="shared" ref="AG513:AG546" si="483">ROUND((AP513),6)</f>
        <v>0</v>
      </c>
      <c r="AH513">
        <f>(((EW513/12)*8))</f>
        <v>56</v>
      </c>
      <c r="AI513">
        <f>(((EX513/12)*8))</f>
        <v>0</v>
      </c>
      <c r="AJ513">
        <f t="shared" ref="AJ513:AJ546" si="484">(AS513)</f>
        <v>0</v>
      </c>
      <c r="AK513">
        <v>58964.81</v>
      </c>
      <c r="AL513">
        <v>3224.09</v>
      </c>
      <c r="AM513">
        <v>0</v>
      </c>
      <c r="AN513">
        <v>0</v>
      </c>
      <c r="AO513">
        <v>55740.72</v>
      </c>
      <c r="AP513">
        <v>0</v>
      </c>
      <c r="AQ513">
        <v>84</v>
      </c>
      <c r="AR513">
        <v>0</v>
      </c>
      <c r="AS513">
        <v>0</v>
      </c>
      <c r="AT513">
        <v>70</v>
      </c>
      <c r="AU513">
        <v>10</v>
      </c>
      <c r="AV513">
        <v>1</v>
      </c>
      <c r="AW513">
        <v>1</v>
      </c>
      <c r="AZ513">
        <v>1</v>
      </c>
      <c r="BA513">
        <v>1</v>
      </c>
      <c r="BB513">
        <v>1</v>
      </c>
      <c r="BC513">
        <v>1</v>
      </c>
      <c r="BD513" t="s">
        <v>3</v>
      </c>
      <c r="BE513" t="s">
        <v>3</v>
      </c>
      <c r="BF513" t="s">
        <v>3</v>
      </c>
      <c r="BG513" t="s">
        <v>3</v>
      </c>
      <c r="BH513">
        <v>0</v>
      </c>
      <c r="BI513">
        <v>4</v>
      </c>
      <c r="BJ513" t="s">
        <v>387</v>
      </c>
      <c r="BM513">
        <v>0</v>
      </c>
      <c r="BN513">
        <v>0</v>
      </c>
      <c r="BO513" t="s">
        <v>3</v>
      </c>
      <c r="BP513">
        <v>0</v>
      </c>
      <c r="BQ513">
        <v>1</v>
      </c>
      <c r="BR513">
        <v>0</v>
      </c>
      <c r="BS513">
        <v>1</v>
      </c>
      <c r="BT513">
        <v>1</v>
      </c>
      <c r="BU513">
        <v>1</v>
      </c>
      <c r="BV513">
        <v>1</v>
      </c>
      <c r="BW513">
        <v>1</v>
      </c>
      <c r="BX513">
        <v>1</v>
      </c>
      <c r="BY513" t="s">
        <v>3</v>
      </c>
      <c r="BZ513">
        <v>70</v>
      </c>
      <c r="CA513">
        <v>10</v>
      </c>
      <c r="CB513" t="s">
        <v>3</v>
      </c>
      <c r="CE513">
        <v>0</v>
      </c>
      <c r="CF513">
        <v>0</v>
      </c>
      <c r="CG513">
        <v>0</v>
      </c>
      <c r="CM513">
        <v>0</v>
      </c>
      <c r="CN513" t="s">
        <v>3</v>
      </c>
      <c r="CO513">
        <v>0</v>
      </c>
      <c r="CP513">
        <f t="shared" ref="CP513:CP546" si="485">(P513+Q513+S513)</f>
        <v>157239.49000000002</v>
      </c>
      <c r="CQ513">
        <f t="shared" ref="CQ513:CQ546" si="486">(AC513*BC513*AW513)</f>
        <v>2149.393333</v>
      </c>
      <c r="CR513">
        <f>((((((ET513/12)*8))*BB513-(((EU513/12)*8))*BS513)+AE513*BS513)*AV513)</f>
        <v>0</v>
      </c>
      <c r="CS513">
        <f t="shared" ref="CS513:CS546" si="487">(AE513*BS513*AV513)</f>
        <v>0</v>
      </c>
      <c r="CT513">
        <f t="shared" ref="CT513:CT546" si="488">(AF513*BA513*AV513)</f>
        <v>37160.480000000003</v>
      </c>
      <c r="CU513">
        <f t="shared" ref="CU513:CU546" si="489">AG513</f>
        <v>0</v>
      </c>
      <c r="CV513">
        <f t="shared" ref="CV513:CV546" si="490">(AH513*AV513)</f>
        <v>56</v>
      </c>
      <c r="CW513">
        <f t="shared" ref="CW513:CW546" si="491">AI513</f>
        <v>0</v>
      </c>
      <c r="CX513">
        <f t="shared" ref="CX513:CX546" si="492">AJ513</f>
        <v>0</v>
      </c>
      <c r="CY513">
        <f t="shared" ref="CY513:CY546" si="493">((S513*BZ513)/100)</f>
        <v>104049.344</v>
      </c>
      <c r="CZ513">
        <f t="shared" ref="CZ513:CZ546" si="494">((S513*CA513)/100)</f>
        <v>14864.192000000003</v>
      </c>
      <c r="DC513" t="s">
        <v>3</v>
      </c>
      <c r="DD513" t="s">
        <v>388</v>
      </c>
      <c r="DE513" t="s">
        <v>388</v>
      </c>
      <c r="DF513" t="s">
        <v>388</v>
      </c>
      <c r="DG513" t="s">
        <v>388</v>
      </c>
      <c r="DH513" t="s">
        <v>3</v>
      </c>
      <c r="DI513" t="s">
        <v>388</v>
      </c>
      <c r="DJ513" t="s">
        <v>388</v>
      </c>
      <c r="DK513" t="s">
        <v>3</v>
      </c>
      <c r="DL513" t="s">
        <v>3</v>
      </c>
      <c r="DM513" t="s">
        <v>3</v>
      </c>
      <c r="DN513">
        <v>0</v>
      </c>
      <c r="DO513">
        <v>0</v>
      </c>
      <c r="DP513">
        <v>1</v>
      </c>
      <c r="DQ513">
        <v>1</v>
      </c>
      <c r="DU513">
        <v>1013</v>
      </c>
      <c r="DV513" t="s">
        <v>386</v>
      </c>
      <c r="DW513" t="s">
        <v>386</v>
      </c>
      <c r="DX513">
        <v>1</v>
      </c>
      <c r="DZ513" t="s">
        <v>3</v>
      </c>
      <c r="EA513" t="s">
        <v>3</v>
      </c>
      <c r="EB513" t="s">
        <v>3</v>
      </c>
      <c r="EC513" t="s">
        <v>3</v>
      </c>
      <c r="EE513">
        <v>1441815344</v>
      </c>
      <c r="EF513">
        <v>1</v>
      </c>
      <c r="EG513" t="s">
        <v>22</v>
      </c>
      <c r="EH513">
        <v>0</v>
      </c>
      <c r="EI513" t="s">
        <v>3</v>
      </c>
      <c r="EJ513">
        <v>4</v>
      </c>
      <c r="EK513">
        <v>0</v>
      </c>
      <c r="EL513" t="s">
        <v>23</v>
      </c>
      <c r="EM513" t="s">
        <v>24</v>
      </c>
      <c r="EO513" t="s">
        <v>3</v>
      </c>
      <c r="EQ513">
        <v>1024</v>
      </c>
      <c r="ER513">
        <v>58964.81</v>
      </c>
      <c r="ES513">
        <v>3224.09</v>
      </c>
      <c r="ET513">
        <v>0</v>
      </c>
      <c r="EU513">
        <v>0</v>
      </c>
      <c r="EV513">
        <v>55740.72</v>
      </c>
      <c r="EW513">
        <v>84</v>
      </c>
      <c r="EX513">
        <v>0</v>
      </c>
      <c r="EY513">
        <v>0</v>
      </c>
      <c r="FQ513">
        <v>0</v>
      </c>
      <c r="FR513">
        <f t="shared" ref="FR513:FR546" si="495">ROUND(IF(BI513=3,GM513,0),2)</f>
        <v>0</v>
      </c>
      <c r="FS513">
        <v>0</v>
      </c>
      <c r="FX513">
        <v>70</v>
      </c>
      <c r="FY513">
        <v>10</v>
      </c>
      <c r="GA513" t="s">
        <v>3</v>
      </c>
      <c r="GD513">
        <v>0</v>
      </c>
      <c r="GF513">
        <v>-1359812122</v>
      </c>
      <c r="GG513">
        <v>2</v>
      </c>
      <c r="GH513">
        <v>1</v>
      </c>
      <c r="GI513">
        <v>-2</v>
      </c>
      <c r="GJ513">
        <v>0</v>
      </c>
      <c r="GK513">
        <f>ROUND(R513*(R12)/100,2)</f>
        <v>0</v>
      </c>
      <c r="GL513">
        <f t="shared" ref="GL513:GL546" si="496">ROUND(IF(AND(BH513=3,BI513=3,FS513&lt;&gt;0),P513,0),2)</f>
        <v>0</v>
      </c>
      <c r="GM513">
        <f t="shared" ref="GM513:GM546" si="497">ROUND(O513+X513+Y513+GK513,2)+GX513</f>
        <v>276153.02</v>
      </c>
      <c r="GN513">
        <f t="shared" ref="GN513:GN546" si="498">IF(OR(BI513=0,BI513=1),GM513-GX513,0)</f>
        <v>0</v>
      </c>
      <c r="GO513">
        <f t="shared" ref="GO513:GO546" si="499">IF(BI513=2,GM513-GX513,0)</f>
        <v>0</v>
      </c>
      <c r="GP513">
        <f t="shared" ref="GP513:GP546" si="500">IF(BI513=4,GM513-GX513,0)</f>
        <v>276153.02</v>
      </c>
      <c r="GR513">
        <v>0</v>
      </c>
      <c r="GS513">
        <v>3</v>
      </c>
      <c r="GT513">
        <v>0</v>
      </c>
      <c r="GU513" t="s">
        <v>3</v>
      </c>
      <c r="GV513">
        <f t="shared" ref="GV513:GV546" si="501">ROUND((GT513),6)</f>
        <v>0</v>
      </c>
      <c r="GW513">
        <v>1</v>
      </c>
      <c r="GX513">
        <f t="shared" ref="GX513:GX546" si="502">ROUND(HC513*I513,2)</f>
        <v>0</v>
      </c>
      <c r="HA513">
        <v>0</v>
      </c>
      <c r="HB513">
        <v>0</v>
      </c>
      <c r="HC513">
        <f t="shared" ref="HC513:HC546" si="503">GV513*GW513</f>
        <v>0</v>
      </c>
      <c r="HE513" t="s">
        <v>3</v>
      </c>
      <c r="HF513" t="s">
        <v>3</v>
      </c>
      <c r="HM513" t="s">
        <v>3</v>
      </c>
      <c r="HN513" t="s">
        <v>3</v>
      </c>
      <c r="HO513" t="s">
        <v>3</v>
      </c>
      <c r="HP513" t="s">
        <v>3</v>
      </c>
      <c r="HQ513" t="s">
        <v>3</v>
      </c>
      <c r="IK513">
        <v>0</v>
      </c>
    </row>
    <row r="514" spans="1:245" x14ac:dyDescent="0.2">
      <c r="A514">
        <v>17</v>
      </c>
      <c r="B514">
        <v>1</v>
      </c>
      <c r="D514">
        <f>ROW(EtalonRes!A275)</f>
        <v>275</v>
      </c>
      <c r="E514" t="s">
        <v>3</v>
      </c>
      <c r="F514" t="s">
        <v>389</v>
      </c>
      <c r="G514" t="s">
        <v>390</v>
      </c>
      <c r="H514" t="s">
        <v>386</v>
      </c>
      <c r="I514">
        <v>4</v>
      </c>
      <c r="J514">
        <v>0</v>
      </c>
      <c r="K514">
        <v>4</v>
      </c>
      <c r="O514">
        <f t="shared" si="471"/>
        <v>18988.28</v>
      </c>
      <c r="P514">
        <f t="shared" si="472"/>
        <v>53.96</v>
      </c>
      <c r="Q514">
        <f t="shared" si="473"/>
        <v>35.72</v>
      </c>
      <c r="R514">
        <f t="shared" si="474"/>
        <v>0.48</v>
      </c>
      <c r="S514">
        <f t="shared" si="475"/>
        <v>18898.599999999999</v>
      </c>
      <c r="T514">
        <f t="shared" si="476"/>
        <v>0</v>
      </c>
      <c r="U514">
        <f t="shared" si="477"/>
        <v>28.48</v>
      </c>
      <c r="V514">
        <f t="shared" si="478"/>
        <v>0</v>
      </c>
      <c r="W514">
        <f t="shared" si="479"/>
        <v>0</v>
      </c>
      <c r="X514">
        <f t="shared" si="480"/>
        <v>13229.02</v>
      </c>
      <c r="Y514">
        <f t="shared" si="481"/>
        <v>1889.86</v>
      </c>
      <c r="AA514">
        <v>-1</v>
      </c>
      <c r="AB514">
        <f t="shared" si="482"/>
        <v>4747.07</v>
      </c>
      <c r="AC514">
        <f>ROUND((ES514),6)</f>
        <v>13.49</v>
      </c>
      <c r="AD514">
        <f>ROUND((((ET514)-(EU514))+AE514),6)</f>
        <v>8.93</v>
      </c>
      <c r="AE514">
        <f>ROUND((EU514),6)</f>
        <v>0.12</v>
      </c>
      <c r="AF514">
        <f>ROUND((EV514),6)</f>
        <v>4724.6499999999996</v>
      </c>
      <c r="AG514">
        <f t="shared" si="483"/>
        <v>0</v>
      </c>
      <c r="AH514">
        <f>(EW514)</f>
        <v>7.12</v>
      </c>
      <c r="AI514">
        <f>(EX514)</f>
        <v>0</v>
      </c>
      <c r="AJ514">
        <f t="shared" si="484"/>
        <v>0</v>
      </c>
      <c r="AK514">
        <v>4747.07</v>
      </c>
      <c r="AL514">
        <v>13.49</v>
      </c>
      <c r="AM514">
        <v>8.93</v>
      </c>
      <c r="AN514">
        <v>0.12</v>
      </c>
      <c r="AO514">
        <v>4724.6499999999996</v>
      </c>
      <c r="AP514">
        <v>0</v>
      </c>
      <c r="AQ514">
        <v>7.12</v>
      </c>
      <c r="AR514">
        <v>0</v>
      </c>
      <c r="AS514">
        <v>0</v>
      </c>
      <c r="AT514">
        <v>70</v>
      </c>
      <c r="AU514">
        <v>10</v>
      </c>
      <c r="AV514">
        <v>1</v>
      </c>
      <c r="AW514">
        <v>1</v>
      </c>
      <c r="AZ514">
        <v>1</v>
      </c>
      <c r="BA514">
        <v>1</v>
      </c>
      <c r="BB514">
        <v>1</v>
      </c>
      <c r="BC514">
        <v>1</v>
      </c>
      <c r="BD514" t="s">
        <v>3</v>
      </c>
      <c r="BE514" t="s">
        <v>3</v>
      </c>
      <c r="BF514" t="s">
        <v>3</v>
      </c>
      <c r="BG514" t="s">
        <v>3</v>
      </c>
      <c r="BH514">
        <v>0</v>
      </c>
      <c r="BI514">
        <v>4</v>
      </c>
      <c r="BJ514" t="s">
        <v>391</v>
      </c>
      <c r="BM514">
        <v>0</v>
      </c>
      <c r="BN514">
        <v>0</v>
      </c>
      <c r="BO514" t="s">
        <v>3</v>
      </c>
      <c r="BP514">
        <v>0</v>
      </c>
      <c r="BQ514">
        <v>1</v>
      </c>
      <c r="BR514">
        <v>0</v>
      </c>
      <c r="BS514">
        <v>1</v>
      </c>
      <c r="BT514">
        <v>1</v>
      </c>
      <c r="BU514">
        <v>1</v>
      </c>
      <c r="BV514">
        <v>1</v>
      </c>
      <c r="BW514">
        <v>1</v>
      </c>
      <c r="BX514">
        <v>1</v>
      </c>
      <c r="BY514" t="s">
        <v>3</v>
      </c>
      <c r="BZ514">
        <v>70</v>
      </c>
      <c r="CA514">
        <v>10</v>
      </c>
      <c r="CB514" t="s">
        <v>3</v>
      </c>
      <c r="CE514">
        <v>0</v>
      </c>
      <c r="CF514">
        <v>0</v>
      </c>
      <c r="CG514">
        <v>0</v>
      </c>
      <c r="CM514">
        <v>0</v>
      </c>
      <c r="CN514" t="s">
        <v>3</v>
      </c>
      <c r="CO514">
        <v>0</v>
      </c>
      <c r="CP514">
        <f t="shared" si="485"/>
        <v>18988.28</v>
      </c>
      <c r="CQ514">
        <f t="shared" si="486"/>
        <v>13.49</v>
      </c>
      <c r="CR514">
        <f>((((ET514)*BB514-(EU514)*BS514)+AE514*BS514)*AV514)</f>
        <v>8.93</v>
      </c>
      <c r="CS514">
        <f t="shared" si="487"/>
        <v>0.12</v>
      </c>
      <c r="CT514">
        <f t="shared" si="488"/>
        <v>4724.6499999999996</v>
      </c>
      <c r="CU514">
        <f t="shared" si="489"/>
        <v>0</v>
      </c>
      <c r="CV514">
        <f t="shared" si="490"/>
        <v>7.12</v>
      </c>
      <c r="CW514">
        <f t="shared" si="491"/>
        <v>0</v>
      </c>
      <c r="CX514">
        <f t="shared" si="492"/>
        <v>0</v>
      </c>
      <c r="CY514">
        <f t="shared" si="493"/>
        <v>13229.02</v>
      </c>
      <c r="CZ514">
        <f t="shared" si="494"/>
        <v>1889.86</v>
      </c>
      <c r="DC514" t="s">
        <v>3</v>
      </c>
      <c r="DD514" t="s">
        <v>3</v>
      </c>
      <c r="DE514" t="s">
        <v>3</v>
      </c>
      <c r="DF514" t="s">
        <v>3</v>
      </c>
      <c r="DG514" t="s">
        <v>3</v>
      </c>
      <c r="DH514" t="s">
        <v>3</v>
      </c>
      <c r="DI514" t="s">
        <v>3</v>
      </c>
      <c r="DJ514" t="s">
        <v>3</v>
      </c>
      <c r="DK514" t="s">
        <v>3</v>
      </c>
      <c r="DL514" t="s">
        <v>3</v>
      </c>
      <c r="DM514" t="s">
        <v>3</v>
      </c>
      <c r="DN514">
        <v>0</v>
      </c>
      <c r="DO514">
        <v>0</v>
      </c>
      <c r="DP514">
        <v>1</v>
      </c>
      <c r="DQ514">
        <v>1</v>
      </c>
      <c r="DU514">
        <v>1013</v>
      </c>
      <c r="DV514" t="s">
        <v>386</v>
      </c>
      <c r="DW514" t="s">
        <v>386</v>
      </c>
      <c r="DX514">
        <v>1</v>
      </c>
      <c r="DZ514" t="s">
        <v>3</v>
      </c>
      <c r="EA514" t="s">
        <v>3</v>
      </c>
      <c r="EB514" t="s">
        <v>3</v>
      </c>
      <c r="EC514" t="s">
        <v>3</v>
      </c>
      <c r="EE514">
        <v>1441815344</v>
      </c>
      <c r="EF514">
        <v>1</v>
      </c>
      <c r="EG514" t="s">
        <v>22</v>
      </c>
      <c r="EH514">
        <v>0</v>
      </c>
      <c r="EI514" t="s">
        <v>3</v>
      </c>
      <c r="EJ514">
        <v>4</v>
      </c>
      <c r="EK514">
        <v>0</v>
      </c>
      <c r="EL514" t="s">
        <v>23</v>
      </c>
      <c r="EM514" t="s">
        <v>24</v>
      </c>
      <c r="EO514" t="s">
        <v>3</v>
      </c>
      <c r="EQ514">
        <v>1311744</v>
      </c>
      <c r="ER514">
        <v>4747.07</v>
      </c>
      <c r="ES514">
        <v>13.49</v>
      </c>
      <c r="ET514">
        <v>8.93</v>
      </c>
      <c r="EU514">
        <v>0.12</v>
      </c>
      <c r="EV514">
        <v>4724.6499999999996</v>
      </c>
      <c r="EW514">
        <v>7.12</v>
      </c>
      <c r="EX514">
        <v>0</v>
      </c>
      <c r="EY514">
        <v>0</v>
      </c>
      <c r="FQ514">
        <v>0</v>
      </c>
      <c r="FR514">
        <f t="shared" si="495"/>
        <v>0</v>
      </c>
      <c r="FS514">
        <v>0</v>
      </c>
      <c r="FX514">
        <v>70</v>
      </c>
      <c r="FY514">
        <v>10</v>
      </c>
      <c r="GA514" t="s">
        <v>3</v>
      </c>
      <c r="GD514">
        <v>0</v>
      </c>
      <c r="GF514">
        <v>867836691</v>
      </c>
      <c r="GG514">
        <v>2</v>
      </c>
      <c r="GH514">
        <v>1</v>
      </c>
      <c r="GI514">
        <v>-2</v>
      </c>
      <c r="GJ514">
        <v>0</v>
      </c>
      <c r="GK514">
        <f>ROUND(R514*(R12)/100,2)</f>
        <v>0.52</v>
      </c>
      <c r="GL514">
        <f t="shared" si="496"/>
        <v>0</v>
      </c>
      <c r="GM514">
        <f t="shared" si="497"/>
        <v>34107.68</v>
      </c>
      <c r="GN514">
        <f t="shared" si="498"/>
        <v>0</v>
      </c>
      <c r="GO514">
        <f t="shared" si="499"/>
        <v>0</v>
      </c>
      <c r="GP514">
        <f t="shared" si="500"/>
        <v>34107.68</v>
      </c>
      <c r="GR514">
        <v>0</v>
      </c>
      <c r="GS514">
        <v>3</v>
      </c>
      <c r="GT514">
        <v>0</v>
      </c>
      <c r="GU514" t="s">
        <v>3</v>
      </c>
      <c r="GV514">
        <f t="shared" si="501"/>
        <v>0</v>
      </c>
      <c r="GW514">
        <v>1</v>
      </c>
      <c r="GX514">
        <f t="shared" si="502"/>
        <v>0</v>
      </c>
      <c r="HA514">
        <v>0</v>
      </c>
      <c r="HB514">
        <v>0</v>
      </c>
      <c r="HC514">
        <f t="shared" si="503"/>
        <v>0</v>
      </c>
      <c r="HE514" t="s">
        <v>3</v>
      </c>
      <c r="HF514" t="s">
        <v>3</v>
      </c>
      <c r="HM514" t="s">
        <v>3</v>
      </c>
      <c r="HN514" t="s">
        <v>3</v>
      </c>
      <c r="HO514" t="s">
        <v>3</v>
      </c>
      <c r="HP514" t="s">
        <v>3</v>
      </c>
      <c r="HQ514" t="s">
        <v>3</v>
      </c>
      <c r="IK514">
        <v>0</v>
      </c>
    </row>
    <row r="515" spans="1:245" x14ac:dyDescent="0.2">
      <c r="A515">
        <v>17</v>
      </c>
      <c r="B515">
        <v>1</v>
      </c>
      <c r="D515">
        <f>ROW(EtalonRes!A278)</f>
        <v>278</v>
      </c>
      <c r="E515" t="s">
        <v>392</v>
      </c>
      <c r="F515" t="s">
        <v>393</v>
      </c>
      <c r="G515" t="s">
        <v>394</v>
      </c>
      <c r="H515" t="s">
        <v>386</v>
      </c>
      <c r="I515">
        <v>4</v>
      </c>
      <c r="J515">
        <v>0</v>
      </c>
      <c r="K515">
        <v>4</v>
      </c>
      <c r="O515">
        <f t="shared" si="471"/>
        <v>16764</v>
      </c>
      <c r="P515">
        <f t="shared" si="472"/>
        <v>80.64</v>
      </c>
      <c r="Q515">
        <f t="shared" si="473"/>
        <v>14.32</v>
      </c>
      <c r="R515">
        <f t="shared" si="474"/>
        <v>0.16</v>
      </c>
      <c r="S515">
        <f t="shared" si="475"/>
        <v>16669.04</v>
      </c>
      <c r="T515">
        <f t="shared" si="476"/>
        <v>0</v>
      </c>
      <c r="U515">
        <f t="shared" si="477"/>
        <v>25.12</v>
      </c>
      <c r="V515">
        <f t="shared" si="478"/>
        <v>0</v>
      </c>
      <c r="W515">
        <f t="shared" si="479"/>
        <v>0</v>
      </c>
      <c r="X515">
        <f t="shared" si="480"/>
        <v>11668.33</v>
      </c>
      <c r="Y515">
        <f t="shared" si="481"/>
        <v>1666.9</v>
      </c>
      <c r="AA515">
        <v>1472506909</v>
      </c>
      <c r="AB515">
        <f t="shared" si="482"/>
        <v>4191</v>
      </c>
      <c r="AC515">
        <f>ROUND(((ES515*2)),6)</f>
        <v>20.16</v>
      </c>
      <c r="AD515">
        <f>ROUND(((((ET515*2))-((EU515*2)))+AE515),6)</f>
        <v>3.58</v>
      </c>
      <c r="AE515">
        <f>ROUND(((EU515*2)),6)</f>
        <v>0.04</v>
      </c>
      <c r="AF515">
        <f>ROUND(((EV515*2)),6)</f>
        <v>4167.26</v>
      </c>
      <c r="AG515">
        <f t="shared" si="483"/>
        <v>0</v>
      </c>
      <c r="AH515">
        <f>((EW515*2))</f>
        <v>6.28</v>
      </c>
      <c r="AI515">
        <f>((EX515*2))</f>
        <v>0</v>
      </c>
      <c r="AJ515">
        <f t="shared" si="484"/>
        <v>0</v>
      </c>
      <c r="AK515">
        <v>2095.5</v>
      </c>
      <c r="AL515">
        <v>10.08</v>
      </c>
      <c r="AM515">
        <v>1.79</v>
      </c>
      <c r="AN515">
        <v>0.02</v>
      </c>
      <c r="AO515">
        <v>2083.63</v>
      </c>
      <c r="AP515">
        <v>0</v>
      </c>
      <c r="AQ515">
        <v>3.14</v>
      </c>
      <c r="AR515">
        <v>0</v>
      </c>
      <c r="AS515">
        <v>0</v>
      </c>
      <c r="AT515">
        <v>70</v>
      </c>
      <c r="AU515">
        <v>10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1</v>
      </c>
      <c r="BD515" t="s">
        <v>3</v>
      </c>
      <c r="BE515" t="s">
        <v>3</v>
      </c>
      <c r="BF515" t="s">
        <v>3</v>
      </c>
      <c r="BG515" t="s">
        <v>3</v>
      </c>
      <c r="BH515">
        <v>0</v>
      </c>
      <c r="BI515">
        <v>4</v>
      </c>
      <c r="BJ515" t="s">
        <v>395</v>
      </c>
      <c r="BM515">
        <v>0</v>
      </c>
      <c r="BN515">
        <v>0</v>
      </c>
      <c r="BO515" t="s">
        <v>3</v>
      </c>
      <c r="BP515">
        <v>0</v>
      </c>
      <c r="BQ515">
        <v>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70</v>
      </c>
      <c r="CA515">
        <v>10</v>
      </c>
      <c r="CB515" t="s">
        <v>3</v>
      </c>
      <c r="CE515">
        <v>0</v>
      </c>
      <c r="CF515">
        <v>0</v>
      </c>
      <c r="CG515">
        <v>0</v>
      </c>
      <c r="CM515">
        <v>0</v>
      </c>
      <c r="CN515" t="s">
        <v>3</v>
      </c>
      <c r="CO515">
        <v>0</v>
      </c>
      <c r="CP515">
        <f t="shared" si="485"/>
        <v>16764</v>
      </c>
      <c r="CQ515">
        <f t="shared" si="486"/>
        <v>20.16</v>
      </c>
      <c r="CR515">
        <f>(((((ET515*2))*BB515-((EU515*2))*BS515)+AE515*BS515)*AV515)</f>
        <v>3.58</v>
      </c>
      <c r="CS515">
        <f t="shared" si="487"/>
        <v>0.04</v>
      </c>
      <c r="CT515">
        <f t="shared" si="488"/>
        <v>4167.26</v>
      </c>
      <c r="CU515">
        <f t="shared" si="489"/>
        <v>0</v>
      </c>
      <c r="CV515">
        <f t="shared" si="490"/>
        <v>6.28</v>
      </c>
      <c r="CW515">
        <f t="shared" si="491"/>
        <v>0</v>
      </c>
      <c r="CX515">
        <f t="shared" si="492"/>
        <v>0</v>
      </c>
      <c r="CY515">
        <f t="shared" si="493"/>
        <v>11668.328000000001</v>
      </c>
      <c r="CZ515">
        <f t="shared" si="494"/>
        <v>1666.9040000000002</v>
      </c>
      <c r="DC515" t="s">
        <v>3</v>
      </c>
      <c r="DD515" t="s">
        <v>28</v>
      </c>
      <c r="DE515" t="s">
        <v>28</v>
      </c>
      <c r="DF515" t="s">
        <v>28</v>
      </c>
      <c r="DG515" t="s">
        <v>28</v>
      </c>
      <c r="DH515" t="s">
        <v>3</v>
      </c>
      <c r="DI515" t="s">
        <v>28</v>
      </c>
      <c r="DJ515" t="s">
        <v>28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1013</v>
      </c>
      <c r="DV515" t="s">
        <v>386</v>
      </c>
      <c r="DW515" t="s">
        <v>386</v>
      </c>
      <c r="DX515">
        <v>1</v>
      </c>
      <c r="DZ515" t="s">
        <v>3</v>
      </c>
      <c r="EA515" t="s">
        <v>3</v>
      </c>
      <c r="EB515" t="s">
        <v>3</v>
      </c>
      <c r="EC515" t="s">
        <v>3</v>
      </c>
      <c r="EE515">
        <v>1441815344</v>
      </c>
      <c r="EF515">
        <v>1</v>
      </c>
      <c r="EG515" t="s">
        <v>22</v>
      </c>
      <c r="EH515">
        <v>0</v>
      </c>
      <c r="EI515" t="s">
        <v>3</v>
      </c>
      <c r="EJ515">
        <v>4</v>
      </c>
      <c r="EK515">
        <v>0</v>
      </c>
      <c r="EL515" t="s">
        <v>23</v>
      </c>
      <c r="EM515" t="s">
        <v>24</v>
      </c>
      <c r="EO515" t="s">
        <v>3</v>
      </c>
      <c r="EQ515">
        <v>0</v>
      </c>
      <c r="ER515">
        <v>2095.5</v>
      </c>
      <c r="ES515">
        <v>10.08</v>
      </c>
      <c r="ET515">
        <v>1.79</v>
      </c>
      <c r="EU515">
        <v>0.02</v>
      </c>
      <c r="EV515">
        <v>2083.63</v>
      </c>
      <c r="EW515">
        <v>3.14</v>
      </c>
      <c r="EX515">
        <v>0</v>
      </c>
      <c r="EY515">
        <v>0</v>
      </c>
      <c r="FQ515">
        <v>0</v>
      </c>
      <c r="FR515">
        <f t="shared" si="495"/>
        <v>0</v>
      </c>
      <c r="FS515">
        <v>0</v>
      </c>
      <c r="FX515">
        <v>70</v>
      </c>
      <c r="FY515">
        <v>10</v>
      </c>
      <c r="GA515" t="s">
        <v>3</v>
      </c>
      <c r="GD515">
        <v>0</v>
      </c>
      <c r="GF515">
        <v>984652662</v>
      </c>
      <c r="GG515">
        <v>2</v>
      </c>
      <c r="GH515">
        <v>1</v>
      </c>
      <c r="GI515">
        <v>-2</v>
      </c>
      <c r="GJ515">
        <v>0</v>
      </c>
      <c r="GK515">
        <f>ROUND(R515*(R12)/100,2)</f>
        <v>0.17</v>
      </c>
      <c r="GL515">
        <f t="shared" si="496"/>
        <v>0</v>
      </c>
      <c r="GM515">
        <f t="shared" si="497"/>
        <v>30099.4</v>
      </c>
      <c r="GN515">
        <f t="shared" si="498"/>
        <v>0</v>
      </c>
      <c r="GO515">
        <f t="shared" si="499"/>
        <v>0</v>
      </c>
      <c r="GP515">
        <f t="shared" si="500"/>
        <v>30099.4</v>
      </c>
      <c r="GR515">
        <v>0</v>
      </c>
      <c r="GS515">
        <v>3</v>
      </c>
      <c r="GT515">
        <v>0</v>
      </c>
      <c r="GU515" t="s">
        <v>3</v>
      </c>
      <c r="GV515">
        <f t="shared" si="501"/>
        <v>0</v>
      </c>
      <c r="GW515">
        <v>1</v>
      </c>
      <c r="GX515">
        <f t="shared" si="502"/>
        <v>0</v>
      </c>
      <c r="HA515">
        <v>0</v>
      </c>
      <c r="HB515">
        <v>0</v>
      </c>
      <c r="HC515">
        <f t="shared" si="503"/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1</v>
      </c>
      <c r="D516">
        <f>ROW(EtalonRes!A281)</f>
        <v>281</v>
      </c>
      <c r="E516" t="s">
        <v>3</v>
      </c>
      <c r="F516" t="s">
        <v>396</v>
      </c>
      <c r="G516" t="s">
        <v>397</v>
      </c>
      <c r="H516" t="s">
        <v>386</v>
      </c>
      <c r="I516">
        <v>4</v>
      </c>
      <c r="J516">
        <v>0</v>
      </c>
      <c r="K516">
        <v>4</v>
      </c>
      <c r="O516">
        <f t="shared" si="471"/>
        <v>8300.7199999999993</v>
      </c>
      <c r="P516">
        <f t="shared" si="472"/>
        <v>5.04</v>
      </c>
      <c r="Q516">
        <f t="shared" si="473"/>
        <v>14.32</v>
      </c>
      <c r="R516">
        <f t="shared" si="474"/>
        <v>0.16</v>
      </c>
      <c r="S516">
        <f t="shared" si="475"/>
        <v>8281.36</v>
      </c>
      <c r="T516">
        <f t="shared" si="476"/>
        <v>0</v>
      </c>
      <c r="U516">
        <f t="shared" si="477"/>
        <v>12.48</v>
      </c>
      <c r="V516">
        <f t="shared" si="478"/>
        <v>0</v>
      </c>
      <c r="W516">
        <f t="shared" si="479"/>
        <v>0</v>
      </c>
      <c r="X516">
        <f t="shared" si="480"/>
        <v>5796.95</v>
      </c>
      <c r="Y516">
        <f t="shared" si="481"/>
        <v>828.14</v>
      </c>
      <c r="AA516">
        <v>-1</v>
      </c>
      <c r="AB516">
        <f t="shared" si="482"/>
        <v>2075.1799999999998</v>
      </c>
      <c r="AC516">
        <f>ROUND(((ES516*2)),6)</f>
        <v>1.26</v>
      </c>
      <c r="AD516">
        <f>ROUND(((((ET516*2))-((EU516*2)))+AE516),6)</f>
        <v>3.58</v>
      </c>
      <c r="AE516">
        <f>ROUND(((EU516*2)),6)</f>
        <v>0.04</v>
      </c>
      <c r="AF516">
        <f>ROUND(((EV516*2)),6)</f>
        <v>2070.34</v>
      </c>
      <c r="AG516">
        <f t="shared" si="483"/>
        <v>0</v>
      </c>
      <c r="AH516">
        <f>((EW516*2))</f>
        <v>3.12</v>
      </c>
      <c r="AI516">
        <f>((EX516*2))</f>
        <v>0</v>
      </c>
      <c r="AJ516">
        <f t="shared" si="484"/>
        <v>0</v>
      </c>
      <c r="AK516">
        <v>1037.5899999999999</v>
      </c>
      <c r="AL516">
        <v>0.63</v>
      </c>
      <c r="AM516">
        <v>1.79</v>
      </c>
      <c r="AN516">
        <v>0.02</v>
      </c>
      <c r="AO516">
        <v>1035.17</v>
      </c>
      <c r="AP516">
        <v>0</v>
      </c>
      <c r="AQ516">
        <v>1.56</v>
      </c>
      <c r="AR516">
        <v>0</v>
      </c>
      <c r="AS516">
        <v>0</v>
      </c>
      <c r="AT516">
        <v>70</v>
      </c>
      <c r="AU516">
        <v>10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1</v>
      </c>
      <c r="BD516" t="s">
        <v>3</v>
      </c>
      <c r="BE516" t="s">
        <v>3</v>
      </c>
      <c r="BF516" t="s">
        <v>3</v>
      </c>
      <c r="BG516" t="s">
        <v>3</v>
      </c>
      <c r="BH516">
        <v>0</v>
      </c>
      <c r="BI516">
        <v>4</v>
      </c>
      <c r="BJ516" t="s">
        <v>398</v>
      </c>
      <c r="BM516">
        <v>0</v>
      </c>
      <c r="BN516">
        <v>0</v>
      </c>
      <c r="BO516" t="s">
        <v>3</v>
      </c>
      <c r="BP516">
        <v>0</v>
      </c>
      <c r="BQ516">
        <v>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70</v>
      </c>
      <c r="CA516">
        <v>10</v>
      </c>
      <c r="CB516" t="s">
        <v>3</v>
      </c>
      <c r="CE516">
        <v>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485"/>
        <v>8300.7200000000012</v>
      </c>
      <c r="CQ516">
        <f t="shared" si="486"/>
        <v>1.26</v>
      </c>
      <c r="CR516">
        <f>(((((ET516*2))*BB516-((EU516*2))*BS516)+AE516*BS516)*AV516)</f>
        <v>3.58</v>
      </c>
      <c r="CS516">
        <f t="shared" si="487"/>
        <v>0.04</v>
      </c>
      <c r="CT516">
        <f t="shared" si="488"/>
        <v>2070.34</v>
      </c>
      <c r="CU516">
        <f t="shared" si="489"/>
        <v>0</v>
      </c>
      <c r="CV516">
        <f t="shared" si="490"/>
        <v>3.12</v>
      </c>
      <c r="CW516">
        <f t="shared" si="491"/>
        <v>0</v>
      </c>
      <c r="CX516">
        <f t="shared" si="492"/>
        <v>0</v>
      </c>
      <c r="CY516">
        <f t="shared" si="493"/>
        <v>5796.9520000000011</v>
      </c>
      <c r="CZ516">
        <f t="shared" si="494"/>
        <v>828.13600000000008</v>
      </c>
      <c r="DC516" t="s">
        <v>3</v>
      </c>
      <c r="DD516" t="s">
        <v>28</v>
      </c>
      <c r="DE516" t="s">
        <v>28</v>
      </c>
      <c r="DF516" t="s">
        <v>28</v>
      </c>
      <c r="DG516" t="s">
        <v>28</v>
      </c>
      <c r="DH516" t="s">
        <v>3</v>
      </c>
      <c r="DI516" t="s">
        <v>28</v>
      </c>
      <c r="DJ516" t="s">
        <v>28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1013</v>
      </c>
      <c r="DV516" t="s">
        <v>386</v>
      </c>
      <c r="DW516" t="s">
        <v>386</v>
      </c>
      <c r="DX516">
        <v>1</v>
      </c>
      <c r="DZ516" t="s">
        <v>3</v>
      </c>
      <c r="EA516" t="s">
        <v>3</v>
      </c>
      <c r="EB516" t="s">
        <v>3</v>
      </c>
      <c r="EC516" t="s">
        <v>3</v>
      </c>
      <c r="EE516">
        <v>1441815344</v>
      </c>
      <c r="EF516">
        <v>1</v>
      </c>
      <c r="EG516" t="s">
        <v>22</v>
      </c>
      <c r="EH516">
        <v>0</v>
      </c>
      <c r="EI516" t="s">
        <v>3</v>
      </c>
      <c r="EJ516">
        <v>4</v>
      </c>
      <c r="EK516">
        <v>0</v>
      </c>
      <c r="EL516" t="s">
        <v>23</v>
      </c>
      <c r="EM516" t="s">
        <v>24</v>
      </c>
      <c r="EO516" t="s">
        <v>3</v>
      </c>
      <c r="EQ516">
        <v>1024</v>
      </c>
      <c r="ER516">
        <v>1037.5899999999999</v>
      </c>
      <c r="ES516">
        <v>0.63</v>
      </c>
      <c r="ET516">
        <v>1.79</v>
      </c>
      <c r="EU516">
        <v>0.02</v>
      </c>
      <c r="EV516">
        <v>1035.17</v>
      </c>
      <c r="EW516">
        <v>1.56</v>
      </c>
      <c r="EX516">
        <v>0</v>
      </c>
      <c r="EY516">
        <v>0</v>
      </c>
      <c r="FQ516">
        <v>0</v>
      </c>
      <c r="FR516">
        <f t="shared" si="495"/>
        <v>0</v>
      </c>
      <c r="FS516">
        <v>0</v>
      </c>
      <c r="FX516">
        <v>70</v>
      </c>
      <c r="FY516">
        <v>10</v>
      </c>
      <c r="GA516" t="s">
        <v>3</v>
      </c>
      <c r="GD516">
        <v>0</v>
      </c>
      <c r="GF516">
        <v>1684339458</v>
      </c>
      <c r="GG516">
        <v>2</v>
      </c>
      <c r="GH516">
        <v>1</v>
      </c>
      <c r="GI516">
        <v>-2</v>
      </c>
      <c r="GJ516">
        <v>0</v>
      </c>
      <c r="GK516">
        <f>ROUND(R516*(R12)/100,2)</f>
        <v>0.17</v>
      </c>
      <c r="GL516">
        <f t="shared" si="496"/>
        <v>0</v>
      </c>
      <c r="GM516">
        <f t="shared" si="497"/>
        <v>14925.98</v>
      </c>
      <c r="GN516">
        <f t="shared" si="498"/>
        <v>0</v>
      </c>
      <c r="GO516">
        <f t="shared" si="499"/>
        <v>0</v>
      </c>
      <c r="GP516">
        <f t="shared" si="500"/>
        <v>14925.98</v>
      </c>
      <c r="GR516">
        <v>0</v>
      </c>
      <c r="GS516">
        <v>3</v>
      </c>
      <c r="GT516">
        <v>0</v>
      </c>
      <c r="GU516" t="s">
        <v>3</v>
      </c>
      <c r="GV516">
        <f t="shared" si="501"/>
        <v>0</v>
      </c>
      <c r="GW516">
        <v>1</v>
      </c>
      <c r="GX516">
        <f t="shared" si="502"/>
        <v>0</v>
      </c>
      <c r="HA516">
        <v>0</v>
      </c>
      <c r="HB516">
        <v>0</v>
      </c>
      <c r="HC516">
        <f t="shared" si="503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1</v>
      </c>
      <c r="D517">
        <f>ROW(EtalonRes!A295)</f>
        <v>295</v>
      </c>
      <c r="E517" t="s">
        <v>3</v>
      </c>
      <c r="F517" t="s">
        <v>399</v>
      </c>
      <c r="G517" t="s">
        <v>400</v>
      </c>
      <c r="H517" t="s">
        <v>386</v>
      </c>
      <c r="I517">
        <v>1</v>
      </c>
      <c r="J517">
        <v>0</v>
      </c>
      <c r="K517">
        <v>1</v>
      </c>
      <c r="O517">
        <f t="shared" si="471"/>
        <v>43111.8</v>
      </c>
      <c r="P517">
        <f t="shared" si="472"/>
        <v>2412.23</v>
      </c>
      <c r="Q517">
        <f t="shared" si="473"/>
        <v>0</v>
      </c>
      <c r="R517">
        <f t="shared" si="474"/>
        <v>0</v>
      </c>
      <c r="S517">
        <f t="shared" si="475"/>
        <v>40699.57</v>
      </c>
      <c r="T517">
        <f t="shared" si="476"/>
        <v>0</v>
      </c>
      <c r="U517">
        <f t="shared" si="477"/>
        <v>61.333333333333336</v>
      </c>
      <c r="V517">
        <f t="shared" si="478"/>
        <v>0</v>
      </c>
      <c r="W517">
        <f t="shared" si="479"/>
        <v>0</v>
      </c>
      <c r="X517">
        <f t="shared" si="480"/>
        <v>28489.7</v>
      </c>
      <c r="Y517">
        <f t="shared" si="481"/>
        <v>4069.96</v>
      </c>
      <c r="AA517">
        <v>-1</v>
      </c>
      <c r="AB517">
        <f t="shared" si="482"/>
        <v>43111.8</v>
      </c>
      <c r="AC517">
        <f>ROUND((((ES517/12)*8)),6)</f>
        <v>2412.2266669999999</v>
      </c>
      <c r="AD517">
        <f>ROUND((((((ET517/12)*8))-(((EU517/12)*8)))+AE517),6)</f>
        <v>0</v>
      </c>
      <c r="AE517">
        <f>ROUND((((EU517/12)*8)),6)</f>
        <v>0</v>
      </c>
      <c r="AF517">
        <f>ROUND((((EV517/12)*8)),6)</f>
        <v>40699.573333</v>
      </c>
      <c r="AG517">
        <f t="shared" si="483"/>
        <v>0</v>
      </c>
      <c r="AH517">
        <f>(((EW517/12)*8))</f>
        <v>61.333333333333336</v>
      </c>
      <c r="AI517">
        <f>(((EX517/12)*8))</f>
        <v>0</v>
      </c>
      <c r="AJ517">
        <f t="shared" si="484"/>
        <v>0</v>
      </c>
      <c r="AK517">
        <v>64667.7</v>
      </c>
      <c r="AL517">
        <v>3618.34</v>
      </c>
      <c r="AM517">
        <v>0</v>
      </c>
      <c r="AN517">
        <v>0</v>
      </c>
      <c r="AO517">
        <v>61049.36</v>
      </c>
      <c r="AP517">
        <v>0</v>
      </c>
      <c r="AQ517">
        <v>92</v>
      </c>
      <c r="AR517">
        <v>0</v>
      </c>
      <c r="AS517">
        <v>0</v>
      </c>
      <c r="AT517">
        <v>70</v>
      </c>
      <c r="AU517">
        <v>10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1</v>
      </c>
      <c r="BD517" t="s">
        <v>3</v>
      </c>
      <c r="BE517" t="s">
        <v>3</v>
      </c>
      <c r="BF517" t="s">
        <v>3</v>
      </c>
      <c r="BG517" t="s">
        <v>3</v>
      </c>
      <c r="BH517">
        <v>0</v>
      </c>
      <c r="BI517">
        <v>4</v>
      </c>
      <c r="BJ517" t="s">
        <v>401</v>
      </c>
      <c r="BM517">
        <v>0</v>
      </c>
      <c r="BN517">
        <v>0</v>
      </c>
      <c r="BO517" t="s">
        <v>3</v>
      </c>
      <c r="BP517">
        <v>0</v>
      </c>
      <c r="BQ517">
        <v>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70</v>
      </c>
      <c r="CA517">
        <v>10</v>
      </c>
      <c r="CB517" t="s">
        <v>3</v>
      </c>
      <c r="CE517">
        <v>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si="485"/>
        <v>43111.8</v>
      </c>
      <c r="CQ517">
        <f t="shared" si="486"/>
        <v>2412.2266669999999</v>
      </c>
      <c r="CR517">
        <f>((((((ET517/12)*8))*BB517-(((EU517/12)*8))*BS517)+AE517*BS517)*AV517)</f>
        <v>0</v>
      </c>
      <c r="CS517">
        <f t="shared" si="487"/>
        <v>0</v>
      </c>
      <c r="CT517">
        <f t="shared" si="488"/>
        <v>40699.573333</v>
      </c>
      <c r="CU517">
        <f t="shared" si="489"/>
        <v>0</v>
      </c>
      <c r="CV517">
        <f t="shared" si="490"/>
        <v>61.333333333333336</v>
      </c>
      <c r="CW517">
        <f t="shared" si="491"/>
        <v>0</v>
      </c>
      <c r="CX517">
        <f t="shared" si="492"/>
        <v>0</v>
      </c>
      <c r="CY517">
        <f t="shared" si="493"/>
        <v>28489.699000000001</v>
      </c>
      <c r="CZ517">
        <f t="shared" si="494"/>
        <v>4069.9570000000003</v>
      </c>
      <c r="DC517" t="s">
        <v>3</v>
      </c>
      <c r="DD517" t="s">
        <v>388</v>
      </c>
      <c r="DE517" t="s">
        <v>388</v>
      </c>
      <c r="DF517" t="s">
        <v>388</v>
      </c>
      <c r="DG517" t="s">
        <v>388</v>
      </c>
      <c r="DH517" t="s">
        <v>3</v>
      </c>
      <c r="DI517" t="s">
        <v>388</v>
      </c>
      <c r="DJ517" t="s">
        <v>388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1013</v>
      </c>
      <c r="DV517" t="s">
        <v>386</v>
      </c>
      <c r="DW517" t="s">
        <v>386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1441815344</v>
      </c>
      <c r="EF517">
        <v>1</v>
      </c>
      <c r="EG517" t="s">
        <v>22</v>
      </c>
      <c r="EH517">
        <v>0</v>
      </c>
      <c r="EI517" t="s">
        <v>3</v>
      </c>
      <c r="EJ517">
        <v>4</v>
      </c>
      <c r="EK517">
        <v>0</v>
      </c>
      <c r="EL517" t="s">
        <v>23</v>
      </c>
      <c r="EM517" t="s">
        <v>24</v>
      </c>
      <c r="EO517" t="s">
        <v>3</v>
      </c>
      <c r="EQ517">
        <v>1024</v>
      </c>
      <c r="ER517">
        <v>64667.7</v>
      </c>
      <c r="ES517">
        <v>3618.34</v>
      </c>
      <c r="ET517">
        <v>0</v>
      </c>
      <c r="EU517">
        <v>0</v>
      </c>
      <c r="EV517">
        <v>61049.36</v>
      </c>
      <c r="EW517">
        <v>92</v>
      </c>
      <c r="EX517">
        <v>0</v>
      </c>
      <c r="EY517">
        <v>0</v>
      </c>
      <c r="FQ517">
        <v>0</v>
      </c>
      <c r="FR517">
        <f t="shared" si="495"/>
        <v>0</v>
      </c>
      <c r="FS517">
        <v>0</v>
      </c>
      <c r="FX517">
        <v>70</v>
      </c>
      <c r="FY517">
        <v>10</v>
      </c>
      <c r="GA517" t="s">
        <v>3</v>
      </c>
      <c r="GD517">
        <v>0</v>
      </c>
      <c r="GF517">
        <v>-78482255</v>
      </c>
      <c r="GG517">
        <v>2</v>
      </c>
      <c r="GH517">
        <v>1</v>
      </c>
      <c r="GI517">
        <v>-2</v>
      </c>
      <c r="GJ517">
        <v>0</v>
      </c>
      <c r="GK517">
        <f>ROUND(R517*(R12)/100,2)</f>
        <v>0</v>
      </c>
      <c r="GL517">
        <f t="shared" si="496"/>
        <v>0</v>
      </c>
      <c r="GM517">
        <f t="shared" si="497"/>
        <v>75671.460000000006</v>
      </c>
      <c r="GN517">
        <f t="shared" si="498"/>
        <v>0</v>
      </c>
      <c r="GO517">
        <f t="shared" si="499"/>
        <v>0</v>
      </c>
      <c r="GP517">
        <f t="shared" si="500"/>
        <v>75671.460000000006</v>
      </c>
      <c r="GR517">
        <v>0</v>
      </c>
      <c r="GS517">
        <v>3</v>
      </c>
      <c r="GT517">
        <v>0</v>
      </c>
      <c r="GU517" t="s">
        <v>3</v>
      </c>
      <c r="GV517">
        <f t="shared" si="501"/>
        <v>0</v>
      </c>
      <c r="GW517">
        <v>1</v>
      </c>
      <c r="GX517">
        <f t="shared" si="502"/>
        <v>0</v>
      </c>
      <c r="HA517">
        <v>0</v>
      </c>
      <c r="HB517">
        <v>0</v>
      </c>
      <c r="HC517">
        <f t="shared" si="503"/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1</v>
      </c>
      <c r="D518">
        <f>ROW(EtalonRes!A299)</f>
        <v>299</v>
      </c>
      <c r="E518" t="s">
        <v>3</v>
      </c>
      <c r="F518" t="s">
        <v>402</v>
      </c>
      <c r="G518" t="s">
        <v>403</v>
      </c>
      <c r="H518" t="s">
        <v>386</v>
      </c>
      <c r="I518">
        <v>1</v>
      </c>
      <c r="J518">
        <v>0</v>
      </c>
      <c r="K518">
        <v>1</v>
      </c>
      <c r="O518">
        <f t="shared" si="471"/>
        <v>6342.48</v>
      </c>
      <c r="P518">
        <f t="shared" si="472"/>
        <v>22.45</v>
      </c>
      <c r="Q518">
        <f t="shared" si="473"/>
        <v>16.07</v>
      </c>
      <c r="R518">
        <f t="shared" si="474"/>
        <v>0.22</v>
      </c>
      <c r="S518">
        <f t="shared" si="475"/>
        <v>6303.96</v>
      </c>
      <c r="T518">
        <f t="shared" si="476"/>
        <v>0</v>
      </c>
      <c r="U518">
        <f t="shared" si="477"/>
        <v>9.5</v>
      </c>
      <c r="V518">
        <f t="shared" si="478"/>
        <v>0</v>
      </c>
      <c r="W518">
        <f t="shared" si="479"/>
        <v>0</v>
      </c>
      <c r="X518">
        <f t="shared" si="480"/>
        <v>4412.7700000000004</v>
      </c>
      <c r="Y518">
        <f t="shared" si="481"/>
        <v>630.4</v>
      </c>
      <c r="AA518">
        <v>-1</v>
      </c>
      <c r="AB518">
        <f t="shared" si="482"/>
        <v>6342.48</v>
      </c>
      <c r="AC518">
        <f>ROUND((ES518),6)</f>
        <v>22.45</v>
      </c>
      <c r="AD518">
        <f>ROUND((((ET518)-(EU518))+AE518),6)</f>
        <v>16.07</v>
      </c>
      <c r="AE518">
        <f>ROUND((EU518),6)</f>
        <v>0.22</v>
      </c>
      <c r="AF518">
        <f>ROUND((EV518),6)</f>
        <v>6303.96</v>
      </c>
      <c r="AG518">
        <f t="shared" si="483"/>
        <v>0</v>
      </c>
      <c r="AH518">
        <f>(EW518)</f>
        <v>9.5</v>
      </c>
      <c r="AI518">
        <f>(EX518)</f>
        <v>0</v>
      </c>
      <c r="AJ518">
        <f t="shared" si="484"/>
        <v>0</v>
      </c>
      <c r="AK518">
        <v>6342.48</v>
      </c>
      <c r="AL518">
        <v>22.45</v>
      </c>
      <c r="AM518">
        <v>16.07</v>
      </c>
      <c r="AN518">
        <v>0.22</v>
      </c>
      <c r="AO518">
        <v>6303.96</v>
      </c>
      <c r="AP518">
        <v>0</v>
      </c>
      <c r="AQ518">
        <v>9.5</v>
      </c>
      <c r="AR518">
        <v>0</v>
      </c>
      <c r="AS518">
        <v>0</v>
      </c>
      <c r="AT518">
        <v>70</v>
      </c>
      <c r="AU518">
        <v>10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1</v>
      </c>
      <c r="BD518" t="s">
        <v>3</v>
      </c>
      <c r="BE518" t="s">
        <v>3</v>
      </c>
      <c r="BF518" t="s">
        <v>3</v>
      </c>
      <c r="BG518" t="s">
        <v>3</v>
      </c>
      <c r="BH518">
        <v>0</v>
      </c>
      <c r="BI518">
        <v>4</v>
      </c>
      <c r="BJ518" t="s">
        <v>404</v>
      </c>
      <c r="BM518">
        <v>0</v>
      </c>
      <c r="BN518">
        <v>0</v>
      </c>
      <c r="BO518" t="s">
        <v>3</v>
      </c>
      <c r="BP518">
        <v>0</v>
      </c>
      <c r="BQ518">
        <v>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70</v>
      </c>
      <c r="CA518">
        <v>10</v>
      </c>
      <c r="CB518" t="s">
        <v>3</v>
      </c>
      <c r="CE518">
        <v>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485"/>
        <v>6342.4800000000005</v>
      </c>
      <c r="CQ518">
        <f t="shared" si="486"/>
        <v>22.45</v>
      </c>
      <c r="CR518">
        <f>((((ET518)*BB518-(EU518)*BS518)+AE518*BS518)*AV518)</f>
        <v>16.07</v>
      </c>
      <c r="CS518">
        <f t="shared" si="487"/>
        <v>0.22</v>
      </c>
      <c r="CT518">
        <f t="shared" si="488"/>
        <v>6303.96</v>
      </c>
      <c r="CU518">
        <f t="shared" si="489"/>
        <v>0</v>
      </c>
      <c r="CV518">
        <f t="shared" si="490"/>
        <v>9.5</v>
      </c>
      <c r="CW518">
        <f t="shared" si="491"/>
        <v>0</v>
      </c>
      <c r="CX518">
        <f t="shared" si="492"/>
        <v>0</v>
      </c>
      <c r="CY518">
        <f t="shared" si="493"/>
        <v>4412.7719999999999</v>
      </c>
      <c r="CZ518">
        <f t="shared" si="494"/>
        <v>630.39599999999996</v>
      </c>
      <c r="DC518" t="s">
        <v>3</v>
      </c>
      <c r="DD518" t="s">
        <v>3</v>
      </c>
      <c r="DE518" t="s">
        <v>3</v>
      </c>
      <c r="DF518" t="s">
        <v>3</v>
      </c>
      <c r="DG518" t="s">
        <v>3</v>
      </c>
      <c r="DH518" t="s">
        <v>3</v>
      </c>
      <c r="DI518" t="s">
        <v>3</v>
      </c>
      <c r="DJ518" t="s">
        <v>3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1013</v>
      </c>
      <c r="DV518" t="s">
        <v>386</v>
      </c>
      <c r="DW518" t="s">
        <v>386</v>
      </c>
      <c r="DX518">
        <v>1</v>
      </c>
      <c r="DZ518" t="s">
        <v>3</v>
      </c>
      <c r="EA518" t="s">
        <v>3</v>
      </c>
      <c r="EB518" t="s">
        <v>3</v>
      </c>
      <c r="EC518" t="s">
        <v>3</v>
      </c>
      <c r="EE518">
        <v>1441815344</v>
      </c>
      <c r="EF518">
        <v>1</v>
      </c>
      <c r="EG518" t="s">
        <v>22</v>
      </c>
      <c r="EH518">
        <v>0</v>
      </c>
      <c r="EI518" t="s">
        <v>3</v>
      </c>
      <c r="EJ518">
        <v>4</v>
      </c>
      <c r="EK518">
        <v>0</v>
      </c>
      <c r="EL518" t="s">
        <v>23</v>
      </c>
      <c r="EM518" t="s">
        <v>24</v>
      </c>
      <c r="EO518" t="s">
        <v>3</v>
      </c>
      <c r="EQ518">
        <v>1311744</v>
      </c>
      <c r="ER518">
        <v>6342.48</v>
      </c>
      <c r="ES518">
        <v>22.45</v>
      </c>
      <c r="ET518">
        <v>16.07</v>
      </c>
      <c r="EU518">
        <v>0.22</v>
      </c>
      <c r="EV518">
        <v>6303.96</v>
      </c>
      <c r="EW518">
        <v>9.5</v>
      </c>
      <c r="EX518">
        <v>0</v>
      </c>
      <c r="EY518">
        <v>0</v>
      </c>
      <c r="FQ518">
        <v>0</v>
      </c>
      <c r="FR518">
        <f t="shared" si="495"/>
        <v>0</v>
      </c>
      <c r="FS518">
        <v>0</v>
      </c>
      <c r="FX518">
        <v>70</v>
      </c>
      <c r="FY518">
        <v>10</v>
      </c>
      <c r="GA518" t="s">
        <v>3</v>
      </c>
      <c r="GD518">
        <v>0</v>
      </c>
      <c r="GF518">
        <v>2139662597</v>
      </c>
      <c r="GG518">
        <v>2</v>
      </c>
      <c r="GH518">
        <v>1</v>
      </c>
      <c r="GI518">
        <v>-2</v>
      </c>
      <c r="GJ518">
        <v>0</v>
      </c>
      <c r="GK518">
        <f>ROUND(R518*(R12)/100,2)</f>
        <v>0.24</v>
      </c>
      <c r="GL518">
        <f t="shared" si="496"/>
        <v>0</v>
      </c>
      <c r="GM518">
        <f t="shared" si="497"/>
        <v>11385.89</v>
      </c>
      <c r="GN518">
        <f t="shared" si="498"/>
        <v>0</v>
      </c>
      <c r="GO518">
        <f t="shared" si="499"/>
        <v>0</v>
      </c>
      <c r="GP518">
        <f t="shared" si="500"/>
        <v>11385.89</v>
      </c>
      <c r="GR518">
        <v>0</v>
      </c>
      <c r="GS518">
        <v>3</v>
      </c>
      <c r="GT518">
        <v>0</v>
      </c>
      <c r="GU518" t="s">
        <v>3</v>
      </c>
      <c r="GV518">
        <f t="shared" si="501"/>
        <v>0</v>
      </c>
      <c r="GW518">
        <v>1</v>
      </c>
      <c r="GX518">
        <f t="shared" si="502"/>
        <v>0</v>
      </c>
      <c r="HA518">
        <v>0</v>
      </c>
      <c r="HB518">
        <v>0</v>
      </c>
      <c r="HC518">
        <f t="shared" si="503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19" spans="1:245" x14ac:dyDescent="0.2">
      <c r="A519">
        <v>17</v>
      </c>
      <c r="B519">
        <v>1</v>
      </c>
      <c r="D519">
        <f>ROW(EtalonRes!A302)</f>
        <v>302</v>
      </c>
      <c r="E519" t="s">
        <v>405</v>
      </c>
      <c r="F519" t="s">
        <v>406</v>
      </c>
      <c r="G519" t="s">
        <v>407</v>
      </c>
      <c r="H519" t="s">
        <v>386</v>
      </c>
      <c r="I519">
        <v>1</v>
      </c>
      <c r="J519">
        <v>0</v>
      </c>
      <c r="K519">
        <v>1</v>
      </c>
      <c r="O519">
        <f t="shared" si="471"/>
        <v>5058.5</v>
      </c>
      <c r="P519">
        <f t="shared" si="472"/>
        <v>35.9</v>
      </c>
      <c r="Q519">
        <f t="shared" si="473"/>
        <v>5.96</v>
      </c>
      <c r="R519">
        <f t="shared" si="474"/>
        <v>0.08</v>
      </c>
      <c r="S519">
        <f t="shared" si="475"/>
        <v>5016.6400000000003</v>
      </c>
      <c r="T519">
        <f t="shared" si="476"/>
        <v>0</v>
      </c>
      <c r="U519">
        <f t="shared" si="477"/>
        <v>7.56</v>
      </c>
      <c r="V519">
        <f t="shared" si="478"/>
        <v>0</v>
      </c>
      <c r="W519">
        <f t="shared" si="479"/>
        <v>0</v>
      </c>
      <c r="X519">
        <f t="shared" si="480"/>
        <v>3511.65</v>
      </c>
      <c r="Y519">
        <f t="shared" si="481"/>
        <v>501.66</v>
      </c>
      <c r="AA519">
        <v>1472506909</v>
      </c>
      <c r="AB519">
        <f t="shared" si="482"/>
        <v>5058.5</v>
      </c>
      <c r="AC519">
        <f>ROUND(((ES519*2)),6)</f>
        <v>35.9</v>
      </c>
      <c r="AD519">
        <f>ROUND(((((ET519*2))-((EU519*2)))+AE519),6)</f>
        <v>5.96</v>
      </c>
      <c r="AE519">
        <f>ROUND(((EU519*2)),6)</f>
        <v>0.08</v>
      </c>
      <c r="AF519">
        <f>ROUND(((EV519*2)),6)</f>
        <v>5016.6400000000003</v>
      </c>
      <c r="AG519">
        <f t="shared" si="483"/>
        <v>0</v>
      </c>
      <c r="AH519">
        <f>((EW519*2))</f>
        <v>7.56</v>
      </c>
      <c r="AI519">
        <f>((EX519*2))</f>
        <v>0</v>
      </c>
      <c r="AJ519">
        <f t="shared" si="484"/>
        <v>0</v>
      </c>
      <c r="AK519">
        <v>2529.25</v>
      </c>
      <c r="AL519">
        <v>17.95</v>
      </c>
      <c r="AM519">
        <v>2.98</v>
      </c>
      <c r="AN519">
        <v>0.04</v>
      </c>
      <c r="AO519">
        <v>2508.3200000000002</v>
      </c>
      <c r="AP519">
        <v>0</v>
      </c>
      <c r="AQ519">
        <v>3.78</v>
      </c>
      <c r="AR519">
        <v>0</v>
      </c>
      <c r="AS519">
        <v>0</v>
      </c>
      <c r="AT519">
        <v>70</v>
      </c>
      <c r="AU519">
        <v>10</v>
      </c>
      <c r="AV519">
        <v>1</v>
      </c>
      <c r="AW519">
        <v>1</v>
      </c>
      <c r="AZ519">
        <v>1</v>
      </c>
      <c r="BA519">
        <v>1</v>
      </c>
      <c r="BB519">
        <v>1</v>
      </c>
      <c r="BC519">
        <v>1</v>
      </c>
      <c r="BD519" t="s">
        <v>3</v>
      </c>
      <c r="BE519" t="s">
        <v>3</v>
      </c>
      <c r="BF519" t="s">
        <v>3</v>
      </c>
      <c r="BG519" t="s">
        <v>3</v>
      </c>
      <c r="BH519">
        <v>0</v>
      </c>
      <c r="BI519">
        <v>4</v>
      </c>
      <c r="BJ519" t="s">
        <v>408</v>
      </c>
      <c r="BM519">
        <v>0</v>
      </c>
      <c r="BN519">
        <v>0</v>
      </c>
      <c r="BO519" t="s">
        <v>3</v>
      </c>
      <c r="BP519">
        <v>0</v>
      </c>
      <c r="BQ519">
        <v>1</v>
      </c>
      <c r="BR519">
        <v>0</v>
      </c>
      <c r="BS519">
        <v>1</v>
      </c>
      <c r="BT519">
        <v>1</v>
      </c>
      <c r="BU519">
        <v>1</v>
      </c>
      <c r="BV519">
        <v>1</v>
      </c>
      <c r="BW519">
        <v>1</v>
      </c>
      <c r="BX519">
        <v>1</v>
      </c>
      <c r="BY519" t="s">
        <v>3</v>
      </c>
      <c r="BZ519">
        <v>70</v>
      </c>
      <c r="CA519">
        <v>10</v>
      </c>
      <c r="CB519" t="s">
        <v>3</v>
      </c>
      <c r="CE519">
        <v>0</v>
      </c>
      <c r="CF519">
        <v>0</v>
      </c>
      <c r="CG519">
        <v>0</v>
      </c>
      <c r="CM519">
        <v>0</v>
      </c>
      <c r="CN519" t="s">
        <v>3</v>
      </c>
      <c r="CO519">
        <v>0</v>
      </c>
      <c r="CP519">
        <f t="shared" si="485"/>
        <v>5058.5</v>
      </c>
      <c r="CQ519">
        <f t="shared" si="486"/>
        <v>35.9</v>
      </c>
      <c r="CR519">
        <f>(((((ET519*2))*BB519-((EU519*2))*BS519)+AE519*BS519)*AV519)</f>
        <v>5.96</v>
      </c>
      <c r="CS519">
        <f t="shared" si="487"/>
        <v>0.08</v>
      </c>
      <c r="CT519">
        <f t="shared" si="488"/>
        <v>5016.6400000000003</v>
      </c>
      <c r="CU519">
        <f t="shared" si="489"/>
        <v>0</v>
      </c>
      <c r="CV519">
        <f t="shared" si="490"/>
        <v>7.56</v>
      </c>
      <c r="CW519">
        <f t="shared" si="491"/>
        <v>0</v>
      </c>
      <c r="CX519">
        <f t="shared" si="492"/>
        <v>0</v>
      </c>
      <c r="CY519">
        <f t="shared" si="493"/>
        <v>3511.6480000000006</v>
      </c>
      <c r="CZ519">
        <f t="shared" si="494"/>
        <v>501.66399999999999</v>
      </c>
      <c r="DC519" t="s">
        <v>3</v>
      </c>
      <c r="DD519" t="s">
        <v>28</v>
      </c>
      <c r="DE519" t="s">
        <v>28</v>
      </c>
      <c r="DF519" t="s">
        <v>28</v>
      </c>
      <c r="DG519" t="s">
        <v>28</v>
      </c>
      <c r="DH519" t="s">
        <v>3</v>
      </c>
      <c r="DI519" t="s">
        <v>28</v>
      </c>
      <c r="DJ519" t="s">
        <v>28</v>
      </c>
      <c r="DK519" t="s">
        <v>3</v>
      </c>
      <c r="DL519" t="s">
        <v>3</v>
      </c>
      <c r="DM519" t="s">
        <v>3</v>
      </c>
      <c r="DN519">
        <v>0</v>
      </c>
      <c r="DO519">
        <v>0</v>
      </c>
      <c r="DP519">
        <v>1</v>
      </c>
      <c r="DQ519">
        <v>1</v>
      </c>
      <c r="DU519">
        <v>1013</v>
      </c>
      <c r="DV519" t="s">
        <v>386</v>
      </c>
      <c r="DW519" t="s">
        <v>386</v>
      </c>
      <c r="DX519">
        <v>1</v>
      </c>
      <c r="DZ519" t="s">
        <v>3</v>
      </c>
      <c r="EA519" t="s">
        <v>3</v>
      </c>
      <c r="EB519" t="s">
        <v>3</v>
      </c>
      <c r="EC519" t="s">
        <v>3</v>
      </c>
      <c r="EE519">
        <v>1441815344</v>
      </c>
      <c r="EF519">
        <v>1</v>
      </c>
      <c r="EG519" t="s">
        <v>22</v>
      </c>
      <c r="EH519">
        <v>0</v>
      </c>
      <c r="EI519" t="s">
        <v>3</v>
      </c>
      <c r="EJ519">
        <v>4</v>
      </c>
      <c r="EK519">
        <v>0</v>
      </c>
      <c r="EL519" t="s">
        <v>23</v>
      </c>
      <c r="EM519" t="s">
        <v>24</v>
      </c>
      <c r="EO519" t="s">
        <v>3</v>
      </c>
      <c r="EQ519">
        <v>0</v>
      </c>
      <c r="ER519">
        <v>2529.25</v>
      </c>
      <c r="ES519">
        <v>17.95</v>
      </c>
      <c r="ET519">
        <v>2.98</v>
      </c>
      <c r="EU519">
        <v>0.04</v>
      </c>
      <c r="EV519">
        <v>2508.3200000000002</v>
      </c>
      <c r="EW519">
        <v>3.78</v>
      </c>
      <c r="EX519">
        <v>0</v>
      </c>
      <c r="EY519">
        <v>0</v>
      </c>
      <c r="FQ519">
        <v>0</v>
      </c>
      <c r="FR519">
        <f t="shared" si="495"/>
        <v>0</v>
      </c>
      <c r="FS519">
        <v>0</v>
      </c>
      <c r="FX519">
        <v>70</v>
      </c>
      <c r="FY519">
        <v>10</v>
      </c>
      <c r="GA519" t="s">
        <v>3</v>
      </c>
      <c r="GD519">
        <v>0</v>
      </c>
      <c r="GF519">
        <v>-1927278573</v>
      </c>
      <c r="GG519">
        <v>2</v>
      </c>
      <c r="GH519">
        <v>1</v>
      </c>
      <c r="GI519">
        <v>-2</v>
      </c>
      <c r="GJ519">
        <v>0</v>
      </c>
      <c r="GK519">
        <f>ROUND(R519*(R12)/100,2)</f>
        <v>0.09</v>
      </c>
      <c r="GL519">
        <f t="shared" si="496"/>
        <v>0</v>
      </c>
      <c r="GM519">
        <f t="shared" si="497"/>
        <v>9071.9</v>
      </c>
      <c r="GN519">
        <f t="shared" si="498"/>
        <v>0</v>
      </c>
      <c r="GO519">
        <f t="shared" si="499"/>
        <v>0</v>
      </c>
      <c r="GP519">
        <f t="shared" si="500"/>
        <v>9071.9</v>
      </c>
      <c r="GR519">
        <v>0</v>
      </c>
      <c r="GS519">
        <v>3</v>
      </c>
      <c r="GT519">
        <v>0</v>
      </c>
      <c r="GU519" t="s">
        <v>3</v>
      </c>
      <c r="GV519">
        <f t="shared" si="501"/>
        <v>0</v>
      </c>
      <c r="GW519">
        <v>1</v>
      </c>
      <c r="GX519">
        <f t="shared" si="502"/>
        <v>0</v>
      </c>
      <c r="HA519">
        <v>0</v>
      </c>
      <c r="HB519">
        <v>0</v>
      </c>
      <c r="HC519">
        <f t="shared" si="503"/>
        <v>0</v>
      </c>
      <c r="HE519" t="s">
        <v>3</v>
      </c>
      <c r="HF519" t="s">
        <v>3</v>
      </c>
      <c r="HM519" t="s">
        <v>3</v>
      </c>
      <c r="HN519" t="s">
        <v>3</v>
      </c>
      <c r="HO519" t="s">
        <v>3</v>
      </c>
      <c r="HP519" t="s">
        <v>3</v>
      </c>
      <c r="HQ519" t="s">
        <v>3</v>
      </c>
      <c r="IK519">
        <v>0</v>
      </c>
    </row>
    <row r="520" spans="1:245" x14ac:dyDescent="0.2">
      <c r="A520">
        <v>17</v>
      </c>
      <c r="B520">
        <v>1</v>
      </c>
      <c r="D520">
        <f>ROW(EtalonRes!A305)</f>
        <v>305</v>
      </c>
      <c r="E520" t="s">
        <v>3</v>
      </c>
      <c r="F520" t="s">
        <v>409</v>
      </c>
      <c r="G520" t="s">
        <v>410</v>
      </c>
      <c r="H520" t="s">
        <v>386</v>
      </c>
      <c r="I520">
        <v>1</v>
      </c>
      <c r="J520">
        <v>0</v>
      </c>
      <c r="K520">
        <v>1</v>
      </c>
      <c r="O520">
        <f t="shared" si="471"/>
        <v>2609.06</v>
      </c>
      <c r="P520">
        <f t="shared" si="472"/>
        <v>1.88</v>
      </c>
      <c r="Q520">
        <f t="shared" si="473"/>
        <v>5.96</v>
      </c>
      <c r="R520">
        <f t="shared" si="474"/>
        <v>0.08</v>
      </c>
      <c r="S520">
        <f t="shared" si="475"/>
        <v>2601.2199999999998</v>
      </c>
      <c r="T520">
        <f t="shared" si="476"/>
        <v>0</v>
      </c>
      <c r="U520">
        <f t="shared" si="477"/>
        <v>3.92</v>
      </c>
      <c r="V520">
        <f t="shared" si="478"/>
        <v>0</v>
      </c>
      <c r="W520">
        <f t="shared" si="479"/>
        <v>0</v>
      </c>
      <c r="X520">
        <f t="shared" si="480"/>
        <v>1820.85</v>
      </c>
      <c r="Y520">
        <f t="shared" si="481"/>
        <v>260.12</v>
      </c>
      <c r="AA520">
        <v>-1</v>
      </c>
      <c r="AB520">
        <f t="shared" si="482"/>
        <v>2609.06</v>
      </c>
      <c r="AC520">
        <f>ROUND(((ES520*2)),6)</f>
        <v>1.88</v>
      </c>
      <c r="AD520">
        <f>ROUND(((((ET520*2))-((EU520*2)))+AE520),6)</f>
        <v>5.96</v>
      </c>
      <c r="AE520">
        <f>ROUND(((EU520*2)),6)</f>
        <v>0.08</v>
      </c>
      <c r="AF520">
        <f>ROUND(((EV520*2)),6)</f>
        <v>2601.2199999999998</v>
      </c>
      <c r="AG520">
        <f t="shared" si="483"/>
        <v>0</v>
      </c>
      <c r="AH520">
        <f>((EW520*2))</f>
        <v>3.92</v>
      </c>
      <c r="AI520">
        <f>((EX520*2))</f>
        <v>0</v>
      </c>
      <c r="AJ520">
        <f t="shared" si="484"/>
        <v>0</v>
      </c>
      <c r="AK520">
        <v>1304.53</v>
      </c>
      <c r="AL520">
        <v>0.94</v>
      </c>
      <c r="AM520">
        <v>2.98</v>
      </c>
      <c r="AN520">
        <v>0.04</v>
      </c>
      <c r="AO520">
        <v>1300.6099999999999</v>
      </c>
      <c r="AP520">
        <v>0</v>
      </c>
      <c r="AQ520">
        <v>1.96</v>
      </c>
      <c r="AR520">
        <v>0</v>
      </c>
      <c r="AS520">
        <v>0</v>
      </c>
      <c r="AT520">
        <v>70</v>
      </c>
      <c r="AU520">
        <v>10</v>
      </c>
      <c r="AV520">
        <v>1</v>
      </c>
      <c r="AW520">
        <v>1</v>
      </c>
      <c r="AZ520">
        <v>1</v>
      </c>
      <c r="BA520">
        <v>1</v>
      </c>
      <c r="BB520">
        <v>1</v>
      </c>
      <c r="BC520">
        <v>1</v>
      </c>
      <c r="BD520" t="s">
        <v>3</v>
      </c>
      <c r="BE520" t="s">
        <v>3</v>
      </c>
      <c r="BF520" t="s">
        <v>3</v>
      </c>
      <c r="BG520" t="s">
        <v>3</v>
      </c>
      <c r="BH520">
        <v>0</v>
      </c>
      <c r="BI520">
        <v>4</v>
      </c>
      <c r="BJ520" t="s">
        <v>411</v>
      </c>
      <c r="BM520">
        <v>0</v>
      </c>
      <c r="BN520">
        <v>0</v>
      </c>
      <c r="BO520" t="s">
        <v>3</v>
      </c>
      <c r="BP520">
        <v>0</v>
      </c>
      <c r="BQ520">
        <v>1</v>
      </c>
      <c r="BR520">
        <v>0</v>
      </c>
      <c r="BS520">
        <v>1</v>
      </c>
      <c r="BT520">
        <v>1</v>
      </c>
      <c r="BU520">
        <v>1</v>
      </c>
      <c r="BV520">
        <v>1</v>
      </c>
      <c r="BW520">
        <v>1</v>
      </c>
      <c r="BX520">
        <v>1</v>
      </c>
      <c r="BY520" t="s">
        <v>3</v>
      </c>
      <c r="BZ520">
        <v>70</v>
      </c>
      <c r="CA520">
        <v>10</v>
      </c>
      <c r="CB520" t="s">
        <v>3</v>
      </c>
      <c r="CE520">
        <v>0</v>
      </c>
      <c r="CF520">
        <v>0</v>
      </c>
      <c r="CG520">
        <v>0</v>
      </c>
      <c r="CM520">
        <v>0</v>
      </c>
      <c r="CN520" t="s">
        <v>3</v>
      </c>
      <c r="CO520">
        <v>0</v>
      </c>
      <c r="CP520">
        <f t="shared" si="485"/>
        <v>2609.06</v>
      </c>
      <c r="CQ520">
        <f t="shared" si="486"/>
        <v>1.88</v>
      </c>
      <c r="CR520">
        <f>(((((ET520*2))*BB520-((EU520*2))*BS520)+AE520*BS520)*AV520)</f>
        <v>5.96</v>
      </c>
      <c r="CS520">
        <f t="shared" si="487"/>
        <v>0.08</v>
      </c>
      <c r="CT520">
        <f t="shared" si="488"/>
        <v>2601.2199999999998</v>
      </c>
      <c r="CU520">
        <f t="shared" si="489"/>
        <v>0</v>
      </c>
      <c r="CV520">
        <f t="shared" si="490"/>
        <v>3.92</v>
      </c>
      <c r="CW520">
        <f t="shared" si="491"/>
        <v>0</v>
      </c>
      <c r="CX520">
        <f t="shared" si="492"/>
        <v>0</v>
      </c>
      <c r="CY520">
        <f t="shared" si="493"/>
        <v>1820.854</v>
      </c>
      <c r="CZ520">
        <f t="shared" si="494"/>
        <v>260.12199999999996</v>
      </c>
      <c r="DC520" t="s">
        <v>3</v>
      </c>
      <c r="DD520" t="s">
        <v>28</v>
      </c>
      <c r="DE520" t="s">
        <v>28</v>
      </c>
      <c r="DF520" t="s">
        <v>28</v>
      </c>
      <c r="DG520" t="s">
        <v>28</v>
      </c>
      <c r="DH520" t="s">
        <v>3</v>
      </c>
      <c r="DI520" t="s">
        <v>28</v>
      </c>
      <c r="DJ520" t="s">
        <v>28</v>
      </c>
      <c r="DK520" t="s">
        <v>3</v>
      </c>
      <c r="DL520" t="s">
        <v>3</v>
      </c>
      <c r="DM520" t="s">
        <v>3</v>
      </c>
      <c r="DN520">
        <v>0</v>
      </c>
      <c r="DO520">
        <v>0</v>
      </c>
      <c r="DP520">
        <v>1</v>
      </c>
      <c r="DQ520">
        <v>1</v>
      </c>
      <c r="DU520">
        <v>1013</v>
      </c>
      <c r="DV520" t="s">
        <v>386</v>
      </c>
      <c r="DW520" t="s">
        <v>386</v>
      </c>
      <c r="DX520">
        <v>1</v>
      </c>
      <c r="DZ520" t="s">
        <v>3</v>
      </c>
      <c r="EA520" t="s">
        <v>3</v>
      </c>
      <c r="EB520" t="s">
        <v>3</v>
      </c>
      <c r="EC520" t="s">
        <v>3</v>
      </c>
      <c r="EE520">
        <v>1441815344</v>
      </c>
      <c r="EF520">
        <v>1</v>
      </c>
      <c r="EG520" t="s">
        <v>22</v>
      </c>
      <c r="EH520">
        <v>0</v>
      </c>
      <c r="EI520" t="s">
        <v>3</v>
      </c>
      <c r="EJ520">
        <v>4</v>
      </c>
      <c r="EK520">
        <v>0</v>
      </c>
      <c r="EL520" t="s">
        <v>23</v>
      </c>
      <c r="EM520" t="s">
        <v>24</v>
      </c>
      <c r="EO520" t="s">
        <v>3</v>
      </c>
      <c r="EQ520">
        <v>1024</v>
      </c>
      <c r="ER520">
        <v>1304.53</v>
      </c>
      <c r="ES520">
        <v>0.94</v>
      </c>
      <c r="ET520">
        <v>2.98</v>
      </c>
      <c r="EU520">
        <v>0.04</v>
      </c>
      <c r="EV520">
        <v>1300.6099999999999</v>
      </c>
      <c r="EW520">
        <v>1.96</v>
      </c>
      <c r="EX520">
        <v>0</v>
      </c>
      <c r="EY520">
        <v>0</v>
      </c>
      <c r="FQ520">
        <v>0</v>
      </c>
      <c r="FR520">
        <f t="shared" si="495"/>
        <v>0</v>
      </c>
      <c r="FS520">
        <v>0</v>
      </c>
      <c r="FX520">
        <v>70</v>
      </c>
      <c r="FY520">
        <v>10</v>
      </c>
      <c r="GA520" t="s">
        <v>3</v>
      </c>
      <c r="GD520">
        <v>0</v>
      </c>
      <c r="GF520">
        <v>-978389559</v>
      </c>
      <c r="GG520">
        <v>2</v>
      </c>
      <c r="GH520">
        <v>1</v>
      </c>
      <c r="GI520">
        <v>-2</v>
      </c>
      <c r="GJ520">
        <v>0</v>
      </c>
      <c r="GK520">
        <f>ROUND(R520*(R12)/100,2)</f>
        <v>0.09</v>
      </c>
      <c r="GL520">
        <f t="shared" si="496"/>
        <v>0</v>
      </c>
      <c r="GM520">
        <f t="shared" si="497"/>
        <v>4690.12</v>
      </c>
      <c r="GN520">
        <f t="shared" si="498"/>
        <v>0</v>
      </c>
      <c r="GO520">
        <f t="shared" si="499"/>
        <v>0</v>
      </c>
      <c r="GP520">
        <f t="shared" si="500"/>
        <v>4690.12</v>
      </c>
      <c r="GR520">
        <v>0</v>
      </c>
      <c r="GS520">
        <v>3</v>
      </c>
      <c r="GT520">
        <v>0</v>
      </c>
      <c r="GU520" t="s">
        <v>3</v>
      </c>
      <c r="GV520">
        <f t="shared" si="501"/>
        <v>0</v>
      </c>
      <c r="GW520">
        <v>1</v>
      </c>
      <c r="GX520">
        <f t="shared" si="502"/>
        <v>0</v>
      </c>
      <c r="HA520">
        <v>0</v>
      </c>
      <c r="HB520">
        <v>0</v>
      </c>
      <c r="HC520">
        <f t="shared" si="503"/>
        <v>0</v>
      </c>
      <c r="HE520" t="s">
        <v>3</v>
      </c>
      <c r="HF520" t="s">
        <v>3</v>
      </c>
      <c r="HM520" t="s">
        <v>3</v>
      </c>
      <c r="HN520" t="s">
        <v>3</v>
      </c>
      <c r="HO520" t="s">
        <v>3</v>
      </c>
      <c r="HP520" t="s">
        <v>3</v>
      </c>
      <c r="HQ520" t="s">
        <v>3</v>
      </c>
      <c r="IK520">
        <v>0</v>
      </c>
    </row>
    <row r="521" spans="1:245" x14ac:dyDescent="0.2">
      <c r="A521">
        <v>17</v>
      </c>
      <c r="B521">
        <v>1</v>
      </c>
      <c r="D521">
        <f>ROW(EtalonRes!A319)</f>
        <v>319</v>
      </c>
      <c r="E521" t="s">
        <v>3</v>
      </c>
      <c r="F521" t="s">
        <v>412</v>
      </c>
      <c r="G521" t="s">
        <v>413</v>
      </c>
      <c r="H521" t="s">
        <v>386</v>
      </c>
      <c r="I521">
        <v>3</v>
      </c>
      <c r="J521">
        <v>0</v>
      </c>
      <c r="K521">
        <v>3</v>
      </c>
      <c r="O521">
        <f t="shared" si="471"/>
        <v>191033.76</v>
      </c>
      <c r="P521">
        <f t="shared" si="472"/>
        <v>11867.16</v>
      </c>
      <c r="Q521">
        <f t="shared" si="473"/>
        <v>0</v>
      </c>
      <c r="R521">
        <f t="shared" si="474"/>
        <v>0</v>
      </c>
      <c r="S521">
        <f t="shared" si="475"/>
        <v>179166.6</v>
      </c>
      <c r="T521">
        <f t="shared" si="476"/>
        <v>0</v>
      </c>
      <c r="U521">
        <f t="shared" si="477"/>
        <v>270</v>
      </c>
      <c r="V521">
        <f t="shared" si="478"/>
        <v>0</v>
      </c>
      <c r="W521">
        <f t="shared" si="479"/>
        <v>0</v>
      </c>
      <c r="X521">
        <f t="shared" si="480"/>
        <v>125416.62</v>
      </c>
      <c r="Y521">
        <f t="shared" si="481"/>
        <v>17916.66</v>
      </c>
      <c r="AA521">
        <v>-1</v>
      </c>
      <c r="AB521">
        <f t="shared" si="482"/>
        <v>63677.919999999998</v>
      </c>
      <c r="AC521">
        <f>ROUND((((ES521/12)*8)),6)</f>
        <v>3955.72</v>
      </c>
      <c r="AD521">
        <f>ROUND((((((ET521/12)*8))-(((EU521/12)*8)))+AE521),6)</f>
        <v>0</v>
      </c>
      <c r="AE521">
        <f>ROUND((((EU521/12)*8)),6)</f>
        <v>0</v>
      </c>
      <c r="AF521">
        <f>ROUND((((EV521/12)*8)),6)</f>
        <v>59722.2</v>
      </c>
      <c r="AG521">
        <f t="shared" si="483"/>
        <v>0</v>
      </c>
      <c r="AH521">
        <f>(((EW521/12)*8))</f>
        <v>90</v>
      </c>
      <c r="AI521">
        <f>(((EX521/12)*8))</f>
        <v>0</v>
      </c>
      <c r="AJ521">
        <f t="shared" si="484"/>
        <v>0</v>
      </c>
      <c r="AK521">
        <v>95516.88</v>
      </c>
      <c r="AL521">
        <v>5933.58</v>
      </c>
      <c r="AM521">
        <v>0</v>
      </c>
      <c r="AN521">
        <v>0</v>
      </c>
      <c r="AO521">
        <v>89583.3</v>
      </c>
      <c r="AP521">
        <v>0</v>
      </c>
      <c r="AQ521">
        <v>135</v>
      </c>
      <c r="AR521">
        <v>0</v>
      </c>
      <c r="AS521">
        <v>0</v>
      </c>
      <c r="AT521">
        <v>70</v>
      </c>
      <c r="AU521">
        <v>10</v>
      </c>
      <c r="AV521">
        <v>1</v>
      </c>
      <c r="AW521">
        <v>1</v>
      </c>
      <c r="AZ521">
        <v>1</v>
      </c>
      <c r="BA521">
        <v>1</v>
      </c>
      <c r="BB521">
        <v>1</v>
      </c>
      <c r="BC521">
        <v>1</v>
      </c>
      <c r="BD521" t="s">
        <v>3</v>
      </c>
      <c r="BE521" t="s">
        <v>3</v>
      </c>
      <c r="BF521" t="s">
        <v>3</v>
      </c>
      <c r="BG521" t="s">
        <v>3</v>
      </c>
      <c r="BH521">
        <v>0</v>
      </c>
      <c r="BI521">
        <v>4</v>
      </c>
      <c r="BJ521" t="s">
        <v>414</v>
      </c>
      <c r="BM521">
        <v>0</v>
      </c>
      <c r="BN521">
        <v>0</v>
      </c>
      <c r="BO521" t="s">
        <v>3</v>
      </c>
      <c r="BP521">
        <v>0</v>
      </c>
      <c r="BQ521">
        <v>1</v>
      </c>
      <c r="BR521">
        <v>0</v>
      </c>
      <c r="BS521">
        <v>1</v>
      </c>
      <c r="BT521">
        <v>1</v>
      </c>
      <c r="BU521">
        <v>1</v>
      </c>
      <c r="BV521">
        <v>1</v>
      </c>
      <c r="BW521">
        <v>1</v>
      </c>
      <c r="BX521">
        <v>1</v>
      </c>
      <c r="BY521" t="s">
        <v>3</v>
      </c>
      <c r="BZ521">
        <v>70</v>
      </c>
      <c r="CA521">
        <v>10</v>
      </c>
      <c r="CB521" t="s">
        <v>3</v>
      </c>
      <c r="CE521">
        <v>0</v>
      </c>
      <c r="CF521">
        <v>0</v>
      </c>
      <c r="CG521">
        <v>0</v>
      </c>
      <c r="CM521">
        <v>0</v>
      </c>
      <c r="CN521" t="s">
        <v>3</v>
      </c>
      <c r="CO521">
        <v>0</v>
      </c>
      <c r="CP521">
        <f t="shared" si="485"/>
        <v>191033.76</v>
      </c>
      <c r="CQ521">
        <f t="shared" si="486"/>
        <v>3955.72</v>
      </c>
      <c r="CR521">
        <f>((((((ET521/12)*8))*BB521-(((EU521/12)*8))*BS521)+AE521*BS521)*AV521)</f>
        <v>0</v>
      </c>
      <c r="CS521">
        <f t="shared" si="487"/>
        <v>0</v>
      </c>
      <c r="CT521">
        <f t="shared" si="488"/>
        <v>59722.2</v>
      </c>
      <c r="CU521">
        <f t="shared" si="489"/>
        <v>0</v>
      </c>
      <c r="CV521">
        <f t="shared" si="490"/>
        <v>90</v>
      </c>
      <c r="CW521">
        <f t="shared" si="491"/>
        <v>0</v>
      </c>
      <c r="CX521">
        <f t="shared" si="492"/>
        <v>0</v>
      </c>
      <c r="CY521">
        <f t="shared" si="493"/>
        <v>125416.62</v>
      </c>
      <c r="CZ521">
        <f t="shared" si="494"/>
        <v>17916.66</v>
      </c>
      <c r="DC521" t="s">
        <v>3</v>
      </c>
      <c r="DD521" t="s">
        <v>388</v>
      </c>
      <c r="DE521" t="s">
        <v>388</v>
      </c>
      <c r="DF521" t="s">
        <v>388</v>
      </c>
      <c r="DG521" t="s">
        <v>388</v>
      </c>
      <c r="DH521" t="s">
        <v>3</v>
      </c>
      <c r="DI521" t="s">
        <v>388</v>
      </c>
      <c r="DJ521" t="s">
        <v>388</v>
      </c>
      <c r="DK521" t="s">
        <v>3</v>
      </c>
      <c r="DL521" t="s">
        <v>3</v>
      </c>
      <c r="DM521" t="s">
        <v>3</v>
      </c>
      <c r="DN521">
        <v>0</v>
      </c>
      <c r="DO521">
        <v>0</v>
      </c>
      <c r="DP521">
        <v>1</v>
      </c>
      <c r="DQ521">
        <v>1</v>
      </c>
      <c r="DU521">
        <v>1013</v>
      </c>
      <c r="DV521" t="s">
        <v>386</v>
      </c>
      <c r="DW521" t="s">
        <v>386</v>
      </c>
      <c r="DX521">
        <v>1</v>
      </c>
      <c r="DZ521" t="s">
        <v>3</v>
      </c>
      <c r="EA521" t="s">
        <v>3</v>
      </c>
      <c r="EB521" t="s">
        <v>3</v>
      </c>
      <c r="EC521" t="s">
        <v>3</v>
      </c>
      <c r="EE521">
        <v>1441815344</v>
      </c>
      <c r="EF521">
        <v>1</v>
      </c>
      <c r="EG521" t="s">
        <v>22</v>
      </c>
      <c r="EH521">
        <v>0</v>
      </c>
      <c r="EI521" t="s">
        <v>3</v>
      </c>
      <c r="EJ521">
        <v>4</v>
      </c>
      <c r="EK521">
        <v>0</v>
      </c>
      <c r="EL521" t="s">
        <v>23</v>
      </c>
      <c r="EM521" t="s">
        <v>24</v>
      </c>
      <c r="EO521" t="s">
        <v>3</v>
      </c>
      <c r="EQ521">
        <v>1024</v>
      </c>
      <c r="ER521">
        <v>95516.88</v>
      </c>
      <c r="ES521">
        <v>5933.58</v>
      </c>
      <c r="ET521">
        <v>0</v>
      </c>
      <c r="EU521">
        <v>0</v>
      </c>
      <c r="EV521">
        <v>89583.3</v>
      </c>
      <c r="EW521">
        <v>135</v>
      </c>
      <c r="EX521">
        <v>0</v>
      </c>
      <c r="EY521">
        <v>0</v>
      </c>
      <c r="FQ521">
        <v>0</v>
      </c>
      <c r="FR521">
        <f t="shared" si="495"/>
        <v>0</v>
      </c>
      <c r="FS521">
        <v>0</v>
      </c>
      <c r="FX521">
        <v>70</v>
      </c>
      <c r="FY521">
        <v>10</v>
      </c>
      <c r="GA521" t="s">
        <v>3</v>
      </c>
      <c r="GD521">
        <v>0</v>
      </c>
      <c r="GF521">
        <v>-1845601765</v>
      </c>
      <c r="GG521">
        <v>2</v>
      </c>
      <c r="GH521">
        <v>1</v>
      </c>
      <c r="GI521">
        <v>-2</v>
      </c>
      <c r="GJ521">
        <v>0</v>
      </c>
      <c r="GK521">
        <f>ROUND(R521*(R12)/100,2)</f>
        <v>0</v>
      </c>
      <c r="GL521">
        <f t="shared" si="496"/>
        <v>0</v>
      </c>
      <c r="GM521">
        <f t="shared" si="497"/>
        <v>334367.03999999998</v>
      </c>
      <c r="GN521">
        <f t="shared" si="498"/>
        <v>0</v>
      </c>
      <c r="GO521">
        <f t="shared" si="499"/>
        <v>0</v>
      </c>
      <c r="GP521">
        <f t="shared" si="500"/>
        <v>334367.03999999998</v>
      </c>
      <c r="GR521">
        <v>0</v>
      </c>
      <c r="GS521">
        <v>3</v>
      </c>
      <c r="GT521">
        <v>0</v>
      </c>
      <c r="GU521" t="s">
        <v>3</v>
      </c>
      <c r="GV521">
        <f t="shared" si="501"/>
        <v>0</v>
      </c>
      <c r="GW521">
        <v>1</v>
      </c>
      <c r="GX521">
        <f t="shared" si="502"/>
        <v>0</v>
      </c>
      <c r="HA521">
        <v>0</v>
      </c>
      <c r="HB521">
        <v>0</v>
      </c>
      <c r="HC521">
        <f t="shared" si="503"/>
        <v>0</v>
      </c>
      <c r="HE521" t="s">
        <v>3</v>
      </c>
      <c r="HF521" t="s">
        <v>3</v>
      </c>
      <c r="HM521" t="s">
        <v>3</v>
      </c>
      <c r="HN521" t="s">
        <v>3</v>
      </c>
      <c r="HO521" t="s">
        <v>3</v>
      </c>
      <c r="HP521" t="s">
        <v>3</v>
      </c>
      <c r="HQ521" t="s">
        <v>3</v>
      </c>
      <c r="IK521">
        <v>0</v>
      </c>
    </row>
    <row r="522" spans="1:245" x14ac:dyDescent="0.2">
      <c r="A522">
        <v>17</v>
      </c>
      <c r="B522">
        <v>1</v>
      </c>
      <c r="D522">
        <f>ROW(EtalonRes!A323)</f>
        <v>323</v>
      </c>
      <c r="E522" t="s">
        <v>3</v>
      </c>
      <c r="F522" t="s">
        <v>415</v>
      </c>
      <c r="G522" t="s">
        <v>416</v>
      </c>
      <c r="H522" t="s">
        <v>386</v>
      </c>
      <c r="I522">
        <v>3</v>
      </c>
      <c r="J522">
        <v>0</v>
      </c>
      <c r="K522">
        <v>3</v>
      </c>
      <c r="O522">
        <f t="shared" si="471"/>
        <v>41804.129999999997</v>
      </c>
      <c r="P522">
        <f t="shared" si="472"/>
        <v>169.23</v>
      </c>
      <c r="Q522">
        <f t="shared" si="473"/>
        <v>148.16999999999999</v>
      </c>
      <c r="R522">
        <f t="shared" si="474"/>
        <v>2.04</v>
      </c>
      <c r="S522">
        <f t="shared" si="475"/>
        <v>41486.730000000003</v>
      </c>
      <c r="T522">
        <f t="shared" si="476"/>
        <v>0</v>
      </c>
      <c r="U522">
        <f t="shared" si="477"/>
        <v>62.519999999999996</v>
      </c>
      <c r="V522">
        <f t="shared" si="478"/>
        <v>0</v>
      </c>
      <c r="W522">
        <f t="shared" si="479"/>
        <v>0</v>
      </c>
      <c r="X522">
        <f t="shared" si="480"/>
        <v>29040.71</v>
      </c>
      <c r="Y522">
        <f t="shared" si="481"/>
        <v>4148.67</v>
      </c>
      <c r="AA522">
        <v>-1</v>
      </c>
      <c r="AB522">
        <f t="shared" si="482"/>
        <v>13934.71</v>
      </c>
      <c r="AC522">
        <f>ROUND((ES522),6)</f>
        <v>56.41</v>
      </c>
      <c r="AD522">
        <f>ROUND((((ET522)-(EU522))+AE522),6)</f>
        <v>49.39</v>
      </c>
      <c r="AE522">
        <f>ROUND((EU522),6)</f>
        <v>0.68</v>
      </c>
      <c r="AF522">
        <f>ROUND((EV522),6)</f>
        <v>13828.91</v>
      </c>
      <c r="AG522">
        <f t="shared" si="483"/>
        <v>0</v>
      </c>
      <c r="AH522">
        <f>(EW522)</f>
        <v>20.84</v>
      </c>
      <c r="AI522">
        <f>(EX522)</f>
        <v>0</v>
      </c>
      <c r="AJ522">
        <f t="shared" si="484"/>
        <v>0</v>
      </c>
      <c r="AK522">
        <v>13934.71</v>
      </c>
      <c r="AL522">
        <v>56.41</v>
      </c>
      <c r="AM522">
        <v>49.39</v>
      </c>
      <c r="AN522">
        <v>0.68</v>
      </c>
      <c r="AO522">
        <v>13828.91</v>
      </c>
      <c r="AP522">
        <v>0</v>
      </c>
      <c r="AQ522">
        <v>20.84</v>
      </c>
      <c r="AR522">
        <v>0</v>
      </c>
      <c r="AS522">
        <v>0</v>
      </c>
      <c r="AT522">
        <v>70</v>
      </c>
      <c r="AU522">
        <v>10</v>
      </c>
      <c r="AV522">
        <v>1</v>
      </c>
      <c r="AW522">
        <v>1</v>
      </c>
      <c r="AZ522">
        <v>1</v>
      </c>
      <c r="BA522">
        <v>1</v>
      </c>
      <c r="BB522">
        <v>1</v>
      </c>
      <c r="BC522">
        <v>1</v>
      </c>
      <c r="BD522" t="s">
        <v>3</v>
      </c>
      <c r="BE522" t="s">
        <v>3</v>
      </c>
      <c r="BF522" t="s">
        <v>3</v>
      </c>
      <c r="BG522" t="s">
        <v>3</v>
      </c>
      <c r="BH522">
        <v>0</v>
      </c>
      <c r="BI522">
        <v>4</v>
      </c>
      <c r="BJ522" t="s">
        <v>417</v>
      </c>
      <c r="BM522">
        <v>0</v>
      </c>
      <c r="BN522">
        <v>0</v>
      </c>
      <c r="BO522" t="s">
        <v>3</v>
      </c>
      <c r="BP522">
        <v>0</v>
      </c>
      <c r="BQ522">
        <v>1</v>
      </c>
      <c r="BR522">
        <v>0</v>
      </c>
      <c r="BS522">
        <v>1</v>
      </c>
      <c r="BT522">
        <v>1</v>
      </c>
      <c r="BU522">
        <v>1</v>
      </c>
      <c r="BV522">
        <v>1</v>
      </c>
      <c r="BW522">
        <v>1</v>
      </c>
      <c r="BX522">
        <v>1</v>
      </c>
      <c r="BY522" t="s">
        <v>3</v>
      </c>
      <c r="BZ522">
        <v>70</v>
      </c>
      <c r="CA522">
        <v>10</v>
      </c>
      <c r="CB522" t="s">
        <v>3</v>
      </c>
      <c r="CE522">
        <v>0</v>
      </c>
      <c r="CF522">
        <v>0</v>
      </c>
      <c r="CG522">
        <v>0</v>
      </c>
      <c r="CM522">
        <v>0</v>
      </c>
      <c r="CN522" t="s">
        <v>3</v>
      </c>
      <c r="CO522">
        <v>0</v>
      </c>
      <c r="CP522">
        <f t="shared" si="485"/>
        <v>41804.130000000005</v>
      </c>
      <c r="CQ522">
        <f t="shared" si="486"/>
        <v>56.41</v>
      </c>
      <c r="CR522">
        <f>((((ET522)*BB522-(EU522)*BS522)+AE522*BS522)*AV522)</f>
        <v>49.39</v>
      </c>
      <c r="CS522">
        <f t="shared" si="487"/>
        <v>0.68</v>
      </c>
      <c r="CT522">
        <f t="shared" si="488"/>
        <v>13828.91</v>
      </c>
      <c r="CU522">
        <f t="shared" si="489"/>
        <v>0</v>
      </c>
      <c r="CV522">
        <f t="shared" si="490"/>
        <v>20.84</v>
      </c>
      <c r="CW522">
        <f t="shared" si="491"/>
        <v>0</v>
      </c>
      <c r="CX522">
        <f t="shared" si="492"/>
        <v>0</v>
      </c>
      <c r="CY522">
        <f t="shared" si="493"/>
        <v>29040.710999999999</v>
      </c>
      <c r="CZ522">
        <f t="shared" si="494"/>
        <v>4148.6730000000007</v>
      </c>
      <c r="DC522" t="s">
        <v>3</v>
      </c>
      <c r="DD522" t="s">
        <v>3</v>
      </c>
      <c r="DE522" t="s">
        <v>3</v>
      </c>
      <c r="DF522" t="s">
        <v>3</v>
      </c>
      <c r="DG522" t="s">
        <v>3</v>
      </c>
      <c r="DH522" t="s">
        <v>3</v>
      </c>
      <c r="DI522" t="s">
        <v>3</v>
      </c>
      <c r="DJ522" t="s">
        <v>3</v>
      </c>
      <c r="DK522" t="s">
        <v>3</v>
      </c>
      <c r="DL522" t="s">
        <v>3</v>
      </c>
      <c r="DM522" t="s">
        <v>3</v>
      </c>
      <c r="DN522">
        <v>0</v>
      </c>
      <c r="DO522">
        <v>0</v>
      </c>
      <c r="DP522">
        <v>1</v>
      </c>
      <c r="DQ522">
        <v>1</v>
      </c>
      <c r="DU522">
        <v>1013</v>
      </c>
      <c r="DV522" t="s">
        <v>386</v>
      </c>
      <c r="DW522" t="s">
        <v>386</v>
      </c>
      <c r="DX522">
        <v>1</v>
      </c>
      <c r="DZ522" t="s">
        <v>3</v>
      </c>
      <c r="EA522" t="s">
        <v>3</v>
      </c>
      <c r="EB522" t="s">
        <v>3</v>
      </c>
      <c r="EC522" t="s">
        <v>3</v>
      </c>
      <c r="EE522">
        <v>1441815344</v>
      </c>
      <c r="EF522">
        <v>1</v>
      </c>
      <c r="EG522" t="s">
        <v>22</v>
      </c>
      <c r="EH522">
        <v>0</v>
      </c>
      <c r="EI522" t="s">
        <v>3</v>
      </c>
      <c r="EJ522">
        <v>4</v>
      </c>
      <c r="EK522">
        <v>0</v>
      </c>
      <c r="EL522" t="s">
        <v>23</v>
      </c>
      <c r="EM522" t="s">
        <v>24</v>
      </c>
      <c r="EO522" t="s">
        <v>3</v>
      </c>
      <c r="EQ522">
        <v>1311744</v>
      </c>
      <c r="ER522">
        <v>13934.71</v>
      </c>
      <c r="ES522">
        <v>56.41</v>
      </c>
      <c r="ET522">
        <v>49.39</v>
      </c>
      <c r="EU522">
        <v>0.68</v>
      </c>
      <c r="EV522">
        <v>13828.91</v>
      </c>
      <c r="EW522">
        <v>20.84</v>
      </c>
      <c r="EX522">
        <v>0</v>
      </c>
      <c r="EY522">
        <v>0</v>
      </c>
      <c r="FQ522">
        <v>0</v>
      </c>
      <c r="FR522">
        <f t="shared" si="495"/>
        <v>0</v>
      </c>
      <c r="FS522">
        <v>0</v>
      </c>
      <c r="FX522">
        <v>70</v>
      </c>
      <c r="FY522">
        <v>10</v>
      </c>
      <c r="GA522" t="s">
        <v>3</v>
      </c>
      <c r="GD522">
        <v>0</v>
      </c>
      <c r="GF522">
        <v>360751993</v>
      </c>
      <c r="GG522">
        <v>2</v>
      </c>
      <c r="GH522">
        <v>1</v>
      </c>
      <c r="GI522">
        <v>-2</v>
      </c>
      <c r="GJ522">
        <v>0</v>
      </c>
      <c r="GK522">
        <f>ROUND(R522*(R12)/100,2)</f>
        <v>2.2000000000000002</v>
      </c>
      <c r="GL522">
        <f t="shared" si="496"/>
        <v>0</v>
      </c>
      <c r="GM522">
        <f t="shared" si="497"/>
        <v>74995.710000000006</v>
      </c>
      <c r="GN522">
        <f t="shared" si="498"/>
        <v>0</v>
      </c>
      <c r="GO522">
        <f t="shared" si="499"/>
        <v>0</v>
      </c>
      <c r="GP522">
        <f t="shared" si="500"/>
        <v>74995.710000000006</v>
      </c>
      <c r="GR522">
        <v>0</v>
      </c>
      <c r="GS522">
        <v>3</v>
      </c>
      <c r="GT522">
        <v>0</v>
      </c>
      <c r="GU522" t="s">
        <v>3</v>
      </c>
      <c r="GV522">
        <f t="shared" si="501"/>
        <v>0</v>
      </c>
      <c r="GW522">
        <v>1</v>
      </c>
      <c r="GX522">
        <f t="shared" si="502"/>
        <v>0</v>
      </c>
      <c r="HA522">
        <v>0</v>
      </c>
      <c r="HB522">
        <v>0</v>
      </c>
      <c r="HC522">
        <f t="shared" si="503"/>
        <v>0</v>
      </c>
      <c r="HE522" t="s">
        <v>3</v>
      </c>
      <c r="HF522" t="s">
        <v>3</v>
      </c>
      <c r="HM522" t="s">
        <v>3</v>
      </c>
      <c r="HN522" t="s">
        <v>3</v>
      </c>
      <c r="HO522" t="s">
        <v>3</v>
      </c>
      <c r="HP522" t="s">
        <v>3</v>
      </c>
      <c r="HQ522" t="s">
        <v>3</v>
      </c>
      <c r="IK522">
        <v>0</v>
      </c>
    </row>
    <row r="523" spans="1:245" x14ac:dyDescent="0.2">
      <c r="A523">
        <v>17</v>
      </c>
      <c r="B523">
        <v>1</v>
      </c>
      <c r="D523">
        <f>ROW(EtalonRes!A326)</f>
        <v>326</v>
      </c>
      <c r="E523" t="s">
        <v>418</v>
      </c>
      <c r="F523" t="s">
        <v>419</v>
      </c>
      <c r="G523" t="s">
        <v>420</v>
      </c>
      <c r="H523" t="s">
        <v>386</v>
      </c>
      <c r="I523">
        <v>3</v>
      </c>
      <c r="J523">
        <v>0</v>
      </c>
      <c r="K523">
        <v>3</v>
      </c>
      <c r="O523">
        <f t="shared" si="471"/>
        <v>27384.18</v>
      </c>
      <c r="P523">
        <f t="shared" si="472"/>
        <v>253.2</v>
      </c>
      <c r="Q523">
        <f t="shared" si="473"/>
        <v>57.12</v>
      </c>
      <c r="R523">
        <f t="shared" si="474"/>
        <v>0.78</v>
      </c>
      <c r="S523">
        <f t="shared" si="475"/>
        <v>27073.86</v>
      </c>
      <c r="T523">
        <f t="shared" si="476"/>
        <v>0</v>
      </c>
      <c r="U523">
        <f t="shared" si="477"/>
        <v>40.799999999999997</v>
      </c>
      <c r="V523">
        <f t="shared" si="478"/>
        <v>0</v>
      </c>
      <c r="W523">
        <f t="shared" si="479"/>
        <v>0</v>
      </c>
      <c r="X523">
        <f t="shared" si="480"/>
        <v>18951.7</v>
      </c>
      <c r="Y523">
        <f t="shared" si="481"/>
        <v>2707.39</v>
      </c>
      <c r="AA523">
        <v>1472506909</v>
      </c>
      <c r="AB523">
        <f t="shared" si="482"/>
        <v>9128.06</v>
      </c>
      <c r="AC523">
        <f>ROUND(((ES523*2)),6)</f>
        <v>84.4</v>
      </c>
      <c r="AD523">
        <f>ROUND(((((ET523*2))-((EU523*2)))+AE523),6)</f>
        <v>19.04</v>
      </c>
      <c r="AE523">
        <f>ROUND(((EU523*2)),6)</f>
        <v>0.26</v>
      </c>
      <c r="AF523">
        <f>ROUND(((EV523*2)),6)</f>
        <v>9024.6200000000008</v>
      </c>
      <c r="AG523">
        <f t="shared" si="483"/>
        <v>0</v>
      </c>
      <c r="AH523">
        <f>((EW523*2))</f>
        <v>13.6</v>
      </c>
      <c r="AI523">
        <f>((EX523*2))</f>
        <v>0</v>
      </c>
      <c r="AJ523">
        <f t="shared" si="484"/>
        <v>0</v>
      </c>
      <c r="AK523">
        <v>4564.03</v>
      </c>
      <c r="AL523">
        <v>42.2</v>
      </c>
      <c r="AM523">
        <v>9.52</v>
      </c>
      <c r="AN523">
        <v>0.13</v>
      </c>
      <c r="AO523">
        <v>4512.3100000000004</v>
      </c>
      <c r="AP523">
        <v>0</v>
      </c>
      <c r="AQ523">
        <v>6.8</v>
      </c>
      <c r="AR523">
        <v>0</v>
      </c>
      <c r="AS523">
        <v>0</v>
      </c>
      <c r="AT523">
        <v>70</v>
      </c>
      <c r="AU523">
        <v>10</v>
      </c>
      <c r="AV523">
        <v>1</v>
      </c>
      <c r="AW523">
        <v>1</v>
      </c>
      <c r="AZ523">
        <v>1</v>
      </c>
      <c r="BA523">
        <v>1</v>
      </c>
      <c r="BB523">
        <v>1</v>
      </c>
      <c r="BC523">
        <v>1</v>
      </c>
      <c r="BD523" t="s">
        <v>3</v>
      </c>
      <c r="BE523" t="s">
        <v>3</v>
      </c>
      <c r="BF523" t="s">
        <v>3</v>
      </c>
      <c r="BG523" t="s">
        <v>3</v>
      </c>
      <c r="BH523">
        <v>0</v>
      </c>
      <c r="BI523">
        <v>4</v>
      </c>
      <c r="BJ523" t="s">
        <v>421</v>
      </c>
      <c r="BM523">
        <v>0</v>
      </c>
      <c r="BN523">
        <v>0</v>
      </c>
      <c r="BO523" t="s">
        <v>3</v>
      </c>
      <c r="BP523">
        <v>0</v>
      </c>
      <c r="BQ523">
        <v>1</v>
      </c>
      <c r="BR523">
        <v>0</v>
      </c>
      <c r="BS523">
        <v>1</v>
      </c>
      <c r="BT523">
        <v>1</v>
      </c>
      <c r="BU523">
        <v>1</v>
      </c>
      <c r="BV523">
        <v>1</v>
      </c>
      <c r="BW523">
        <v>1</v>
      </c>
      <c r="BX523">
        <v>1</v>
      </c>
      <c r="BY523" t="s">
        <v>3</v>
      </c>
      <c r="BZ523">
        <v>70</v>
      </c>
      <c r="CA523">
        <v>10</v>
      </c>
      <c r="CB523" t="s">
        <v>3</v>
      </c>
      <c r="CE523">
        <v>0</v>
      </c>
      <c r="CF523">
        <v>0</v>
      </c>
      <c r="CG523">
        <v>0</v>
      </c>
      <c r="CM523">
        <v>0</v>
      </c>
      <c r="CN523" t="s">
        <v>3</v>
      </c>
      <c r="CO523">
        <v>0</v>
      </c>
      <c r="CP523">
        <f t="shared" si="485"/>
        <v>27384.18</v>
      </c>
      <c r="CQ523">
        <f t="shared" si="486"/>
        <v>84.4</v>
      </c>
      <c r="CR523">
        <f>(((((ET523*2))*BB523-((EU523*2))*BS523)+AE523*BS523)*AV523)</f>
        <v>19.04</v>
      </c>
      <c r="CS523">
        <f t="shared" si="487"/>
        <v>0.26</v>
      </c>
      <c r="CT523">
        <f t="shared" si="488"/>
        <v>9024.6200000000008</v>
      </c>
      <c r="CU523">
        <f t="shared" si="489"/>
        <v>0</v>
      </c>
      <c r="CV523">
        <f t="shared" si="490"/>
        <v>13.6</v>
      </c>
      <c r="CW523">
        <f t="shared" si="491"/>
        <v>0</v>
      </c>
      <c r="CX523">
        <f t="shared" si="492"/>
        <v>0</v>
      </c>
      <c r="CY523">
        <f t="shared" si="493"/>
        <v>18951.702000000001</v>
      </c>
      <c r="CZ523">
        <f t="shared" si="494"/>
        <v>2707.386</v>
      </c>
      <c r="DC523" t="s">
        <v>3</v>
      </c>
      <c r="DD523" t="s">
        <v>28</v>
      </c>
      <c r="DE523" t="s">
        <v>28</v>
      </c>
      <c r="DF523" t="s">
        <v>28</v>
      </c>
      <c r="DG523" t="s">
        <v>28</v>
      </c>
      <c r="DH523" t="s">
        <v>3</v>
      </c>
      <c r="DI523" t="s">
        <v>28</v>
      </c>
      <c r="DJ523" t="s">
        <v>28</v>
      </c>
      <c r="DK523" t="s">
        <v>3</v>
      </c>
      <c r="DL523" t="s">
        <v>3</v>
      </c>
      <c r="DM523" t="s">
        <v>3</v>
      </c>
      <c r="DN523">
        <v>0</v>
      </c>
      <c r="DO523">
        <v>0</v>
      </c>
      <c r="DP523">
        <v>1</v>
      </c>
      <c r="DQ523">
        <v>1</v>
      </c>
      <c r="DU523">
        <v>1013</v>
      </c>
      <c r="DV523" t="s">
        <v>386</v>
      </c>
      <c r="DW523" t="s">
        <v>386</v>
      </c>
      <c r="DX523">
        <v>1</v>
      </c>
      <c r="DZ523" t="s">
        <v>3</v>
      </c>
      <c r="EA523" t="s">
        <v>3</v>
      </c>
      <c r="EB523" t="s">
        <v>3</v>
      </c>
      <c r="EC523" t="s">
        <v>3</v>
      </c>
      <c r="EE523">
        <v>1441815344</v>
      </c>
      <c r="EF523">
        <v>1</v>
      </c>
      <c r="EG523" t="s">
        <v>22</v>
      </c>
      <c r="EH523">
        <v>0</v>
      </c>
      <c r="EI523" t="s">
        <v>3</v>
      </c>
      <c r="EJ523">
        <v>4</v>
      </c>
      <c r="EK523">
        <v>0</v>
      </c>
      <c r="EL523" t="s">
        <v>23</v>
      </c>
      <c r="EM523" t="s">
        <v>24</v>
      </c>
      <c r="EO523" t="s">
        <v>3</v>
      </c>
      <c r="EQ523">
        <v>0</v>
      </c>
      <c r="ER523">
        <v>4564.03</v>
      </c>
      <c r="ES523">
        <v>42.2</v>
      </c>
      <c r="ET523">
        <v>9.52</v>
      </c>
      <c r="EU523">
        <v>0.13</v>
      </c>
      <c r="EV523">
        <v>4512.3100000000004</v>
      </c>
      <c r="EW523">
        <v>6.8</v>
      </c>
      <c r="EX523">
        <v>0</v>
      </c>
      <c r="EY523">
        <v>0</v>
      </c>
      <c r="FQ523">
        <v>0</v>
      </c>
      <c r="FR523">
        <f t="shared" si="495"/>
        <v>0</v>
      </c>
      <c r="FS523">
        <v>0</v>
      </c>
      <c r="FX523">
        <v>70</v>
      </c>
      <c r="FY523">
        <v>10</v>
      </c>
      <c r="GA523" t="s">
        <v>3</v>
      </c>
      <c r="GD523">
        <v>0</v>
      </c>
      <c r="GF523">
        <v>-736669750</v>
      </c>
      <c r="GG523">
        <v>2</v>
      </c>
      <c r="GH523">
        <v>1</v>
      </c>
      <c r="GI523">
        <v>-2</v>
      </c>
      <c r="GJ523">
        <v>0</v>
      </c>
      <c r="GK523">
        <f>ROUND(R523*(R12)/100,2)</f>
        <v>0.84</v>
      </c>
      <c r="GL523">
        <f t="shared" si="496"/>
        <v>0</v>
      </c>
      <c r="GM523">
        <f t="shared" si="497"/>
        <v>49044.11</v>
      </c>
      <c r="GN523">
        <f t="shared" si="498"/>
        <v>0</v>
      </c>
      <c r="GO523">
        <f t="shared" si="499"/>
        <v>0</v>
      </c>
      <c r="GP523">
        <f t="shared" si="500"/>
        <v>49044.11</v>
      </c>
      <c r="GR523">
        <v>0</v>
      </c>
      <c r="GS523">
        <v>3</v>
      </c>
      <c r="GT523">
        <v>0</v>
      </c>
      <c r="GU523" t="s">
        <v>3</v>
      </c>
      <c r="GV523">
        <f t="shared" si="501"/>
        <v>0</v>
      </c>
      <c r="GW523">
        <v>1</v>
      </c>
      <c r="GX523">
        <f t="shared" si="502"/>
        <v>0</v>
      </c>
      <c r="HA523">
        <v>0</v>
      </c>
      <c r="HB523">
        <v>0</v>
      </c>
      <c r="HC523">
        <f t="shared" si="503"/>
        <v>0</v>
      </c>
      <c r="HE523" t="s">
        <v>3</v>
      </c>
      <c r="HF523" t="s">
        <v>3</v>
      </c>
      <c r="HM523" t="s">
        <v>3</v>
      </c>
      <c r="HN523" t="s">
        <v>3</v>
      </c>
      <c r="HO523" t="s">
        <v>3</v>
      </c>
      <c r="HP523" t="s">
        <v>3</v>
      </c>
      <c r="HQ523" t="s">
        <v>3</v>
      </c>
      <c r="IK523">
        <v>0</v>
      </c>
    </row>
    <row r="524" spans="1:245" x14ac:dyDescent="0.2">
      <c r="A524">
        <v>17</v>
      </c>
      <c r="B524">
        <v>1</v>
      </c>
      <c r="D524">
        <f>ROW(EtalonRes!A329)</f>
        <v>329</v>
      </c>
      <c r="E524" t="s">
        <v>3</v>
      </c>
      <c r="F524" t="s">
        <v>422</v>
      </c>
      <c r="G524" t="s">
        <v>423</v>
      </c>
      <c r="H524" t="s">
        <v>386</v>
      </c>
      <c r="I524">
        <v>3</v>
      </c>
      <c r="J524">
        <v>0</v>
      </c>
      <c r="K524">
        <v>3</v>
      </c>
      <c r="O524">
        <f t="shared" si="471"/>
        <v>15601.8</v>
      </c>
      <c r="P524">
        <f t="shared" si="472"/>
        <v>16.98</v>
      </c>
      <c r="Q524">
        <f t="shared" si="473"/>
        <v>57.12</v>
      </c>
      <c r="R524">
        <f t="shared" si="474"/>
        <v>0.78</v>
      </c>
      <c r="S524">
        <f t="shared" si="475"/>
        <v>15527.7</v>
      </c>
      <c r="T524">
        <f t="shared" si="476"/>
        <v>0</v>
      </c>
      <c r="U524">
        <f t="shared" si="477"/>
        <v>23.4</v>
      </c>
      <c r="V524">
        <f t="shared" si="478"/>
        <v>0</v>
      </c>
      <c r="W524">
        <f t="shared" si="479"/>
        <v>0</v>
      </c>
      <c r="X524">
        <f t="shared" si="480"/>
        <v>10869.39</v>
      </c>
      <c r="Y524">
        <f t="shared" si="481"/>
        <v>1552.77</v>
      </c>
      <c r="AA524">
        <v>-1</v>
      </c>
      <c r="AB524">
        <f t="shared" si="482"/>
        <v>5200.6000000000004</v>
      </c>
      <c r="AC524">
        <f>ROUND(((ES524*2)),6)</f>
        <v>5.66</v>
      </c>
      <c r="AD524">
        <f>ROUND(((((ET524*2))-((EU524*2)))+AE524),6)</f>
        <v>19.04</v>
      </c>
      <c r="AE524">
        <f>ROUND(((EU524*2)),6)</f>
        <v>0.26</v>
      </c>
      <c r="AF524">
        <f>ROUND(((EV524*2)),6)</f>
        <v>5175.8999999999996</v>
      </c>
      <c r="AG524">
        <f t="shared" si="483"/>
        <v>0</v>
      </c>
      <c r="AH524">
        <f>((EW524*2))</f>
        <v>7.8</v>
      </c>
      <c r="AI524">
        <f>((EX524*2))</f>
        <v>0</v>
      </c>
      <c r="AJ524">
        <f t="shared" si="484"/>
        <v>0</v>
      </c>
      <c r="AK524">
        <v>2600.3000000000002</v>
      </c>
      <c r="AL524">
        <v>2.83</v>
      </c>
      <c r="AM524">
        <v>9.52</v>
      </c>
      <c r="AN524">
        <v>0.13</v>
      </c>
      <c r="AO524">
        <v>2587.9499999999998</v>
      </c>
      <c r="AP524">
        <v>0</v>
      </c>
      <c r="AQ524">
        <v>3.9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424</v>
      </c>
      <c r="BM524">
        <v>0</v>
      </c>
      <c r="BN524">
        <v>0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 t="shared" si="485"/>
        <v>15601.800000000001</v>
      </c>
      <c r="CQ524">
        <f t="shared" si="486"/>
        <v>5.66</v>
      </c>
      <c r="CR524">
        <f>(((((ET524*2))*BB524-((EU524*2))*BS524)+AE524*BS524)*AV524)</f>
        <v>19.04</v>
      </c>
      <c r="CS524">
        <f t="shared" si="487"/>
        <v>0.26</v>
      </c>
      <c r="CT524">
        <f t="shared" si="488"/>
        <v>5175.8999999999996</v>
      </c>
      <c r="CU524">
        <f t="shared" si="489"/>
        <v>0</v>
      </c>
      <c r="CV524">
        <f t="shared" si="490"/>
        <v>7.8</v>
      </c>
      <c r="CW524">
        <f t="shared" si="491"/>
        <v>0</v>
      </c>
      <c r="CX524">
        <f t="shared" si="492"/>
        <v>0</v>
      </c>
      <c r="CY524">
        <f t="shared" si="493"/>
        <v>10869.39</v>
      </c>
      <c r="CZ524">
        <f t="shared" si="494"/>
        <v>1552.77</v>
      </c>
      <c r="DC524" t="s">
        <v>3</v>
      </c>
      <c r="DD524" t="s">
        <v>28</v>
      </c>
      <c r="DE524" t="s">
        <v>28</v>
      </c>
      <c r="DF524" t="s">
        <v>28</v>
      </c>
      <c r="DG524" t="s">
        <v>28</v>
      </c>
      <c r="DH524" t="s">
        <v>3</v>
      </c>
      <c r="DI524" t="s">
        <v>28</v>
      </c>
      <c r="DJ524" t="s">
        <v>28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1013</v>
      </c>
      <c r="DV524" t="s">
        <v>386</v>
      </c>
      <c r="DW524" t="s">
        <v>386</v>
      </c>
      <c r="DX524">
        <v>1</v>
      </c>
      <c r="DZ524" t="s">
        <v>3</v>
      </c>
      <c r="EA524" t="s">
        <v>3</v>
      </c>
      <c r="EB524" t="s">
        <v>3</v>
      </c>
      <c r="EC524" t="s">
        <v>3</v>
      </c>
      <c r="EE524">
        <v>1441815344</v>
      </c>
      <c r="EF524">
        <v>1</v>
      </c>
      <c r="EG524" t="s">
        <v>22</v>
      </c>
      <c r="EH524">
        <v>0</v>
      </c>
      <c r="EI524" t="s">
        <v>3</v>
      </c>
      <c r="EJ524">
        <v>4</v>
      </c>
      <c r="EK524">
        <v>0</v>
      </c>
      <c r="EL524" t="s">
        <v>23</v>
      </c>
      <c r="EM524" t="s">
        <v>24</v>
      </c>
      <c r="EO524" t="s">
        <v>3</v>
      </c>
      <c r="EQ524">
        <v>1024</v>
      </c>
      <c r="ER524">
        <v>2600.3000000000002</v>
      </c>
      <c r="ES524">
        <v>2.83</v>
      </c>
      <c r="ET524">
        <v>9.52</v>
      </c>
      <c r="EU524">
        <v>0.13</v>
      </c>
      <c r="EV524">
        <v>2587.9499999999998</v>
      </c>
      <c r="EW524">
        <v>3.9</v>
      </c>
      <c r="EX524">
        <v>0</v>
      </c>
      <c r="EY524">
        <v>0</v>
      </c>
      <c r="FQ524">
        <v>0</v>
      </c>
      <c r="FR524">
        <f t="shared" si="495"/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1064369246</v>
      </c>
      <c r="GG524">
        <v>2</v>
      </c>
      <c r="GH524">
        <v>1</v>
      </c>
      <c r="GI524">
        <v>-2</v>
      </c>
      <c r="GJ524">
        <v>0</v>
      </c>
      <c r="GK524">
        <f>ROUND(R524*(R12)/100,2)</f>
        <v>0.84</v>
      </c>
      <c r="GL524">
        <f t="shared" si="496"/>
        <v>0</v>
      </c>
      <c r="GM524">
        <f t="shared" si="497"/>
        <v>28024.799999999999</v>
      </c>
      <c r="GN524">
        <f t="shared" si="498"/>
        <v>0</v>
      </c>
      <c r="GO524">
        <f t="shared" si="499"/>
        <v>0</v>
      </c>
      <c r="GP524">
        <f t="shared" si="500"/>
        <v>28024.799999999999</v>
      </c>
      <c r="GR524">
        <v>0</v>
      </c>
      <c r="GS524">
        <v>3</v>
      </c>
      <c r="GT524">
        <v>0</v>
      </c>
      <c r="GU524" t="s">
        <v>3</v>
      </c>
      <c r="GV524">
        <f t="shared" si="501"/>
        <v>0</v>
      </c>
      <c r="GW524">
        <v>1</v>
      </c>
      <c r="GX524">
        <f t="shared" si="502"/>
        <v>0</v>
      </c>
      <c r="HA524">
        <v>0</v>
      </c>
      <c r="HB524">
        <v>0</v>
      </c>
      <c r="HC524">
        <f t="shared" si="503"/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17</v>
      </c>
      <c r="B525">
        <v>1</v>
      </c>
      <c r="D525">
        <f>ROW(EtalonRes!A333)</f>
        <v>333</v>
      </c>
      <c r="E525" t="s">
        <v>3</v>
      </c>
      <c r="F525" t="s">
        <v>425</v>
      </c>
      <c r="G525" t="s">
        <v>426</v>
      </c>
      <c r="H525" t="s">
        <v>20</v>
      </c>
      <c r="I525">
        <v>4</v>
      </c>
      <c r="J525">
        <v>0</v>
      </c>
      <c r="K525">
        <v>4</v>
      </c>
      <c r="O525">
        <f t="shared" si="471"/>
        <v>37642.959999999999</v>
      </c>
      <c r="P525">
        <f t="shared" si="472"/>
        <v>1307.8</v>
      </c>
      <c r="Q525">
        <f t="shared" si="473"/>
        <v>12859.96</v>
      </c>
      <c r="R525">
        <f t="shared" si="474"/>
        <v>8099.52</v>
      </c>
      <c r="S525">
        <f t="shared" si="475"/>
        <v>23475.200000000001</v>
      </c>
      <c r="T525">
        <f t="shared" si="476"/>
        <v>0</v>
      </c>
      <c r="U525">
        <f t="shared" si="477"/>
        <v>38.4</v>
      </c>
      <c r="V525">
        <f t="shared" si="478"/>
        <v>0</v>
      </c>
      <c r="W525">
        <f t="shared" si="479"/>
        <v>0</v>
      </c>
      <c r="X525">
        <f t="shared" si="480"/>
        <v>16432.64</v>
      </c>
      <c r="Y525">
        <f t="shared" si="481"/>
        <v>2347.52</v>
      </c>
      <c r="AA525">
        <v>-1</v>
      </c>
      <c r="AB525">
        <f t="shared" si="482"/>
        <v>9410.74</v>
      </c>
      <c r="AC525">
        <f>ROUND((ES525),6)</f>
        <v>326.95</v>
      </c>
      <c r="AD525">
        <f>ROUND((((ET525)-(EU525))+AE525),6)</f>
        <v>3214.99</v>
      </c>
      <c r="AE525">
        <f t="shared" ref="AE525:AF527" si="504">ROUND((EU525),6)</f>
        <v>2024.88</v>
      </c>
      <c r="AF525">
        <f t="shared" si="504"/>
        <v>5868.8</v>
      </c>
      <c r="AG525">
        <f t="shared" si="483"/>
        <v>0</v>
      </c>
      <c r="AH525">
        <f t="shared" ref="AH525:AI527" si="505">(EW525)</f>
        <v>9.6</v>
      </c>
      <c r="AI525">
        <f t="shared" si="505"/>
        <v>0</v>
      </c>
      <c r="AJ525">
        <f t="shared" si="484"/>
        <v>0</v>
      </c>
      <c r="AK525">
        <v>9410.74</v>
      </c>
      <c r="AL525">
        <v>326.95</v>
      </c>
      <c r="AM525">
        <v>3214.99</v>
      </c>
      <c r="AN525">
        <v>2024.88</v>
      </c>
      <c r="AO525">
        <v>5868.8</v>
      </c>
      <c r="AP525">
        <v>0</v>
      </c>
      <c r="AQ525">
        <v>9.6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427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si="485"/>
        <v>37642.959999999999</v>
      </c>
      <c r="CQ525">
        <f t="shared" si="486"/>
        <v>326.95</v>
      </c>
      <c r="CR525">
        <f>((((ET525)*BB525-(EU525)*BS525)+AE525*BS525)*AV525)</f>
        <v>3214.99</v>
      </c>
      <c r="CS525">
        <f t="shared" si="487"/>
        <v>2024.88</v>
      </c>
      <c r="CT525">
        <f t="shared" si="488"/>
        <v>5868.8</v>
      </c>
      <c r="CU525">
        <f t="shared" si="489"/>
        <v>0</v>
      </c>
      <c r="CV525">
        <f t="shared" si="490"/>
        <v>9.6</v>
      </c>
      <c r="CW525">
        <f t="shared" si="491"/>
        <v>0</v>
      </c>
      <c r="CX525">
        <f t="shared" si="492"/>
        <v>0</v>
      </c>
      <c r="CY525">
        <f t="shared" si="493"/>
        <v>16432.64</v>
      </c>
      <c r="CZ525">
        <f t="shared" si="494"/>
        <v>2347.52</v>
      </c>
      <c r="DC525" t="s">
        <v>3</v>
      </c>
      <c r="DD525" t="s">
        <v>3</v>
      </c>
      <c r="DE525" t="s">
        <v>3</v>
      </c>
      <c r="DF525" t="s">
        <v>3</v>
      </c>
      <c r="DG525" t="s">
        <v>3</v>
      </c>
      <c r="DH525" t="s">
        <v>3</v>
      </c>
      <c r="DI525" t="s">
        <v>3</v>
      </c>
      <c r="DJ525" t="s">
        <v>3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16987630</v>
      </c>
      <c r="DV525" t="s">
        <v>20</v>
      </c>
      <c r="DW525" t="s">
        <v>20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22</v>
      </c>
      <c r="EH525">
        <v>0</v>
      </c>
      <c r="EI525" t="s">
        <v>3</v>
      </c>
      <c r="EJ525">
        <v>4</v>
      </c>
      <c r="EK525">
        <v>0</v>
      </c>
      <c r="EL525" t="s">
        <v>23</v>
      </c>
      <c r="EM525" t="s">
        <v>24</v>
      </c>
      <c r="EO525" t="s">
        <v>3</v>
      </c>
      <c r="EQ525">
        <v>1311744</v>
      </c>
      <c r="ER525">
        <v>9410.74</v>
      </c>
      <c r="ES525">
        <v>326.95</v>
      </c>
      <c r="ET525">
        <v>3214.99</v>
      </c>
      <c r="EU525">
        <v>2024.88</v>
      </c>
      <c r="EV525">
        <v>5868.8</v>
      </c>
      <c r="EW525">
        <v>9.6</v>
      </c>
      <c r="EX525">
        <v>0</v>
      </c>
      <c r="EY525">
        <v>0</v>
      </c>
      <c r="FQ525">
        <v>0</v>
      </c>
      <c r="FR525">
        <f t="shared" si="495"/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-939616904</v>
      </c>
      <c r="GG525">
        <v>2</v>
      </c>
      <c r="GH525">
        <v>1</v>
      </c>
      <c r="GI525">
        <v>-2</v>
      </c>
      <c r="GJ525">
        <v>0</v>
      </c>
      <c r="GK525">
        <f>ROUND(R525*(R12)/100,2)</f>
        <v>8747.48</v>
      </c>
      <c r="GL525">
        <f t="shared" si="496"/>
        <v>0</v>
      </c>
      <c r="GM525">
        <f t="shared" si="497"/>
        <v>65170.6</v>
      </c>
      <c r="GN525">
        <f t="shared" si="498"/>
        <v>0</v>
      </c>
      <c r="GO525">
        <f t="shared" si="499"/>
        <v>0</v>
      </c>
      <c r="GP525">
        <f t="shared" si="500"/>
        <v>65170.6</v>
      </c>
      <c r="GR525">
        <v>0</v>
      </c>
      <c r="GS525">
        <v>3</v>
      </c>
      <c r="GT525">
        <v>0</v>
      </c>
      <c r="GU525" t="s">
        <v>3</v>
      </c>
      <c r="GV525">
        <f t="shared" si="501"/>
        <v>0</v>
      </c>
      <c r="GW525">
        <v>1</v>
      </c>
      <c r="GX525">
        <f t="shared" si="502"/>
        <v>0</v>
      </c>
      <c r="HA525">
        <v>0</v>
      </c>
      <c r="HB525">
        <v>0</v>
      </c>
      <c r="HC525">
        <f t="shared" si="503"/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D526">
        <f>ROW(EtalonRes!A337)</f>
        <v>337</v>
      </c>
      <c r="E526" t="s">
        <v>3</v>
      </c>
      <c r="F526" t="s">
        <v>428</v>
      </c>
      <c r="G526" t="s">
        <v>429</v>
      </c>
      <c r="H526" t="s">
        <v>20</v>
      </c>
      <c r="I526">
        <v>3</v>
      </c>
      <c r="J526">
        <v>0</v>
      </c>
      <c r="K526">
        <v>3</v>
      </c>
      <c r="O526">
        <f t="shared" si="471"/>
        <v>31580.01</v>
      </c>
      <c r="P526">
        <f t="shared" si="472"/>
        <v>1777.77</v>
      </c>
      <c r="Q526">
        <f t="shared" si="473"/>
        <v>10545.24</v>
      </c>
      <c r="R526">
        <f t="shared" si="474"/>
        <v>6644.76</v>
      </c>
      <c r="S526">
        <f t="shared" si="475"/>
        <v>19257</v>
      </c>
      <c r="T526">
        <f t="shared" si="476"/>
        <v>0</v>
      </c>
      <c r="U526">
        <f t="shared" si="477"/>
        <v>31.5</v>
      </c>
      <c r="V526">
        <f t="shared" si="478"/>
        <v>0</v>
      </c>
      <c r="W526">
        <f t="shared" si="479"/>
        <v>0</v>
      </c>
      <c r="X526">
        <f t="shared" si="480"/>
        <v>13479.9</v>
      </c>
      <c r="Y526">
        <f t="shared" si="481"/>
        <v>1925.7</v>
      </c>
      <c r="AA526">
        <v>-1</v>
      </c>
      <c r="AB526">
        <f t="shared" si="482"/>
        <v>10526.67</v>
      </c>
      <c r="AC526">
        <f>ROUND((ES526),6)</f>
        <v>592.59</v>
      </c>
      <c r="AD526">
        <f>ROUND((((ET526)-(EU526))+AE526),6)</f>
        <v>3515.08</v>
      </c>
      <c r="AE526">
        <f t="shared" si="504"/>
        <v>2214.92</v>
      </c>
      <c r="AF526">
        <f t="shared" si="504"/>
        <v>6419</v>
      </c>
      <c r="AG526">
        <f t="shared" si="483"/>
        <v>0</v>
      </c>
      <c r="AH526">
        <f t="shared" si="505"/>
        <v>10.5</v>
      </c>
      <c r="AI526">
        <f t="shared" si="505"/>
        <v>0</v>
      </c>
      <c r="AJ526">
        <f t="shared" si="484"/>
        <v>0</v>
      </c>
      <c r="AK526">
        <v>10526.67</v>
      </c>
      <c r="AL526">
        <v>592.59</v>
      </c>
      <c r="AM526">
        <v>3515.08</v>
      </c>
      <c r="AN526">
        <v>2214.92</v>
      </c>
      <c r="AO526">
        <v>6419</v>
      </c>
      <c r="AP526">
        <v>0</v>
      </c>
      <c r="AQ526">
        <v>10.5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430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485"/>
        <v>31580.010000000002</v>
      </c>
      <c r="CQ526">
        <f t="shared" si="486"/>
        <v>592.59</v>
      </c>
      <c r="CR526">
        <f>((((ET526)*BB526-(EU526)*BS526)+AE526*BS526)*AV526)</f>
        <v>3515.08</v>
      </c>
      <c r="CS526">
        <f t="shared" si="487"/>
        <v>2214.92</v>
      </c>
      <c r="CT526">
        <f t="shared" si="488"/>
        <v>6419</v>
      </c>
      <c r="CU526">
        <f t="shared" si="489"/>
        <v>0</v>
      </c>
      <c r="CV526">
        <f t="shared" si="490"/>
        <v>10.5</v>
      </c>
      <c r="CW526">
        <f t="shared" si="491"/>
        <v>0</v>
      </c>
      <c r="CX526">
        <f t="shared" si="492"/>
        <v>0</v>
      </c>
      <c r="CY526">
        <f t="shared" si="493"/>
        <v>13479.9</v>
      </c>
      <c r="CZ526">
        <f t="shared" si="494"/>
        <v>1925.7</v>
      </c>
      <c r="DC526" t="s">
        <v>3</v>
      </c>
      <c r="DD526" t="s">
        <v>3</v>
      </c>
      <c r="DE526" t="s">
        <v>3</v>
      </c>
      <c r="DF526" t="s">
        <v>3</v>
      </c>
      <c r="DG526" t="s">
        <v>3</v>
      </c>
      <c r="DH526" t="s">
        <v>3</v>
      </c>
      <c r="DI526" t="s">
        <v>3</v>
      </c>
      <c r="DJ526" t="s">
        <v>3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16987630</v>
      </c>
      <c r="DV526" t="s">
        <v>20</v>
      </c>
      <c r="DW526" t="s">
        <v>20</v>
      </c>
      <c r="DX526">
        <v>1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22</v>
      </c>
      <c r="EH526">
        <v>0</v>
      </c>
      <c r="EI526" t="s">
        <v>3</v>
      </c>
      <c r="EJ526">
        <v>4</v>
      </c>
      <c r="EK526">
        <v>0</v>
      </c>
      <c r="EL526" t="s">
        <v>23</v>
      </c>
      <c r="EM526" t="s">
        <v>24</v>
      </c>
      <c r="EO526" t="s">
        <v>3</v>
      </c>
      <c r="EQ526">
        <v>1311744</v>
      </c>
      <c r="ER526">
        <v>10526.67</v>
      </c>
      <c r="ES526">
        <v>592.59</v>
      </c>
      <c r="ET526">
        <v>3515.08</v>
      </c>
      <c r="EU526">
        <v>2214.92</v>
      </c>
      <c r="EV526">
        <v>6419</v>
      </c>
      <c r="EW526">
        <v>10.5</v>
      </c>
      <c r="EX526">
        <v>0</v>
      </c>
      <c r="EY526">
        <v>0</v>
      </c>
      <c r="FQ526">
        <v>0</v>
      </c>
      <c r="FR526">
        <f t="shared" si="495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1239258321</v>
      </c>
      <c r="GG526">
        <v>2</v>
      </c>
      <c r="GH526">
        <v>1</v>
      </c>
      <c r="GI526">
        <v>-2</v>
      </c>
      <c r="GJ526">
        <v>0</v>
      </c>
      <c r="GK526">
        <f>ROUND(R526*(R12)/100,2)</f>
        <v>7176.34</v>
      </c>
      <c r="GL526">
        <f t="shared" si="496"/>
        <v>0</v>
      </c>
      <c r="GM526">
        <f t="shared" si="497"/>
        <v>54161.95</v>
      </c>
      <c r="GN526">
        <f t="shared" si="498"/>
        <v>0</v>
      </c>
      <c r="GO526">
        <f t="shared" si="499"/>
        <v>0</v>
      </c>
      <c r="GP526">
        <f t="shared" si="500"/>
        <v>54161.95</v>
      </c>
      <c r="GR526">
        <v>0</v>
      </c>
      <c r="GS526">
        <v>3</v>
      </c>
      <c r="GT526">
        <v>0</v>
      </c>
      <c r="GU526" t="s">
        <v>3</v>
      </c>
      <c r="GV526">
        <f t="shared" si="501"/>
        <v>0</v>
      </c>
      <c r="GW526">
        <v>1</v>
      </c>
      <c r="GX526">
        <f t="shared" si="502"/>
        <v>0</v>
      </c>
      <c r="HA526">
        <v>0</v>
      </c>
      <c r="HB526">
        <v>0</v>
      </c>
      <c r="HC526">
        <f t="shared" si="503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D527">
        <f>ROW(EtalonRes!A341)</f>
        <v>341</v>
      </c>
      <c r="E527" t="s">
        <v>3</v>
      </c>
      <c r="F527" t="s">
        <v>425</v>
      </c>
      <c r="G527" t="s">
        <v>431</v>
      </c>
      <c r="H527" t="s">
        <v>20</v>
      </c>
      <c r="I527">
        <v>4</v>
      </c>
      <c r="J527">
        <v>0</v>
      </c>
      <c r="K527">
        <v>4</v>
      </c>
      <c r="O527">
        <f t="shared" si="471"/>
        <v>37642.959999999999</v>
      </c>
      <c r="P527">
        <f t="shared" si="472"/>
        <v>1307.8</v>
      </c>
      <c r="Q527">
        <f t="shared" si="473"/>
        <v>12859.96</v>
      </c>
      <c r="R527">
        <f t="shared" si="474"/>
        <v>8099.52</v>
      </c>
      <c r="S527">
        <f t="shared" si="475"/>
        <v>23475.200000000001</v>
      </c>
      <c r="T527">
        <f t="shared" si="476"/>
        <v>0</v>
      </c>
      <c r="U527">
        <f t="shared" si="477"/>
        <v>38.4</v>
      </c>
      <c r="V527">
        <f t="shared" si="478"/>
        <v>0</v>
      </c>
      <c r="W527">
        <f t="shared" si="479"/>
        <v>0</v>
      </c>
      <c r="X527">
        <f t="shared" si="480"/>
        <v>16432.64</v>
      </c>
      <c r="Y527">
        <f t="shared" si="481"/>
        <v>2347.52</v>
      </c>
      <c r="AA527">
        <v>-1</v>
      </c>
      <c r="AB527">
        <f t="shared" si="482"/>
        <v>9410.74</v>
      </c>
      <c r="AC527">
        <f>ROUND((ES527),6)</f>
        <v>326.95</v>
      </c>
      <c r="AD527">
        <f>ROUND((((ET527)-(EU527))+AE527),6)</f>
        <v>3214.99</v>
      </c>
      <c r="AE527">
        <f t="shared" si="504"/>
        <v>2024.88</v>
      </c>
      <c r="AF527">
        <f t="shared" si="504"/>
        <v>5868.8</v>
      </c>
      <c r="AG527">
        <f t="shared" si="483"/>
        <v>0</v>
      </c>
      <c r="AH527">
        <f t="shared" si="505"/>
        <v>9.6</v>
      </c>
      <c r="AI527">
        <f t="shared" si="505"/>
        <v>0</v>
      </c>
      <c r="AJ527">
        <f t="shared" si="484"/>
        <v>0</v>
      </c>
      <c r="AK527">
        <v>9410.74</v>
      </c>
      <c r="AL527">
        <v>326.95</v>
      </c>
      <c r="AM527">
        <v>3214.99</v>
      </c>
      <c r="AN527">
        <v>2024.88</v>
      </c>
      <c r="AO527">
        <v>5868.8</v>
      </c>
      <c r="AP527">
        <v>0</v>
      </c>
      <c r="AQ527">
        <v>9.6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427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485"/>
        <v>37642.959999999999</v>
      </c>
      <c r="CQ527">
        <f t="shared" si="486"/>
        <v>326.95</v>
      </c>
      <c r="CR527">
        <f>((((ET527)*BB527-(EU527)*BS527)+AE527*BS527)*AV527)</f>
        <v>3214.99</v>
      </c>
      <c r="CS527">
        <f t="shared" si="487"/>
        <v>2024.88</v>
      </c>
      <c r="CT527">
        <f t="shared" si="488"/>
        <v>5868.8</v>
      </c>
      <c r="CU527">
        <f t="shared" si="489"/>
        <v>0</v>
      </c>
      <c r="CV527">
        <f t="shared" si="490"/>
        <v>9.6</v>
      </c>
      <c r="CW527">
        <f t="shared" si="491"/>
        <v>0</v>
      </c>
      <c r="CX527">
        <f t="shared" si="492"/>
        <v>0</v>
      </c>
      <c r="CY527">
        <f t="shared" si="493"/>
        <v>16432.64</v>
      </c>
      <c r="CZ527">
        <f t="shared" si="494"/>
        <v>2347.52</v>
      </c>
      <c r="DC527" t="s">
        <v>3</v>
      </c>
      <c r="DD527" t="s">
        <v>3</v>
      </c>
      <c r="DE527" t="s">
        <v>3</v>
      </c>
      <c r="DF527" t="s">
        <v>3</v>
      </c>
      <c r="DG527" t="s">
        <v>3</v>
      </c>
      <c r="DH527" t="s">
        <v>3</v>
      </c>
      <c r="DI527" t="s">
        <v>3</v>
      </c>
      <c r="DJ527" t="s">
        <v>3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16987630</v>
      </c>
      <c r="DV527" t="s">
        <v>20</v>
      </c>
      <c r="DW527" t="s">
        <v>20</v>
      </c>
      <c r="DX527">
        <v>1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22</v>
      </c>
      <c r="EH527">
        <v>0</v>
      </c>
      <c r="EI527" t="s">
        <v>3</v>
      </c>
      <c r="EJ527">
        <v>4</v>
      </c>
      <c r="EK527">
        <v>0</v>
      </c>
      <c r="EL527" t="s">
        <v>23</v>
      </c>
      <c r="EM527" t="s">
        <v>24</v>
      </c>
      <c r="EO527" t="s">
        <v>3</v>
      </c>
      <c r="EQ527">
        <v>1311744</v>
      </c>
      <c r="ER527">
        <v>9410.74</v>
      </c>
      <c r="ES527">
        <v>326.95</v>
      </c>
      <c r="ET527">
        <v>3214.99</v>
      </c>
      <c r="EU527">
        <v>2024.88</v>
      </c>
      <c r="EV527">
        <v>5868.8</v>
      </c>
      <c r="EW527">
        <v>9.6</v>
      </c>
      <c r="EX527">
        <v>0</v>
      </c>
      <c r="EY527">
        <v>0</v>
      </c>
      <c r="FQ527">
        <v>0</v>
      </c>
      <c r="FR527">
        <f t="shared" si="495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794471684</v>
      </c>
      <c r="GG527">
        <v>2</v>
      </c>
      <c r="GH527">
        <v>1</v>
      </c>
      <c r="GI527">
        <v>-2</v>
      </c>
      <c r="GJ527">
        <v>0</v>
      </c>
      <c r="GK527">
        <f>ROUND(R527*(R12)/100,2)</f>
        <v>8747.48</v>
      </c>
      <c r="GL527">
        <f t="shared" si="496"/>
        <v>0</v>
      </c>
      <c r="GM527">
        <f t="shared" si="497"/>
        <v>65170.6</v>
      </c>
      <c r="GN527">
        <f t="shared" si="498"/>
        <v>0</v>
      </c>
      <c r="GO527">
        <f t="shared" si="499"/>
        <v>0</v>
      </c>
      <c r="GP527">
        <f t="shared" si="500"/>
        <v>65170.6</v>
      </c>
      <c r="GR527">
        <v>0</v>
      </c>
      <c r="GS527">
        <v>3</v>
      </c>
      <c r="GT527">
        <v>0</v>
      </c>
      <c r="GU527" t="s">
        <v>3</v>
      </c>
      <c r="GV527">
        <f t="shared" si="501"/>
        <v>0</v>
      </c>
      <c r="GW527">
        <v>1</v>
      </c>
      <c r="GX527">
        <f t="shared" si="502"/>
        <v>0</v>
      </c>
      <c r="HA527">
        <v>0</v>
      </c>
      <c r="HB527">
        <v>0</v>
      </c>
      <c r="HC527">
        <f t="shared" si="503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8" spans="1:245" x14ac:dyDescent="0.2">
      <c r="A528">
        <v>17</v>
      </c>
      <c r="B528">
        <v>1</v>
      </c>
      <c r="D528">
        <f>ROW(EtalonRes!A351)</f>
        <v>351</v>
      </c>
      <c r="E528" t="s">
        <v>3</v>
      </c>
      <c r="F528" t="s">
        <v>432</v>
      </c>
      <c r="G528" t="s">
        <v>433</v>
      </c>
      <c r="H528" t="s">
        <v>386</v>
      </c>
      <c r="I528">
        <v>4</v>
      </c>
      <c r="J528">
        <v>0</v>
      </c>
      <c r="K528">
        <v>4</v>
      </c>
      <c r="O528">
        <f t="shared" si="471"/>
        <v>335285.84000000003</v>
      </c>
      <c r="P528">
        <f t="shared" si="472"/>
        <v>11040.35</v>
      </c>
      <c r="Q528">
        <f t="shared" si="473"/>
        <v>0</v>
      </c>
      <c r="R528">
        <f t="shared" si="474"/>
        <v>0</v>
      </c>
      <c r="S528">
        <f t="shared" si="475"/>
        <v>324245.49</v>
      </c>
      <c r="T528">
        <f t="shared" si="476"/>
        <v>0</v>
      </c>
      <c r="U528">
        <f t="shared" si="477"/>
        <v>421.33333333333331</v>
      </c>
      <c r="V528">
        <f t="shared" si="478"/>
        <v>0</v>
      </c>
      <c r="W528">
        <f t="shared" si="479"/>
        <v>0</v>
      </c>
      <c r="X528">
        <f t="shared" si="480"/>
        <v>226971.84</v>
      </c>
      <c r="Y528">
        <f t="shared" si="481"/>
        <v>32424.55</v>
      </c>
      <c r="AA528">
        <v>-1</v>
      </c>
      <c r="AB528">
        <f t="shared" si="482"/>
        <v>83821.460000000006</v>
      </c>
      <c r="AC528">
        <f>ROUND((((ES528/12)*8)),6)</f>
        <v>2760.086667</v>
      </c>
      <c r="AD528">
        <f>ROUND((((((ET528/12)*8))-(((EU528/12)*8)))+AE528),6)</f>
        <v>0</v>
      </c>
      <c r="AE528">
        <f>ROUND((((EU528/12)*8)),6)</f>
        <v>0</v>
      </c>
      <c r="AF528">
        <f>ROUND((((EV528/12)*8)),6)</f>
        <v>81061.373332999996</v>
      </c>
      <c r="AG528">
        <f t="shared" si="483"/>
        <v>0</v>
      </c>
      <c r="AH528">
        <f>(((EW528/12)*8))</f>
        <v>105.33333333333333</v>
      </c>
      <c r="AI528">
        <f>(((EX528/12)*8))</f>
        <v>0</v>
      </c>
      <c r="AJ528">
        <f t="shared" si="484"/>
        <v>0</v>
      </c>
      <c r="AK528">
        <v>125732.19</v>
      </c>
      <c r="AL528">
        <v>4140.13</v>
      </c>
      <c r="AM528">
        <v>0</v>
      </c>
      <c r="AN528">
        <v>0</v>
      </c>
      <c r="AO528">
        <v>121592.06</v>
      </c>
      <c r="AP528">
        <v>0</v>
      </c>
      <c r="AQ528">
        <v>158</v>
      </c>
      <c r="AR528">
        <v>0</v>
      </c>
      <c r="AS528">
        <v>0</v>
      </c>
      <c r="AT528">
        <v>70</v>
      </c>
      <c r="AU528">
        <v>10</v>
      </c>
      <c r="AV528">
        <v>1</v>
      </c>
      <c r="AW528">
        <v>1</v>
      </c>
      <c r="AZ528">
        <v>1</v>
      </c>
      <c r="BA528">
        <v>1</v>
      </c>
      <c r="BB528">
        <v>1</v>
      </c>
      <c r="BC528">
        <v>1</v>
      </c>
      <c r="BD528" t="s">
        <v>3</v>
      </c>
      <c r="BE528" t="s">
        <v>3</v>
      </c>
      <c r="BF528" t="s">
        <v>3</v>
      </c>
      <c r="BG528" t="s">
        <v>3</v>
      </c>
      <c r="BH528">
        <v>0</v>
      </c>
      <c r="BI528">
        <v>4</v>
      </c>
      <c r="BJ528" t="s">
        <v>434</v>
      </c>
      <c r="BM528">
        <v>0</v>
      </c>
      <c r="BN528">
        <v>0</v>
      </c>
      <c r="BO528" t="s">
        <v>3</v>
      </c>
      <c r="BP528">
        <v>0</v>
      </c>
      <c r="BQ528">
        <v>1</v>
      </c>
      <c r="BR528">
        <v>0</v>
      </c>
      <c r="BS528">
        <v>1</v>
      </c>
      <c r="BT528">
        <v>1</v>
      </c>
      <c r="BU528">
        <v>1</v>
      </c>
      <c r="BV528">
        <v>1</v>
      </c>
      <c r="BW528">
        <v>1</v>
      </c>
      <c r="BX528">
        <v>1</v>
      </c>
      <c r="BY528" t="s">
        <v>3</v>
      </c>
      <c r="BZ528">
        <v>70</v>
      </c>
      <c r="CA528">
        <v>10</v>
      </c>
      <c r="CB528" t="s">
        <v>3</v>
      </c>
      <c r="CE528">
        <v>0</v>
      </c>
      <c r="CF528">
        <v>0</v>
      </c>
      <c r="CG528">
        <v>0</v>
      </c>
      <c r="CM528">
        <v>0</v>
      </c>
      <c r="CN528" t="s">
        <v>3</v>
      </c>
      <c r="CO528">
        <v>0</v>
      </c>
      <c r="CP528">
        <f t="shared" si="485"/>
        <v>335285.83999999997</v>
      </c>
      <c r="CQ528">
        <f t="shared" si="486"/>
        <v>2760.086667</v>
      </c>
      <c r="CR528">
        <f>((((((ET528/12)*8))*BB528-(((EU528/12)*8))*BS528)+AE528*BS528)*AV528)</f>
        <v>0</v>
      </c>
      <c r="CS528">
        <f t="shared" si="487"/>
        <v>0</v>
      </c>
      <c r="CT528">
        <f t="shared" si="488"/>
        <v>81061.373332999996</v>
      </c>
      <c r="CU528">
        <f t="shared" si="489"/>
        <v>0</v>
      </c>
      <c r="CV528">
        <f t="shared" si="490"/>
        <v>105.33333333333333</v>
      </c>
      <c r="CW528">
        <f t="shared" si="491"/>
        <v>0</v>
      </c>
      <c r="CX528">
        <f t="shared" si="492"/>
        <v>0</v>
      </c>
      <c r="CY528">
        <f t="shared" si="493"/>
        <v>226971.84299999999</v>
      </c>
      <c r="CZ528">
        <f t="shared" si="494"/>
        <v>32424.548999999999</v>
      </c>
      <c r="DC528" t="s">
        <v>3</v>
      </c>
      <c r="DD528" t="s">
        <v>388</v>
      </c>
      <c r="DE528" t="s">
        <v>388</v>
      </c>
      <c r="DF528" t="s">
        <v>388</v>
      </c>
      <c r="DG528" t="s">
        <v>388</v>
      </c>
      <c r="DH528" t="s">
        <v>3</v>
      </c>
      <c r="DI528" t="s">
        <v>388</v>
      </c>
      <c r="DJ528" t="s">
        <v>388</v>
      </c>
      <c r="DK528" t="s">
        <v>3</v>
      </c>
      <c r="DL528" t="s">
        <v>3</v>
      </c>
      <c r="DM528" t="s">
        <v>3</v>
      </c>
      <c r="DN528">
        <v>0</v>
      </c>
      <c r="DO528">
        <v>0</v>
      </c>
      <c r="DP528">
        <v>1</v>
      </c>
      <c r="DQ528">
        <v>1</v>
      </c>
      <c r="DU528">
        <v>1013</v>
      </c>
      <c r="DV528" t="s">
        <v>386</v>
      </c>
      <c r="DW528" t="s">
        <v>386</v>
      </c>
      <c r="DX528">
        <v>1</v>
      </c>
      <c r="DZ528" t="s">
        <v>3</v>
      </c>
      <c r="EA528" t="s">
        <v>3</v>
      </c>
      <c r="EB528" t="s">
        <v>3</v>
      </c>
      <c r="EC528" t="s">
        <v>3</v>
      </c>
      <c r="EE528">
        <v>1441815344</v>
      </c>
      <c r="EF528">
        <v>1</v>
      </c>
      <c r="EG528" t="s">
        <v>22</v>
      </c>
      <c r="EH528">
        <v>0</v>
      </c>
      <c r="EI528" t="s">
        <v>3</v>
      </c>
      <c r="EJ528">
        <v>4</v>
      </c>
      <c r="EK528">
        <v>0</v>
      </c>
      <c r="EL528" t="s">
        <v>23</v>
      </c>
      <c r="EM528" t="s">
        <v>24</v>
      </c>
      <c r="EO528" t="s">
        <v>3</v>
      </c>
      <c r="EQ528">
        <v>1024</v>
      </c>
      <c r="ER528">
        <v>125732.19</v>
      </c>
      <c r="ES528">
        <v>4140.13</v>
      </c>
      <c r="ET528">
        <v>0</v>
      </c>
      <c r="EU528">
        <v>0</v>
      </c>
      <c r="EV528">
        <v>121592.06</v>
      </c>
      <c r="EW528">
        <v>158</v>
      </c>
      <c r="EX528">
        <v>0</v>
      </c>
      <c r="EY528">
        <v>0</v>
      </c>
      <c r="FQ528">
        <v>0</v>
      </c>
      <c r="FR528">
        <f t="shared" si="495"/>
        <v>0</v>
      </c>
      <c r="FS528">
        <v>0</v>
      </c>
      <c r="FX528">
        <v>70</v>
      </c>
      <c r="FY528">
        <v>10</v>
      </c>
      <c r="GA528" t="s">
        <v>3</v>
      </c>
      <c r="GD528">
        <v>0</v>
      </c>
      <c r="GF528">
        <v>1105406601</v>
      </c>
      <c r="GG528">
        <v>2</v>
      </c>
      <c r="GH528">
        <v>1</v>
      </c>
      <c r="GI528">
        <v>-2</v>
      </c>
      <c r="GJ528">
        <v>0</v>
      </c>
      <c r="GK528">
        <f>ROUND(R528*(R12)/100,2)</f>
        <v>0</v>
      </c>
      <c r="GL528">
        <f t="shared" si="496"/>
        <v>0</v>
      </c>
      <c r="GM528">
        <f t="shared" si="497"/>
        <v>594682.23</v>
      </c>
      <c r="GN528">
        <f t="shared" si="498"/>
        <v>0</v>
      </c>
      <c r="GO528">
        <f t="shared" si="499"/>
        <v>0</v>
      </c>
      <c r="GP528">
        <f t="shared" si="500"/>
        <v>594682.23</v>
      </c>
      <c r="GR528">
        <v>0</v>
      </c>
      <c r="GS528">
        <v>3</v>
      </c>
      <c r="GT528">
        <v>0</v>
      </c>
      <c r="GU528" t="s">
        <v>3</v>
      </c>
      <c r="GV528">
        <f t="shared" si="501"/>
        <v>0</v>
      </c>
      <c r="GW528">
        <v>1</v>
      </c>
      <c r="GX528">
        <f t="shared" si="502"/>
        <v>0</v>
      </c>
      <c r="HA528">
        <v>0</v>
      </c>
      <c r="HB528">
        <v>0</v>
      </c>
      <c r="HC528">
        <f t="shared" si="503"/>
        <v>0</v>
      </c>
      <c r="HE528" t="s">
        <v>3</v>
      </c>
      <c r="HF528" t="s">
        <v>3</v>
      </c>
      <c r="HM528" t="s">
        <v>3</v>
      </c>
      <c r="HN528" t="s">
        <v>3</v>
      </c>
      <c r="HO528" t="s">
        <v>3</v>
      </c>
      <c r="HP528" t="s">
        <v>3</v>
      </c>
      <c r="HQ528" t="s">
        <v>3</v>
      </c>
      <c r="IK528">
        <v>0</v>
      </c>
    </row>
    <row r="529" spans="1:245" x14ac:dyDescent="0.2">
      <c r="A529">
        <v>17</v>
      </c>
      <c r="B529">
        <v>1</v>
      </c>
      <c r="D529">
        <f>ROW(EtalonRes!A355)</f>
        <v>355</v>
      </c>
      <c r="E529" t="s">
        <v>435</v>
      </c>
      <c r="F529" t="s">
        <v>436</v>
      </c>
      <c r="G529" t="s">
        <v>437</v>
      </c>
      <c r="H529" t="s">
        <v>386</v>
      </c>
      <c r="I529">
        <v>4</v>
      </c>
      <c r="J529">
        <v>0</v>
      </c>
      <c r="K529">
        <v>4</v>
      </c>
      <c r="O529">
        <f t="shared" si="471"/>
        <v>43362.080000000002</v>
      </c>
      <c r="P529">
        <f t="shared" si="472"/>
        <v>2841.28</v>
      </c>
      <c r="Q529">
        <f t="shared" si="473"/>
        <v>4378.08</v>
      </c>
      <c r="R529">
        <f t="shared" si="474"/>
        <v>2776</v>
      </c>
      <c r="S529">
        <f t="shared" si="475"/>
        <v>36142.720000000001</v>
      </c>
      <c r="T529">
        <f t="shared" si="476"/>
        <v>0</v>
      </c>
      <c r="U529">
        <f t="shared" si="477"/>
        <v>54.4</v>
      </c>
      <c r="V529">
        <f t="shared" si="478"/>
        <v>0</v>
      </c>
      <c r="W529">
        <f t="shared" si="479"/>
        <v>0</v>
      </c>
      <c r="X529">
        <f t="shared" si="480"/>
        <v>25299.9</v>
      </c>
      <c r="Y529">
        <f t="shared" si="481"/>
        <v>3614.27</v>
      </c>
      <c r="AA529">
        <v>1472506909</v>
      </c>
      <c r="AB529">
        <f t="shared" si="482"/>
        <v>10840.52</v>
      </c>
      <c r="AC529">
        <f>ROUND(((ES529*2)),6)</f>
        <v>710.32</v>
      </c>
      <c r="AD529">
        <f>ROUND(((((ET529*2))-((EU529*2)))+AE529),6)</f>
        <v>1094.52</v>
      </c>
      <c r="AE529">
        <f>ROUND(((EU529*2)),6)</f>
        <v>694</v>
      </c>
      <c r="AF529">
        <f>ROUND(((EV529*2)),6)</f>
        <v>9035.68</v>
      </c>
      <c r="AG529">
        <f t="shared" si="483"/>
        <v>0</v>
      </c>
      <c r="AH529">
        <f>((EW529*2))</f>
        <v>13.6</v>
      </c>
      <c r="AI529">
        <f>((EX529*2))</f>
        <v>0</v>
      </c>
      <c r="AJ529">
        <f t="shared" si="484"/>
        <v>0</v>
      </c>
      <c r="AK529">
        <v>5420.26</v>
      </c>
      <c r="AL529">
        <v>355.16</v>
      </c>
      <c r="AM529">
        <v>547.26</v>
      </c>
      <c r="AN529">
        <v>347</v>
      </c>
      <c r="AO529">
        <v>4517.84</v>
      </c>
      <c r="AP529">
        <v>0</v>
      </c>
      <c r="AQ529">
        <v>6.8</v>
      </c>
      <c r="AR529">
        <v>0</v>
      </c>
      <c r="AS529">
        <v>0</v>
      </c>
      <c r="AT529">
        <v>70</v>
      </c>
      <c r="AU529">
        <v>10</v>
      </c>
      <c r="AV529">
        <v>1</v>
      </c>
      <c r="AW529">
        <v>1</v>
      </c>
      <c r="AZ529">
        <v>1</v>
      </c>
      <c r="BA529">
        <v>1</v>
      </c>
      <c r="BB529">
        <v>1</v>
      </c>
      <c r="BC529">
        <v>1</v>
      </c>
      <c r="BD529" t="s">
        <v>3</v>
      </c>
      <c r="BE529" t="s">
        <v>3</v>
      </c>
      <c r="BF529" t="s">
        <v>3</v>
      </c>
      <c r="BG529" t="s">
        <v>3</v>
      </c>
      <c r="BH529">
        <v>0</v>
      </c>
      <c r="BI529">
        <v>4</v>
      </c>
      <c r="BJ529" t="s">
        <v>438</v>
      </c>
      <c r="BM529">
        <v>0</v>
      </c>
      <c r="BN529">
        <v>0</v>
      </c>
      <c r="BO529" t="s">
        <v>3</v>
      </c>
      <c r="BP529">
        <v>0</v>
      </c>
      <c r="BQ529">
        <v>1</v>
      </c>
      <c r="BR529">
        <v>0</v>
      </c>
      <c r="BS529">
        <v>1</v>
      </c>
      <c r="BT529">
        <v>1</v>
      </c>
      <c r="BU529">
        <v>1</v>
      </c>
      <c r="BV529">
        <v>1</v>
      </c>
      <c r="BW529">
        <v>1</v>
      </c>
      <c r="BX529">
        <v>1</v>
      </c>
      <c r="BY529" t="s">
        <v>3</v>
      </c>
      <c r="BZ529">
        <v>70</v>
      </c>
      <c r="CA529">
        <v>10</v>
      </c>
      <c r="CB529" t="s">
        <v>3</v>
      </c>
      <c r="CE529">
        <v>0</v>
      </c>
      <c r="CF529">
        <v>0</v>
      </c>
      <c r="CG529">
        <v>0</v>
      </c>
      <c r="CM529">
        <v>0</v>
      </c>
      <c r="CN529" t="s">
        <v>3</v>
      </c>
      <c r="CO529">
        <v>0</v>
      </c>
      <c r="CP529">
        <f t="shared" si="485"/>
        <v>43362.080000000002</v>
      </c>
      <c r="CQ529">
        <f t="shared" si="486"/>
        <v>710.32</v>
      </c>
      <c r="CR529">
        <f>(((((ET529*2))*BB529-((EU529*2))*BS529)+AE529*BS529)*AV529)</f>
        <v>1094.52</v>
      </c>
      <c r="CS529">
        <f t="shared" si="487"/>
        <v>694</v>
      </c>
      <c r="CT529">
        <f t="shared" si="488"/>
        <v>9035.68</v>
      </c>
      <c r="CU529">
        <f t="shared" si="489"/>
        <v>0</v>
      </c>
      <c r="CV529">
        <f t="shared" si="490"/>
        <v>13.6</v>
      </c>
      <c r="CW529">
        <f t="shared" si="491"/>
        <v>0</v>
      </c>
      <c r="CX529">
        <f t="shared" si="492"/>
        <v>0</v>
      </c>
      <c r="CY529">
        <f t="shared" si="493"/>
        <v>25299.903999999999</v>
      </c>
      <c r="CZ529">
        <f t="shared" si="494"/>
        <v>3614.2719999999999</v>
      </c>
      <c r="DC529" t="s">
        <v>3</v>
      </c>
      <c r="DD529" t="s">
        <v>28</v>
      </c>
      <c r="DE529" t="s">
        <v>28</v>
      </c>
      <c r="DF529" t="s">
        <v>28</v>
      </c>
      <c r="DG529" t="s">
        <v>28</v>
      </c>
      <c r="DH529" t="s">
        <v>3</v>
      </c>
      <c r="DI529" t="s">
        <v>28</v>
      </c>
      <c r="DJ529" t="s">
        <v>28</v>
      </c>
      <c r="DK529" t="s">
        <v>3</v>
      </c>
      <c r="DL529" t="s">
        <v>3</v>
      </c>
      <c r="DM529" t="s">
        <v>3</v>
      </c>
      <c r="DN529">
        <v>0</v>
      </c>
      <c r="DO529">
        <v>0</v>
      </c>
      <c r="DP529">
        <v>1</v>
      </c>
      <c r="DQ529">
        <v>1</v>
      </c>
      <c r="DU529">
        <v>1013</v>
      </c>
      <c r="DV529" t="s">
        <v>386</v>
      </c>
      <c r="DW529" t="s">
        <v>386</v>
      </c>
      <c r="DX529">
        <v>1</v>
      </c>
      <c r="DZ529" t="s">
        <v>3</v>
      </c>
      <c r="EA529" t="s">
        <v>3</v>
      </c>
      <c r="EB529" t="s">
        <v>3</v>
      </c>
      <c r="EC529" t="s">
        <v>3</v>
      </c>
      <c r="EE529">
        <v>1441815344</v>
      </c>
      <c r="EF529">
        <v>1</v>
      </c>
      <c r="EG529" t="s">
        <v>22</v>
      </c>
      <c r="EH529">
        <v>0</v>
      </c>
      <c r="EI529" t="s">
        <v>3</v>
      </c>
      <c r="EJ529">
        <v>4</v>
      </c>
      <c r="EK529">
        <v>0</v>
      </c>
      <c r="EL529" t="s">
        <v>23</v>
      </c>
      <c r="EM529" t="s">
        <v>24</v>
      </c>
      <c r="EO529" t="s">
        <v>3</v>
      </c>
      <c r="EQ529">
        <v>0</v>
      </c>
      <c r="ER529">
        <v>5420.26</v>
      </c>
      <c r="ES529">
        <v>355.16</v>
      </c>
      <c r="ET529">
        <v>547.26</v>
      </c>
      <c r="EU529">
        <v>347</v>
      </c>
      <c r="EV529">
        <v>4517.84</v>
      </c>
      <c r="EW529">
        <v>6.8</v>
      </c>
      <c r="EX529">
        <v>0</v>
      </c>
      <c r="EY529">
        <v>0</v>
      </c>
      <c r="FQ529">
        <v>0</v>
      </c>
      <c r="FR529">
        <f t="shared" si="495"/>
        <v>0</v>
      </c>
      <c r="FS529">
        <v>0</v>
      </c>
      <c r="FX529">
        <v>70</v>
      </c>
      <c r="FY529">
        <v>10</v>
      </c>
      <c r="GA529" t="s">
        <v>3</v>
      </c>
      <c r="GD529">
        <v>0</v>
      </c>
      <c r="GF529">
        <v>765417212</v>
      </c>
      <c r="GG529">
        <v>2</v>
      </c>
      <c r="GH529">
        <v>1</v>
      </c>
      <c r="GI529">
        <v>-2</v>
      </c>
      <c r="GJ529">
        <v>0</v>
      </c>
      <c r="GK529">
        <f>ROUND(R529*(R12)/100,2)</f>
        <v>2998.08</v>
      </c>
      <c r="GL529">
        <f t="shared" si="496"/>
        <v>0</v>
      </c>
      <c r="GM529">
        <f t="shared" si="497"/>
        <v>75274.33</v>
      </c>
      <c r="GN529">
        <f t="shared" si="498"/>
        <v>0</v>
      </c>
      <c r="GO529">
        <f t="shared" si="499"/>
        <v>0</v>
      </c>
      <c r="GP529">
        <f t="shared" si="500"/>
        <v>75274.33</v>
      </c>
      <c r="GR529">
        <v>0</v>
      </c>
      <c r="GS529">
        <v>3</v>
      </c>
      <c r="GT529">
        <v>0</v>
      </c>
      <c r="GU529" t="s">
        <v>3</v>
      </c>
      <c r="GV529">
        <f t="shared" si="501"/>
        <v>0</v>
      </c>
      <c r="GW529">
        <v>1</v>
      </c>
      <c r="GX529">
        <f t="shared" si="502"/>
        <v>0</v>
      </c>
      <c r="HA529">
        <v>0</v>
      </c>
      <c r="HB529">
        <v>0</v>
      </c>
      <c r="HC529">
        <f t="shared" si="503"/>
        <v>0</v>
      </c>
      <c r="HE529" t="s">
        <v>3</v>
      </c>
      <c r="HF529" t="s">
        <v>3</v>
      </c>
      <c r="HM529" t="s">
        <v>3</v>
      </c>
      <c r="HN529" t="s">
        <v>3</v>
      </c>
      <c r="HO529" t="s">
        <v>3</v>
      </c>
      <c r="HP529" t="s">
        <v>3</v>
      </c>
      <c r="HQ529" t="s">
        <v>3</v>
      </c>
      <c r="IK529">
        <v>0</v>
      </c>
    </row>
    <row r="530" spans="1:245" x14ac:dyDescent="0.2">
      <c r="A530">
        <v>17</v>
      </c>
      <c r="B530">
        <v>1</v>
      </c>
      <c r="D530">
        <f>ROW(EtalonRes!A358)</f>
        <v>358</v>
      </c>
      <c r="E530" t="s">
        <v>3</v>
      </c>
      <c r="F530" t="s">
        <v>439</v>
      </c>
      <c r="G530" t="s">
        <v>440</v>
      </c>
      <c r="H530" t="s">
        <v>386</v>
      </c>
      <c r="I530">
        <v>4</v>
      </c>
      <c r="J530">
        <v>0</v>
      </c>
      <c r="K530">
        <v>4</v>
      </c>
      <c r="O530">
        <f t="shared" si="471"/>
        <v>37375.199999999997</v>
      </c>
      <c r="P530">
        <f t="shared" si="472"/>
        <v>251.92</v>
      </c>
      <c r="Q530">
        <f t="shared" si="473"/>
        <v>4378.08</v>
      </c>
      <c r="R530">
        <f t="shared" si="474"/>
        <v>2776</v>
      </c>
      <c r="S530">
        <f t="shared" si="475"/>
        <v>32745.200000000001</v>
      </c>
      <c r="T530">
        <f t="shared" si="476"/>
        <v>0</v>
      </c>
      <c r="U530">
        <f t="shared" si="477"/>
        <v>49.28</v>
      </c>
      <c r="V530">
        <f t="shared" si="478"/>
        <v>0</v>
      </c>
      <c r="W530">
        <f t="shared" si="479"/>
        <v>0</v>
      </c>
      <c r="X530">
        <f t="shared" si="480"/>
        <v>22921.64</v>
      </c>
      <c r="Y530">
        <f t="shared" si="481"/>
        <v>3274.52</v>
      </c>
      <c r="AA530">
        <v>-1</v>
      </c>
      <c r="AB530">
        <f t="shared" si="482"/>
        <v>9343.7999999999993</v>
      </c>
      <c r="AC530">
        <f>ROUND(((ES530*2)),6)</f>
        <v>62.98</v>
      </c>
      <c r="AD530">
        <f>ROUND(((((ET530*2))-((EU530*2)))+AE530),6)</f>
        <v>1094.52</v>
      </c>
      <c r="AE530">
        <f>ROUND(((EU530*2)),6)</f>
        <v>694</v>
      </c>
      <c r="AF530">
        <f>ROUND(((EV530*2)),6)</f>
        <v>8186.3</v>
      </c>
      <c r="AG530">
        <f t="shared" si="483"/>
        <v>0</v>
      </c>
      <c r="AH530">
        <f>((EW530*2))</f>
        <v>12.32</v>
      </c>
      <c r="AI530">
        <f>((EX530*2))</f>
        <v>0</v>
      </c>
      <c r="AJ530">
        <f t="shared" si="484"/>
        <v>0</v>
      </c>
      <c r="AK530">
        <v>4671.8999999999996</v>
      </c>
      <c r="AL530">
        <v>31.49</v>
      </c>
      <c r="AM530">
        <v>547.26</v>
      </c>
      <c r="AN530">
        <v>347</v>
      </c>
      <c r="AO530">
        <v>4093.15</v>
      </c>
      <c r="AP530">
        <v>0</v>
      </c>
      <c r="AQ530">
        <v>6.16</v>
      </c>
      <c r="AR530">
        <v>0</v>
      </c>
      <c r="AS530">
        <v>0</v>
      </c>
      <c r="AT530">
        <v>70</v>
      </c>
      <c r="AU530">
        <v>10</v>
      </c>
      <c r="AV530">
        <v>1</v>
      </c>
      <c r="AW530">
        <v>1</v>
      </c>
      <c r="AZ530">
        <v>1</v>
      </c>
      <c r="BA530">
        <v>1</v>
      </c>
      <c r="BB530">
        <v>1</v>
      </c>
      <c r="BC530">
        <v>1</v>
      </c>
      <c r="BD530" t="s">
        <v>3</v>
      </c>
      <c r="BE530" t="s">
        <v>3</v>
      </c>
      <c r="BF530" t="s">
        <v>3</v>
      </c>
      <c r="BG530" t="s">
        <v>3</v>
      </c>
      <c r="BH530">
        <v>0</v>
      </c>
      <c r="BI530">
        <v>4</v>
      </c>
      <c r="BJ530" t="s">
        <v>441</v>
      </c>
      <c r="BM530">
        <v>0</v>
      </c>
      <c r="BN530">
        <v>0</v>
      </c>
      <c r="BO530" t="s">
        <v>3</v>
      </c>
      <c r="BP530">
        <v>0</v>
      </c>
      <c r="BQ530">
        <v>1</v>
      </c>
      <c r="BR530">
        <v>0</v>
      </c>
      <c r="BS530">
        <v>1</v>
      </c>
      <c r="BT530">
        <v>1</v>
      </c>
      <c r="BU530">
        <v>1</v>
      </c>
      <c r="BV530">
        <v>1</v>
      </c>
      <c r="BW530">
        <v>1</v>
      </c>
      <c r="BX530">
        <v>1</v>
      </c>
      <c r="BY530" t="s">
        <v>3</v>
      </c>
      <c r="BZ530">
        <v>70</v>
      </c>
      <c r="CA530">
        <v>10</v>
      </c>
      <c r="CB530" t="s">
        <v>3</v>
      </c>
      <c r="CE530">
        <v>0</v>
      </c>
      <c r="CF530">
        <v>0</v>
      </c>
      <c r="CG530">
        <v>0</v>
      </c>
      <c r="CM530">
        <v>0</v>
      </c>
      <c r="CN530" t="s">
        <v>3</v>
      </c>
      <c r="CO530">
        <v>0</v>
      </c>
      <c r="CP530">
        <f t="shared" si="485"/>
        <v>37375.199999999997</v>
      </c>
      <c r="CQ530">
        <f t="shared" si="486"/>
        <v>62.98</v>
      </c>
      <c r="CR530">
        <f>(((((ET530*2))*BB530-((EU530*2))*BS530)+AE530*BS530)*AV530)</f>
        <v>1094.52</v>
      </c>
      <c r="CS530">
        <f t="shared" si="487"/>
        <v>694</v>
      </c>
      <c r="CT530">
        <f t="shared" si="488"/>
        <v>8186.3</v>
      </c>
      <c r="CU530">
        <f t="shared" si="489"/>
        <v>0</v>
      </c>
      <c r="CV530">
        <f t="shared" si="490"/>
        <v>12.32</v>
      </c>
      <c r="CW530">
        <f t="shared" si="491"/>
        <v>0</v>
      </c>
      <c r="CX530">
        <f t="shared" si="492"/>
        <v>0</v>
      </c>
      <c r="CY530">
        <f t="shared" si="493"/>
        <v>22921.64</v>
      </c>
      <c r="CZ530">
        <f t="shared" si="494"/>
        <v>3274.52</v>
      </c>
      <c r="DC530" t="s">
        <v>3</v>
      </c>
      <c r="DD530" t="s">
        <v>28</v>
      </c>
      <c r="DE530" t="s">
        <v>28</v>
      </c>
      <c r="DF530" t="s">
        <v>28</v>
      </c>
      <c r="DG530" t="s">
        <v>28</v>
      </c>
      <c r="DH530" t="s">
        <v>3</v>
      </c>
      <c r="DI530" t="s">
        <v>28</v>
      </c>
      <c r="DJ530" t="s">
        <v>28</v>
      </c>
      <c r="DK530" t="s">
        <v>3</v>
      </c>
      <c r="DL530" t="s">
        <v>3</v>
      </c>
      <c r="DM530" t="s">
        <v>3</v>
      </c>
      <c r="DN530">
        <v>0</v>
      </c>
      <c r="DO530">
        <v>0</v>
      </c>
      <c r="DP530">
        <v>1</v>
      </c>
      <c r="DQ530">
        <v>1</v>
      </c>
      <c r="DU530">
        <v>1013</v>
      </c>
      <c r="DV530" t="s">
        <v>386</v>
      </c>
      <c r="DW530" t="s">
        <v>386</v>
      </c>
      <c r="DX530">
        <v>1</v>
      </c>
      <c r="DZ530" t="s">
        <v>3</v>
      </c>
      <c r="EA530" t="s">
        <v>3</v>
      </c>
      <c r="EB530" t="s">
        <v>3</v>
      </c>
      <c r="EC530" t="s">
        <v>3</v>
      </c>
      <c r="EE530">
        <v>1441815344</v>
      </c>
      <c r="EF530">
        <v>1</v>
      </c>
      <c r="EG530" t="s">
        <v>22</v>
      </c>
      <c r="EH530">
        <v>0</v>
      </c>
      <c r="EI530" t="s">
        <v>3</v>
      </c>
      <c r="EJ530">
        <v>4</v>
      </c>
      <c r="EK530">
        <v>0</v>
      </c>
      <c r="EL530" t="s">
        <v>23</v>
      </c>
      <c r="EM530" t="s">
        <v>24</v>
      </c>
      <c r="EO530" t="s">
        <v>3</v>
      </c>
      <c r="EQ530">
        <v>1024</v>
      </c>
      <c r="ER530">
        <v>4671.8999999999996</v>
      </c>
      <c r="ES530">
        <v>31.49</v>
      </c>
      <c r="ET530">
        <v>547.26</v>
      </c>
      <c r="EU530">
        <v>347</v>
      </c>
      <c r="EV530">
        <v>4093.15</v>
      </c>
      <c r="EW530">
        <v>6.16</v>
      </c>
      <c r="EX530">
        <v>0</v>
      </c>
      <c r="EY530">
        <v>0</v>
      </c>
      <c r="FQ530">
        <v>0</v>
      </c>
      <c r="FR530">
        <f t="shared" si="495"/>
        <v>0</v>
      </c>
      <c r="FS530">
        <v>0</v>
      </c>
      <c r="FX530">
        <v>70</v>
      </c>
      <c r="FY530">
        <v>10</v>
      </c>
      <c r="GA530" t="s">
        <v>3</v>
      </c>
      <c r="GD530">
        <v>0</v>
      </c>
      <c r="GF530">
        <v>-685527176</v>
      </c>
      <c r="GG530">
        <v>2</v>
      </c>
      <c r="GH530">
        <v>1</v>
      </c>
      <c r="GI530">
        <v>-2</v>
      </c>
      <c r="GJ530">
        <v>0</v>
      </c>
      <c r="GK530">
        <f>ROUND(R530*(R12)/100,2)</f>
        <v>2998.08</v>
      </c>
      <c r="GL530">
        <f t="shared" si="496"/>
        <v>0</v>
      </c>
      <c r="GM530">
        <f t="shared" si="497"/>
        <v>66569.440000000002</v>
      </c>
      <c r="GN530">
        <f t="shared" si="498"/>
        <v>0</v>
      </c>
      <c r="GO530">
        <f t="shared" si="499"/>
        <v>0</v>
      </c>
      <c r="GP530">
        <f t="shared" si="500"/>
        <v>66569.440000000002</v>
      </c>
      <c r="GR530">
        <v>0</v>
      </c>
      <c r="GS530">
        <v>3</v>
      </c>
      <c r="GT530">
        <v>0</v>
      </c>
      <c r="GU530" t="s">
        <v>3</v>
      </c>
      <c r="GV530">
        <f t="shared" si="501"/>
        <v>0</v>
      </c>
      <c r="GW530">
        <v>1</v>
      </c>
      <c r="GX530">
        <f t="shared" si="502"/>
        <v>0</v>
      </c>
      <c r="HA530">
        <v>0</v>
      </c>
      <c r="HB530">
        <v>0</v>
      </c>
      <c r="HC530">
        <f t="shared" si="503"/>
        <v>0</v>
      </c>
      <c r="HE530" t="s">
        <v>3</v>
      </c>
      <c r="HF530" t="s">
        <v>3</v>
      </c>
      <c r="HM530" t="s">
        <v>3</v>
      </c>
      <c r="HN530" t="s">
        <v>3</v>
      </c>
      <c r="HO530" t="s">
        <v>3</v>
      </c>
      <c r="HP530" t="s">
        <v>3</v>
      </c>
      <c r="HQ530" t="s">
        <v>3</v>
      </c>
      <c r="IK530">
        <v>0</v>
      </c>
    </row>
    <row r="531" spans="1:245" x14ac:dyDescent="0.2">
      <c r="A531">
        <v>17</v>
      </c>
      <c r="B531">
        <v>1</v>
      </c>
      <c r="D531">
        <f>ROW(EtalonRes!A368)</f>
        <v>368</v>
      </c>
      <c r="E531" t="s">
        <v>3</v>
      </c>
      <c r="F531" t="s">
        <v>442</v>
      </c>
      <c r="G531" t="s">
        <v>443</v>
      </c>
      <c r="H531" t="s">
        <v>386</v>
      </c>
      <c r="I531">
        <v>3</v>
      </c>
      <c r="J531">
        <v>0</v>
      </c>
      <c r="K531">
        <v>3</v>
      </c>
      <c r="O531">
        <f t="shared" si="471"/>
        <v>399434.02</v>
      </c>
      <c r="P531">
        <f t="shared" si="472"/>
        <v>14649.02</v>
      </c>
      <c r="Q531">
        <f t="shared" si="473"/>
        <v>0</v>
      </c>
      <c r="R531">
        <f t="shared" si="474"/>
        <v>0</v>
      </c>
      <c r="S531">
        <f t="shared" si="475"/>
        <v>384785</v>
      </c>
      <c r="T531">
        <f t="shared" si="476"/>
        <v>0</v>
      </c>
      <c r="U531">
        <f t="shared" si="477"/>
        <v>500</v>
      </c>
      <c r="V531">
        <f t="shared" si="478"/>
        <v>0</v>
      </c>
      <c r="W531">
        <f t="shared" si="479"/>
        <v>0</v>
      </c>
      <c r="X531">
        <f t="shared" si="480"/>
        <v>269349.5</v>
      </c>
      <c r="Y531">
        <f t="shared" si="481"/>
        <v>38478.5</v>
      </c>
      <c r="AA531">
        <v>-1</v>
      </c>
      <c r="AB531">
        <f t="shared" si="482"/>
        <v>133144.67333399999</v>
      </c>
      <c r="AC531">
        <f>ROUND((((ES531/12)*8)),6)</f>
        <v>4883.0066669999997</v>
      </c>
      <c r="AD531">
        <f>ROUND((((((ET531/12)*8))-(((EU531/12)*8)))+AE531),6)</f>
        <v>0</v>
      </c>
      <c r="AE531">
        <f>ROUND((((EU531/12)*8)),6)</f>
        <v>0</v>
      </c>
      <c r="AF531">
        <f>ROUND((((EV531/12)*8)),6)</f>
        <v>128261.666667</v>
      </c>
      <c r="AG531">
        <f t="shared" si="483"/>
        <v>0</v>
      </c>
      <c r="AH531">
        <f>(((EW531/12)*8))</f>
        <v>166.66666666666666</v>
      </c>
      <c r="AI531">
        <f>(((EX531/12)*8))</f>
        <v>0</v>
      </c>
      <c r="AJ531">
        <f t="shared" si="484"/>
        <v>0</v>
      </c>
      <c r="AK531">
        <v>199717.01</v>
      </c>
      <c r="AL531">
        <v>7324.51</v>
      </c>
      <c r="AM531">
        <v>0</v>
      </c>
      <c r="AN531">
        <v>0</v>
      </c>
      <c r="AO531">
        <v>192392.5</v>
      </c>
      <c r="AP531">
        <v>0</v>
      </c>
      <c r="AQ531">
        <v>250</v>
      </c>
      <c r="AR531">
        <v>0</v>
      </c>
      <c r="AS531">
        <v>0</v>
      </c>
      <c r="AT531">
        <v>70</v>
      </c>
      <c r="AU531">
        <v>10</v>
      </c>
      <c r="AV531">
        <v>1</v>
      </c>
      <c r="AW531">
        <v>1</v>
      </c>
      <c r="AZ531">
        <v>1</v>
      </c>
      <c r="BA531">
        <v>1</v>
      </c>
      <c r="BB531">
        <v>1</v>
      </c>
      <c r="BC531">
        <v>1</v>
      </c>
      <c r="BD531" t="s">
        <v>3</v>
      </c>
      <c r="BE531" t="s">
        <v>3</v>
      </c>
      <c r="BF531" t="s">
        <v>3</v>
      </c>
      <c r="BG531" t="s">
        <v>3</v>
      </c>
      <c r="BH531">
        <v>0</v>
      </c>
      <c r="BI531">
        <v>4</v>
      </c>
      <c r="BJ531" t="s">
        <v>444</v>
      </c>
      <c r="BM531">
        <v>0</v>
      </c>
      <c r="BN531">
        <v>0</v>
      </c>
      <c r="BO531" t="s">
        <v>3</v>
      </c>
      <c r="BP531">
        <v>0</v>
      </c>
      <c r="BQ531">
        <v>1</v>
      </c>
      <c r="BR531">
        <v>0</v>
      </c>
      <c r="BS531">
        <v>1</v>
      </c>
      <c r="BT531">
        <v>1</v>
      </c>
      <c r="BU531">
        <v>1</v>
      </c>
      <c r="BV531">
        <v>1</v>
      </c>
      <c r="BW531">
        <v>1</v>
      </c>
      <c r="BX531">
        <v>1</v>
      </c>
      <c r="BY531" t="s">
        <v>3</v>
      </c>
      <c r="BZ531">
        <v>70</v>
      </c>
      <c r="CA531">
        <v>10</v>
      </c>
      <c r="CB531" t="s">
        <v>3</v>
      </c>
      <c r="CE531">
        <v>0</v>
      </c>
      <c r="CF531">
        <v>0</v>
      </c>
      <c r="CG531">
        <v>0</v>
      </c>
      <c r="CM531">
        <v>0</v>
      </c>
      <c r="CN531" t="s">
        <v>3</v>
      </c>
      <c r="CO531">
        <v>0</v>
      </c>
      <c r="CP531">
        <f t="shared" si="485"/>
        <v>399434.02</v>
      </c>
      <c r="CQ531">
        <f t="shared" si="486"/>
        <v>4883.0066669999997</v>
      </c>
      <c r="CR531">
        <f>((((((ET531/12)*8))*BB531-(((EU531/12)*8))*BS531)+AE531*BS531)*AV531)</f>
        <v>0</v>
      </c>
      <c r="CS531">
        <f t="shared" si="487"/>
        <v>0</v>
      </c>
      <c r="CT531">
        <f t="shared" si="488"/>
        <v>128261.666667</v>
      </c>
      <c r="CU531">
        <f t="shared" si="489"/>
        <v>0</v>
      </c>
      <c r="CV531">
        <f t="shared" si="490"/>
        <v>166.66666666666666</v>
      </c>
      <c r="CW531">
        <f t="shared" si="491"/>
        <v>0</v>
      </c>
      <c r="CX531">
        <f t="shared" si="492"/>
        <v>0</v>
      </c>
      <c r="CY531">
        <f t="shared" si="493"/>
        <v>269349.5</v>
      </c>
      <c r="CZ531">
        <f t="shared" si="494"/>
        <v>38478.5</v>
      </c>
      <c r="DC531" t="s">
        <v>3</v>
      </c>
      <c r="DD531" t="s">
        <v>388</v>
      </c>
      <c r="DE531" t="s">
        <v>388</v>
      </c>
      <c r="DF531" t="s">
        <v>388</v>
      </c>
      <c r="DG531" t="s">
        <v>388</v>
      </c>
      <c r="DH531" t="s">
        <v>3</v>
      </c>
      <c r="DI531" t="s">
        <v>388</v>
      </c>
      <c r="DJ531" t="s">
        <v>388</v>
      </c>
      <c r="DK531" t="s">
        <v>3</v>
      </c>
      <c r="DL531" t="s">
        <v>3</v>
      </c>
      <c r="DM531" t="s">
        <v>3</v>
      </c>
      <c r="DN531">
        <v>0</v>
      </c>
      <c r="DO531">
        <v>0</v>
      </c>
      <c r="DP531">
        <v>1</v>
      </c>
      <c r="DQ531">
        <v>1</v>
      </c>
      <c r="DU531">
        <v>1013</v>
      </c>
      <c r="DV531" t="s">
        <v>386</v>
      </c>
      <c r="DW531" t="s">
        <v>386</v>
      </c>
      <c r="DX531">
        <v>1</v>
      </c>
      <c r="DZ531" t="s">
        <v>3</v>
      </c>
      <c r="EA531" t="s">
        <v>3</v>
      </c>
      <c r="EB531" t="s">
        <v>3</v>
      </c>
      <c r="EC531" t="s">
        <v>3</v>
      </c>
      <c r="EE531">
        <v>1441815344</v>
      </c>
      <c r="EF531">
        <v>1</v>
      </c>
      <c r="EG531" t="s">
        <v>22</v>
      </c>
      <c r="EH531">
        <v>0</v>
      </c>
      <c r="EI531" t="s">
        <v>3</v>
      </c>
      <c r="EJ531">
        <v>4</v>
      </c>
      <c r="EK531">
        <v>0</v>
      </c>
      <c r="EL531" t="s">
        <v>23</v>
      </c>
      <c r="EM531" t="s">
        <v>24</v>
      </c>
      <c r="EO531" t="s">
        <v>3</v>
      </c>
      <c r="EQ531">
        <v>1024</v>
      </c>
      <c r="ER531">
        <v>199717.01</v>
      </c>
      <c r="ES531">
        <v>7324.51</v>
      </c>
      <c r="ET531">
        <v>0</v>
      </c>
      <c r="EU531">
        <v>0</v>
      </c>
      <c r="EV531">
        <v>192392.5</v>
      </c>
      <c r="EW531">
        <v>250</v>
      </c>
      <c r="EX531">
        <v>0</v>
      </c>
      <c r="EY531">
        <v>0</v>
      </c>
      <c r="FQ531">
        <v>0</v>
      </c>
      <c r="FR531">
        <f t="shared" si="495"/>
        <v>0</v>
      </c>
      <c r="FS531">
        <v>0</v>
      </c>
      <c r="FX531">
        <v>70</v>
      </c>
      <c r="FY531">
        <v>10</v>
      </c>
      <c r="GA531" t="s">
        <v>3</v>
      </c>
      <c r="GD531">
        <v>0</v>
      </c>
      <c r="GF531">
        <v>1066617714</v>
      </c>
      <c r="GG531">
        <v>2</v>
      </c>
      <c r="GH531">
        <v>1</v>
      </c>
      <c r="GI531">
        <v>-2</v>
      </c>
      <c r="GJ531">
        <v>0</v>
      </c>
      <c r="GK531">
        <f>ROUND(R531*(R12)/100,2)</f>
        <v>0</v>
      </c>
      <c r="GL531">
        <f t="shared" si="496"/>
        <v>0</v>
      </c>
      <c r="GM531">
        <f t="shared" si="497"/>
        <v>707262.02</v>
      </c>
      <c r="GN531">
        <f t="shared" si="498"/>
        <v>0</v>
      </c>
      <c r="GO531">
        <f t="shared" si="499"/>
        <v>0</v>
      </c>
      <c r="GP531">
        <f t="shared" si="500"/>
        <v>707262.02</v>
      </c>
      <c r="GR531">
        <v>0</v>
      </c>
      <c r="GS531">
        <v>3</v>
      </c>
      <c r="GT531">
        <v>0</v>
      </c>
      <c r="GU531" t="s">
        <v>3</v>
      </c>
      <c r="GV531">
        <f t="shared" si="501"/>
        <v>0</v>
      </c>
      <c r="GW531">
        <v>1</v>
      </c>
      <c r="GX531">
        <f t="shared" si="502"/>
        <v>0</v>
      </c>
      <c r="HA531">
        <v>0</v>
      </c>
      <c r="HB531">
        <v>0</v>
      </c>
      <c r="HC531">
        <f t="shared" si="503"/>
        <v>0</v>
      </c>
      <c r="HE531" t="s">
        <v>3</v>
      </c>
      <c r="HF531" t="s">
        <v>3</v>
      </c>
      <c r="HM531" t="s">
        <v>3</v>
      </c>
      <c r="HN531" t="s">
        <v>3</v>
      </c>
      <c r="HO531" t="s">
        <v>3</v>
      </c>
      <c r="HP531" t="s">
        <v>3</v>
      </c>
      <c r="HQ531" t="s">
        <v>3</v>
      </c>
      <c r="IK531">
        <v>0</v>
      </c>
    </row>
    <row r="532" spans="1:245" x14ac:dyDescent="0.2">
      <c r="A532">
        <v>17</v>
      </c>
      <c r="B532">
        <v>1</v>
      </c>
      <c r="D532">
        <f>ROW(EtalonRes!A372)</f>
        <v>372</v>
      </c>
      <c r="E532" t="s">
        <v>445</v>
      </c>
      <c r="F532" t="s">
        <v>436</v>
      </c>
      <c r="G532" t="s">
        <v>446</v>
      </c>
      <c r="H532" t="s">
        <v>386</v>
      </c>
      <c r="I532">
        <v>3</v>
      </c>
      <c r="J532">
        <v>0</v>
      </c>
      <c r="K532">
        <v>3</v>
      </c>
      <c r="O532">
        <f t="shared" si="471"/>
        <v>32521.56</v>
      </c>
      <c r="P532">
        <f t="shared" si="472"/>
        <v>2130.96</v>
      </c>
      <c r="Q532">
        <f t="shared" si="473"/>
        <v>3283.56</v>
      </c>
      <c r="R532">
        <f t="shared" si="474"/>
        <v>2082</v>
      </c>
      <c r="S532">
        <f t="shared" si="475"/>
        <v>27107.040000000001</v>
      </c>
      <c r="T532">
        <f t="shared" si="476"/>
        <v>0</v>
      </c>
      <c r="U532">
        <f t="shared" si="477"/>
        <v>40.799999999999997</v>
      </c>
      <c r="V532">
        <f t="shared" si="478"/>
        <v>0</v>
      </c>
      <c r="W532">
        <f t="shared" si="479"/>
        <v>0</v>
      </c>
      <c r="X532">
        <f t="shared" si="480"/>
        <v>18974.93</v>
      </c>
      <c r="Y532">
        <f t="shared" si="481"/>
        <v>2710.7</v>
      </c>
      <c r="AA532">
        <v>1472506909</v>
      </c>
      <c r="AB532">
        <f t="shared" si="482"/>
        <v>10840.52</v>
      </c>
      <c r="AC532">
        <f>ROUND(((ES532*2)),6)</f>
        <v>710.32</v>
      </c>
      <c r="AD532">
        <f>ROUND(((((ET532*2))-((EU532*2)))+AE532),6)</f>
        <v>1094.52</v>
      </c>
      <c r="AE532">
        <f>ROUND(((EU532*2)),6)</f>
        <v>694</v>
      </c>
      <c r="AF532">
        <f>ROUND(((EV532*2)),6)</f>
        <v>9035.68</v>
      </c>
      <c r="AG532">
        <f t="shared" si="483"/>
        <v>0</v>
      </c>
      <c r="AH532">
        <f>((EW532*2))</f>
        <v>13.6</v>
      </c>
      <c r="AI532">
        <f>((EX532*2))</f>
        <v>0</v>
      </c>
      <c r="AJ532">
        <f t="shared" si="484"/>
        <v>0</v>
      </c>
      <c r="AK532">
        <v>5420.26</v>
      </c>
      <c r="AL532">
        <v>355.16</v>
      </c>
      <c r="AM532">
        <v>547.26</v>
      </c>
      <c r="AN532">
        <v>347</v>
      </c>
      <c r="AO532">
        <v>4517.84</v>
      </c>
      <c r="AP532">
        <v>0</v>
      </c>
      <c r="AQ532">
        <v>6.8</v>
      </c>
      <c r="AR532">
        <v>0</v>
      </c>
      <c r="AS532">
        <v>0</v>
      </c>
      <c r="AT532">
        <v>70</v>
      </c>
      <c r="AU532">
        <v>10</v>
      </c>
      <c r="AV532">
        <v>1</v>
      </c>
      <c r="AW532">
        <v>1</v>
      </c>
      <c r="AZ532">
        <v>1</v>
      </c>
      <c r="BA532">
        <v>1</v>
      </c>
      <c r="BB532">
        <v>1</v>
      </c>
      <c r="BC532">
        <v>1</v>
      </c>
      <c r="BD532" t="s">
        <v>3</v>
      </c>
      <c r="BE532" t="s">
        <v>3</v>
      </c>
      <c r="BF532" t="s">
        <v>3</v>
      </c>
      <c r="BG532" t="s">
        <v>3</v>
      </c>
      <c r="BH532">
        <v>0</v>
      </c>
      <c r="BI532">
        <v>4</v>
      </c>
      <c r="BJ532" t="s">
        <v>438</v>
      </c>
      <c r="BM532">
        <v>0</v>
      </c>
      <c r="BN532">
        <v>0</v>
      </c>
      <c r="BO532" t="s">
        <v>3</v>
      </c>
      <c r="BP532">
        <v>0</v>
      </c>
      <c r="BQ532">
        <v>1</v>
      </c>
      <c r="BR532">
        <v>0</v>
      </c>
      <c r="BS532">
        <v>1</v>
      </c>
      <c r="BT532">
        <v>1</v>
      </c>
      <c r="BU532">
        <v>1</v>
      </c>
      <c r="BV532">
        <v>1</v>
      </c>
      <c r="BW532">
        <v>1</v>
      </c>
      <c r="BX532">
        <v>1</v>
      </c>
      <c r="BY532" t="s">
        <v>3</v>
      </c>
      <c r="BZ532">
        <v>70</v>
      </c>
      <c r="CA532">
        <v>10</v>
      </c>
      <c r="CB532" t="s">
        <v>3</v>
      </c>
      <c r="CE532">
        <v>0</v>
      </c>
      <c r="CF532">
        <v>0</v>
      </c>
      <c r="CG532">
        <v>0</v>
      </c>
      <c r="CM532">
        <v>0</v>
      </c>
      <c r="CN532" t="s">
        <v>3</v>
      </c>
      <c r="CO532">
        <v>0</v>
      </c>
      <c r="CP532">
        <f t="shared" si="485"/>
        <v>32521.56</v>
      </c>
      <c r="CQ532">
        <f t="shared" si="486"/>
        <v>710.32</v>
      </c>
      <c r="CR532">
        <f>(((((ET532*2))*BB532-((EU532*2))*BS532)+AE532*BS532)*AV532)</f>
        <v>1094.52</v>
      </c>
      <c r="CS532">
        <f t="shared" si="487"/>
        <v>694</v>
      </c>
      <c r="CT532">
        <f t="shared" si="488"/>
        <v>9035.68</v>
      </c>
      <c r="CU532">
        <f t="shared" si="489"/>
        <v>0</v>
      </c>
      <c r="CV532">
        <f t="shared" si="490"/>
        <v>13.6</v>
      </c>
      <c r="CW532">
        <f t="shared" si="491"/>
        <v>0</v>
      </c>
      <c r="CX532">
        <f t="shared" si="492"/>
        <v>0</v>
      </c>
      <c r="CY532">
        <f t="shared" si="493"/>
        <v>18974.928</v>
      </c>
      <c r="CZ532">
        <f t="shared" si="494"/>
        <v>2710.7040000000002</v>
      </c>
      <c r="DC532" t="s">
        <v>3</v>
      </c>
      <c r="DD532" t="s">
        <v>28</v>
      </c>
      <c r="DE532" t="s">
        <v>28</v>
      </c>
      <c r="DF532" t="s">
        <v>28</v>
      </c>
      <c r="DG532" t="s">
        <v>28</v>
      </c>
      <c r="DH532" t="s">
        <v>3</v>
      </c>
      <c r="DI532" t="s">
        <v>28</v>
      </c>
      <c r="DJ532" t="s">
        <v>28</v>
      </c>
      <c r="DK532" t="s">
        <v>3</v>
      </c>
      <c r="DL532" t="s">
        <v>3</v>
      </c>
      <c r="DM532" t="s">
        <v>3</v>
      </c>
      <c r="DN532">
        <v>0</v>
      </c>
      <c r="DO532">
        <v>0</v>
      </c>
      <c r="DP532">
        <v>1</v>
      </c>
      <c r="DQ532">
        <v>1</v>
      </c>
      <c r="DU532">
        <v>1013</v>
      </c>
      <c r="DV532" t="s">
        <v>386</v>
      </c>
      <c r="DW532" t="s">
        <v>386</v>
      </c>
      <c r="DX532">
        <v>1</v>
      </c>
      <c r="DZ532" t="s">
        <v>3</v>
      </c>
      <c r="EA532" t="s">
        <v>3</v>
      </c>
      <c r="EB532" t="s">
        <v>3</v>
      </c>
      <c r="EC532" t="s">
        <v>3</v>
      </c>
      <c r="EE532">
        <v>1441815344</v>
      </c>
      <c r="EF532">
        <v>1</v>
      </c>
      <c r="EG532" t="s">
        <v>22</v>
      </c>
      <c r="EH532">
        <v>0</v>
      </c>
      <c r="EI532" t="s">
        <v>3</v>
      </c>
      <c r="EJ532">
        <v>4</v>
      </c>
      <c r="EK532">
        <v>0</v>
      </c>
      <c r="EL532" t="s">
        <v>23</v>
      </c>
      <c r="EM532" t="s">
        <v>24</v>
      </c>
      <c r="EO532" t="s">
        <v>3</v>
      </c>
      <c r="EQ532">
        <v>0</v>
      </c>
      <c r="ER532">
        <v>5420.26</v>
      </c>
      <c r="ES532">
        <v>355.16</v>
      </c>
      <c r="ET532">
        <v>547.26</v>
      </c>
      <c r="EU532">
        <v>347</v>
      </c>
      <c r="EV532">
        <v>4517.84</v>
      </c>
      <c r="EW532">
        <v>6.8</v>
      </c>
      <c r="EX532">
        <v>0</v>
      </c>
      <c r="EY532">
        <v>0</v>
      </c>
      <c r="FQ532">
        <v>0</v>
      </c>
      <c r="FR532">
        <f t="shared" si="495"/>
        <v>0</v>
      </c>
      <c r="FS532">
        <v>0</v>
      </c>
      <c r="FX532">
        <v>70</v>
      </c>
      <c r="FY532">
        <v>10</v>
      </c>
      <c r="GA532" t="s">
        <v>3</v>
      </c>
      <c r="GD532">
        <v>0</v>
      </c>
      <c r="GF532">
        <v>-935651537</v>
      </c>
      <c r="GG532">
        <v>2</v>
      </c>
      <c r="GH532">
        <v>1</v>
      </c>
      <c r="GI532">
        <v>-2</v>
      </c>
      <c r="GJ532">
        <v>0</v>
      </c>
      <c r="GK532">
        <f>ROUND(R532*(R12)/100,2)</f>
        <v>2248.56</v>
      </c>
      <c r="GL532">
        <f t="shared" si="496"/>
        <v>0</v>
      </c>
      <c r="GM532">
        <f t="shared" si="497"/>
        <v>56455.75</v>
      </c>
      <c r="GN532">
        <f t="shared" si="498"/>
        <v>0</v>
      </c>
      <c r="GO532">
        <f t="shared" si="499"/>
        <v>0</v>
      </c>
      <c r="GP532">
        <f t="shared" si="500"/>
        <v>56455.75</v>
      </c>
      <c r="GR532">
        <v>0</v>
      </c>
      <c r="GS532">
        <v>3</v>
      </c>
      <c r="GT532">
        <v>0</v>
      </c>
      <c r="GU532" t="s">
        <v>3</v>
      </c>
      <c r="GV532">
        <f t="shared" si="501"/>
        <v>0</v>
      </c>
      <c r="GW532">
        <v>1</v>
      </c>
      <c r="GX532">
        <f t="shared" si="502"/>
        <v>0</v>
      </c>
      <c r="HA532">
        <v>0</v>
      </c>
      <c r="HB532">
        <v>0</v>
      </c>
      <c r="HC532">
        <f t="shared" si="503"/>
        <v>0</v>
      </c>
      <c r="HE532" t="s">
        <v>3</v>
      </c>
      <c r="HF532" t="s">
        <v>3</v>
      </c>
      <c r="HM532" t="s">
        <v>3</v>
      </c>
      <c r="HN532" t="s">
        <v>3</v>
      </c>
      <c r="HO532" t="s">
        <v>3</v>
      </c>
      <c r="HP532" t="s">
        <v>3</v>
      </c>
      <c r="HQ532" t="s">
        <v>3</v>
      </c>
      <c r="IK532">
        <v>0</v>
      </c>
    </row>
    <row r="533" spans="1:245" x14ac:dyDescent="0.2">
      <c r="A533">
        <v>17</v>
      </c>
      <c r="B533">
        <v>1</v>
      </c>
      <c r="D533">
        <f>ROW(EtalonRes!A375)</f>
        <v>375</v>
      </c>
      <c r="E533" t="s">
        <v>3</v>
      </c>
      <c r="F533" t="s">
        <v>439</v>
      </c>
      <c r="G533" t="s">
        <v>447</v>
      </c>
      <c r="H533" t="s">
        <v>386</v>
      </c>
      <c r="I533">
        <v>3</v>
      </c>
      <c r="J533">
        <v>0</v>
      </c>
      <c r="K533">
        <v>3</v>
      </c>
      <c r="O533">
        <f t="shared" si="471"/>
        <v>28031.4</v>
      </c>
      <c r="P533">
        <f t="shared" si="472"/>
        <v>188.94</v>
      </c>
      <c r="Q533">
        <f t="shared" si="473"/>
        <v>3283.56</v>
      </c>
      <c r="R533">
        <f t="shared" si="474"/>
        <v>2082</v>
      </c>
      <c r="S533">
        <f t="shared" si="475"/>
        <v>24558.9</v>
      </c>
      <c r="T533">
        <f t="shared" si="476"/>
        <v>0</v>
      </c>
      <c r="U533">
        <f t="shared" si="477"/>
        <v>36.96</v>
      </c>
      <c r="V533">
        <f t="shared" si="478"/>
        <v>0</v>
      </c>
      <c r="W533">
        <f t="shared" si="479"/>
        <v>0</v>
      </c>
      <c r="X533">
        <f t="shared" si="480"/>
        <v>17191.23</v>
      </c>
      <c r="Y533">
        <f t="shared" si="481"/>
        <v>2455.89</v>
      </c>
      <c r="AA533">
        <v>-1</v>
      </c>
      <c r="AB533">
        <f t="shared" si="482"/>
        <v>9343.7999999999993</v>
      </c>
      <c r="AC533">
        <f>ROUND(((ES533*2)),6)</f>
        <v>62.98</v>
      </c>
      <c r="AD533">
        <f>ROUND(((((ET533*2))-((EU533*2)))+AE533),6)</f>
        <v>1094.52</v>
      </c>
      <c r="AE533">
        <f>ROUND(((EU533*2)),6)</f>
        <v>694</v>
      </c>
      <c r="AF533">
        <f>ROUND(((EV533*2)),6)</f>
        <v>8186.3</v>
      </c>
      <c r="AG533">
        <f t="shared" si="483"/>
        <v>0</v>
      </c>
      <c r="AH533">
        <f>((EW533*2))</f>
        <v>12.32</v>
      </c>
      <c r="AI533">
        <f>((EX533*2))</f>
        <v>0</v>
      </c>
      <c r="AJ533">
        <f t="shared" si="484"/>
        <v>0</v>
      </c>
      <c r="AK533">
        <v>4671.8999999999996</v>
      </c>
      <c r="AL533">
        <v>31.49</v>
      </c>
      <c r="AM533">
        <v>547.26</v>
      </c>
      <c r="AN533">
        <v>347</v>
      </c>
      <c r="AO533">
        <v>4093.15</v>
      </c>
      <c r="AP533">
        <v>0</v>
      </c>
      <c r="AQ533">
        <v>6.16</v>
      </c>
      <c r="AR533">
        <v>0</v>
      </c>
      <c r="AS533">
        <v>0</v>
      </c>
      <c r="AT533">
        <v>70</v>
      </c>
      <c r="AU533">
        <v>10</v>
      </c>
      <c r="AV533">
        <v>1</v>
      </c>
      <c r="AW533">
        <v>1</v>
      </c>
      <c r="AZ533">
        <v>1</v>
      </c>
      <c r="BA533">
        <v>1</v>
      </c>
      <c r="BB533">
        <v>1</v>
      </c>
      <c r="BC533">
        <v>1</v>
      </c>
      <c r="BD533" t="s">
        <v>3</v>
      </c>
      <c r="BE533" t="s">
        <v>3</v>
      </c>
      <c r="BF533" t="s">
        <v>3</v>
      </c>
      <c r="BG533" t="s">
        <v>3</v>
      </c>
      <c r="BH533">
        <v>0</v>
      </c>
      <c r="BI533">
        <v>4</v>
      </c>
      <c r="BJ533" t="s">
        <v>441</v>
      </c>
      <c r="BM533">
        <v>0</v>
      </c>
      <c r="BN533">
        <v>0</v>
      </c>
      <c r="BO533" t="s">
        <v>3</v>
      </c>
      <c r="BP533">
        <v>0</v>
      </c>
      <c r="BQ533">
        <v>1</v>
      </c>
      <c r="BR533">
        <v>0</v>
      </c>
      <c r="BS533">
        <v>1</v>
      </c>
      <c r="BT533">
        <v>1</v>
      </c>
      <c r="BU533">
        <v>1</v>
      </c>
      <c r="BV533">
        <v>1</v>
      </c>
      <c r="BW533">
        <v>1</v>
      </c>
      <c r="BX533">
        <v>1</v>
      </c>
      <c r="BY533" t="s">
        <v>3</v>
      </c>
      <c r="BZ533">
        <v>70</v>
      </c>
      <c r="CA533">
        <v>10</v>
      </c>
      <c r="CB533" t="s">
        <v>3</v>
      </c>
      <c r="CE533">
        <v>0</v>
      </c>
      <c r="CF533">
        <v>0</v>
      </c>
      <c r="CG533">
        <v>0</v>
      </c>
      <c r="CM533">
        <v>0</v>
      </c>
      <c r="CN533" t="s">
        <v>3</v>
      </c>
      <c r="CO533">
        <v>0</v>
      </c>
      <c r="CP533">
        <f t="shared" si="485"/>
        <v>28031.4</v>
      </c>
      <c r="CQ533">
        <f t="shared" si="486"/>
        <v>62.98</v>
      </c>
      <c r="CR533">
        <f>(((((ET533*2))*BB533-((EU533*2))*BS533)+AE533*BS533)*AV533)</f>
        <v>1094.52</v>
      </c>
      <c r="CS533">
        <f t="shared" si="487"/>
        <v>694</v>
      </c>
      <c r="CT533">
        <f t="shared" si="488"/>
        <v>8186.3</v>
      </c>
      <c r="CU533">
        <f t="shared" si="489"/>
        <v>0</v>
      </c>
      <c r="CV533">
        <f t="shared" si="490"/>
        <v>12.32</v>
      </c>
      <c r="CW533">
        <f t="shared" si="491"/>
        <v>0</v>
      </c>
      <c r="CX533">
        <f t="shared" si="492"/>
        <v>0</v>
      </c>
      <c r="CY533">
        <f t="shared" si="493"/>
        <v>17191.23</v>
      </c>
      <c r="CZ533">
        <f t="shared" si="494"/>
        <v>2455.89</v>
      </c>
      <c r="DC533" t="s">
        <v>3</v>
      </c>
      <c r="DD533" t="s">
        <v>28</v>
      </c>
      <c r="DE533" t="s">
        <v>28</v>
      </c>
      <c r="DF533" t="s">
        <v>28</v>
      </c>
      <c r="DG533" t="s">
        <v>28</v>
      </c>
      <c r="DH533" t="s">
        <v>3</v>
      </c>
      <c r="DI533" t="s">
        <v>28</v>
      </c>
      <c r="DJ533" t="s">
        <v>28</v>
      </c>
      <c r="DK533" t="s">
        <v>3</v>
      </c>
      <c r="DL533" t="s">
        <v>3</v>
      </c>
      <c r="DM533" t="s">
        <v>3</v>
      </c>
      <c r="DN533">
        <v>0</v>
      </c>
      <c r="DO533">
        <v>0</v>
      </c>
      <c r="DP533">
        <v>1</v>
      </c>
      <c r="DQ533">
        <v>1</v>
      </c>
      <c r="DU533">
        <v>1013</v>
      </c>
      <c r="DV533" t="s">
        <v>386</v>
      </c>
      <c r="DW533" t="s">
        <v>386</v>
      </c>
      <c r="DX533">
        <v>1</v>
      </c>
      <c r="DZ533" t="s">
        <v>3</v>
      </c>
      <c r="EA533" t="s">
        <v>3</v>
      </c>
      <c r="EB533" t="s">
        <v>3</v>
      </c>
      <c r="EC533" t="s">
        <v>3</v>
      </c>
      <c r="EE533">
        <v>1441815344</v>
      </c>
      <c r="EF533">
        <v>1</v>
      </c>
      <c r="EG533" t="s">
        <v>22</v>
      </c>
      <c r="EH533">
        <v>0</v>
      </c>
      <c r="EI533" t="s">
        <v>3</v>
      </c>
      <c r="EJ533">
        <v>4</v>
      </c>
      <c r="EK533">
        <v>0</v>
      </c>
      <c r="EL533" t="s">
        <v>23</v>
      </c>
      <c r="EM533" t="s">
        <v>24</v>
      </c>
      <c r="EO533" t="s">
        <v>3</v>
      </c>
      <c r="EQ533">
        <v>1024</v>
      </c>
      <c r="ER533">
        <v>4671.8999999999996</v>
      </c>
      <c r="ES533">
        <v>31.49</v>
      </c>
      <c r="ET533">
        <v>547.26</v>
      </c>
      <c r="EU533">
        <v>347</v>
      </c>
      <c r="EV533">
        <v>4093.15</v>
      </c>
      <c r="EW533">
        <v>6.16</v>
      </c>
      <c r="EX533">
        <v>0</v>
      </c>
      <c r="EY533">
        <v>0</v>
      </c>
      <c r="FQ533">
        <v>0</v>
      </c>
      <c r="FR533">
        <f t="shared" si="495"/>
        <v>0</v>
      </c>
      <c r="FS533">
        <v>0</v>
      </c>
      <c r="FX533">
        <v>70</v>
      </c>
      <c r="FY533">
        <v>10</v>
      </c>
      <c r="GA533" t="s">
        <v>3</v>
      </c>
      <c r="GD533">
        <v>0</v>
      </c>
      <c r="GF533">
        <v>1819393446</v>
      </c>
      <c r="GG533">
        <v>2</v>
      </c>
      <c r="GH533">
        <v>1</v>
      </c>
      <c r="GI533">
        <v>-2</v>
      </c>
      <c r="GJ533">
        <v>0</v>
      </c>
      <c r="GK533">
        <f>ROUND(R533*(R12)/100,2)</f>
        <v>2248.56</v>
      </c>
      <c r="GL533">
        <f t="shared" si="496"/>
        <v>0</v>
      </c>
      <c r="GM533">
        <f t="shared" si="497"/>
        <v>49927.08</v>
      </c>
      <c r="GN533">
        <f t="shared" si="498"/>
        <v>0</v>
      </c>
      <c r="GO533">
        <f t="shared" si="499"/>
        <v>0</v>
      </c>
      <c r="GP533">
        <f t="shared" si="500"/>
        <v>49927.08</v>
      </c>
      <c r="GR533">
        <v>0</v>
      </c>
      <c r="GS533">
        <v>3</v>
      </c>
      <c r="GT533">
        <v>0</v>
      </c>
      <c r="GU533" t="s">
        <v>3</v>
      </c>
      <c r="GV533">
        <f t="shared" si="501"/>
        <v>0</v>
      </c>
      <c r="GW533">
        <v>1</v>
      </c>
      <c r="GX533">
        <f t="shared" si="502"/>
        <v>0</v>
      </c>
      <c r="HA533">
        <v>0</v>
      </c>
      <c r="HB533">
        <v>0</v>
      </c>
      <c r="HC533">
        <f t="shared" si="503"/>
        <v>0</v>
      </c>
      <c r="HE533" t="s">
        <v>3</v>
      </c>
      <c r="HF533" t="s">
        <v>3</v>
      </c>
      <c r="HM533" t="s">
        <v>3</v>
      </c>
      <c r="HN533" t="s">
        <v>3</v>
      </c>
      <c r="HO533" t="s">
        <v>3</v>
      </c>
      <c r="HP533" t="s">
        <v>3</v>
      </c>
      <c r="HQ533" t="s">
        <v>3</v>
      </c>
      <c r="IK533">
        <v>0</v>
      </c>
    </row>
    <row r="534" spans="1:245" x14ac:dyDescent="0.2">
      <c r="A534">
        <v>17</v>
      </c>
      <c r="B534">
        <v>1</v>
      </c>
      <c r="D534">
        <f>ROW(EtalonRes!A385)</f>
        <v>385</v>
      </c>
      <c r="E534" t="s">
        <v>3</v>
      </c>
      <c r="F534" t="s">
        <v>448</v>
      </c>
      <c r="G534" t="s">
        <v>449</v>
      </c>
      <c r="H534" t="s">
        <v>386</v>
      </c>
      <c r="I534">
        <v>4</v>
      </c>
      <c r="J534">
        <v>0</v>
      </c>
      <c r="K534">
        <v>4</v>
      </c>
      <c r="O534">
        <f t="shared" si="471"/>
        <v>105926.29</v>
      </c>
      <c r="P534">
        <f t="shared" si="472"/>
        <v>2187.9699999999998</v>
      </c>
      <c r="Q534">
        <f t="shared" si="473"/>
        <v>0</v>
      </c>
      <c r="R534">
        <f t="shared" si="474"/>
        <v>0</v>
      </c>
      <c r="S534">
        <f t="shared" si="475"/>
        <v>103738.32</v>
      </c>
      <c r="T534">
        <f t="shared" si="476"/>
        <v>0</v>
      </c>
      <c r="U534">
        <f t="shared" si="477"/>
        <v>168</v>
      </c>
      <c r="V534">
        <f t="shared" si="478"/>
        <v>0</v>
      </c>
      <c r="W534">
        <f t="shared" si="479"/>
        <v>0</v>
      </c>
      <c r="X534">
        <f t="shared" si="480"/>
        <v>72616.820000000007</v>
      </c>
      <c r="Y534">
        <f t="shared" si="481"/>
        <v>10373.83</v>
      </c>
      <c r="AA534">
        <v>-1</v>
      </c>
      <c r="AB534">
        <f t="shared" si="482"/>
        <v>26481.573333</v>
      </c>
      <c r="AC534">
        <f>ROUND((((ES534/12)*8)),6)</f>
        <v>546.99333300000001</v>
      </c>
      <c r="AD534">
        <f>ROUND((((((ET534/12)*8))-(((EU534/12)*8)))+AE534),6)</f>
        <v>0</v>
      </c>
      <c r="AE534">
        <f>ROUND((((EU534/12)*8)),6)</f>
        <v>0</v>
      </c>
      <c r="AF534">
        <f>ROUND((((EV534/12)*8)),6)</f>
        <v>25934.58</v>
      </c>
      <c r="AG534">
        <f t="shared" si="483"/>
        <v>0</v>
      </c>
      <c r="AH534">
        <f>(((EW534/12)*8))</f>
        <v>42</v>
      </c>
      <c r="AI534">
        <f>(((EX534/12)*8))</f>
        <v>0</v>
      </c>
      <c r="AJ534">
        <f t="shared" si="484"/>
        <v>0</v>
      </c>
      <c r="AK534">
        <v>39722.36</v>
      </c>
      <c r="AL534">
        <v>820.49</v>
      </c>
      <c r="AM534">
        <v>0</v>
      </c>
      <c r="AN534">
        <v>0</v>
      </c>
      <c r="AO534">
        <v>38901.870000000003</v>
      </c>
      <c r="AP534">
        <v>0</v>
      </c>
      <c r="AQ534">
        <v>63</v>
      </c>
      <c r="AR534">
        <v>0</v>
      </c>
      <c r="AS534">
        <v>0</v>
      </c>
      <c r="AT534">
        <v>70</v>
      </c>
      <c r="AU534">
        <v>10</v>
      </c>
      <c r="AV534">
        <v>1</v>
      </c>
      <c r="AW534">
        <v>1</v>
      </c>
      <c r="AZ534">
        <v>1</v>
      </c>
      <c r="BA534">
        <v>1</v>
      </c>
      <c r="BB534">
        <v>1</v>
      </c>
      <c r="BC534">
        <v>1</v>
      </c>
      <c r="BD534" t="s">
        <v>3</v>
      </c>
      <c r="BE534" t="s">
        <v>3</v>
      </c>
      <c r="BF534" t="s">
        <v>3</v>
      </c>
      <c r="BG534" t="s">
        <v>3</v>
      </c>
      <c r="BH534">
        <v>0</v>
      </c>
      <c r="BI534">
        <v>4</v>
      </c>
      <c r="BJ534" t="s">
        <v>450</v>
      </c>
      <c r="BM534">
        <v>0</v>
      </c>
      <c r="BN534">
        <v>0</v>
      </c>
      <c r="BO534" t="s">
        <v>3</v>
      </c>
      <c r="BP534">
        <v>0</v>
      </c>
      <c r="BQ534">
        <v>1</v>
      </c>
      <c r="BR534">
        <v>0</v>
      </c>
      <c r="BS534">
        <v>1</v>
      </c>
      <c r="BT534">
        <v>1</v>
      </c>
      <c r="BU534">
        <v>1</v>
      </c>
      <c r="BV534">
        <v>1</v>
      </c>
      <c r="BW534">
        <v>1</v>
      </c>
      <c r="BX534">
        <v>1</v>
      </c>
      <c r="BY534" t="s">
        <v>3</v>
      </c>
      <c r="BZ534">
        <v>70</v>
      </c>
      <c r="CA534">
        <v>10</v>
      </c>
      <c r="CB534" t="s">
        <v>3</v>
      </c>
      <c r="CE534">
        <v>0</v>
      </c>
      <c r="CF534">
        <v>0</v>
      </c>
      <c r="CG534">
        <v>0</v>
      </c>
      <c r="CM534">
        <v>0</v>
      </c>
      <c r="CN534" t="s">
        <v>3</v>
      </c>
      <c r="CO534">
        <v>0</v>
      </c>
      <c r="CP534">
        <f t="shared" si="485"/>
        <v>105926.29000000001</v>
      </c>
      <c r="CQ534">
        <f t="shared" si="486"/>
        <v>546.99333300000001</v>
      </c>
      <c r="CR534">
        <f>((((((ET534/12)*8))*BB534-(((EU534/12)*8))*BS534)+AE534*BS534)*AV534)</f>
        <v>0</v>
      </c>
      <c r="CS534">
        <f t="shared" si="487"/>
        <v>0</v>
      </c>
      <c r="CT534">
        <f t="shared" si="488"/>
        <v>25934.58</v>
      </c>
      <c r="CU534">
        <f t="shared" si="489"/>
        <v>0</v>
      </c>
      <c r="CV534">
        <f t="shared" si="490"/>
        <v>42</v>
      </c>
      <c r="CW534">
        <f t="shared" si="491"/>
        <v>0</v>
      </c>
      <c r="CX534">
        <f t="shared" si="492"/>
        <v>0</v>
      </c>
      <c r="CY534">
        <f t="shared" si="493"/>
        <v>72616.824000000008</v>
      </c>
      <c r="CZ534">
        <f t="shared" si="494"/>
        <v>10373.832</v>
      </c>
      <c r="DC534" t="s">
        <v>3</v>
      </c>
      <c r="DD534" t="s">
        <v>388</v>
      </c>
      <c r="DE534" t="s">
        <v>388</v>
      </c>
      <c r="DF534" t="s">
        <v>388</v>
      </c>
      <c r="DG534" t="s">
        <v>388</v>
      </c>
      <c r="DH534" t="s">
        <v>3</v>
      </c>
      <c r="DI534" t="s">
        <v>388</v>
      </c>
      <c r="DJ534" t="s">
        <v>388</v>
      </c>
      <c r="DK534" t="s">
        <v>3</v>
      </c>
      <c r="DL534" t="s">
        <v>3</v>
      </c>
      <c r="DM534" t="s">
        <v>3</v>
      </c>
      <c r="DN534">
        <v>0</v>
      </c>
      <c r="DO534">
        <v>0</v>
      </c>
      <c r="DP534">
        <v>1</v>
      </c>
      <c r="DQ534">
        <v>1</v>
      </c>
      <c r="DU534">
        <v>1013</v>
      </c>
      <c r="DV534" t="s">
        <v>386</v>
      </c>
      <c r="DW534" t="s">
        <v>386</v>
      </c>
      <c r="DX534">
        <v>1</v>
      </c>
      <c r="DZ534" t="s">
        <v>3</v>
      </c>
      <c r="EA534" t="s">
        <v>3</v>
      </c>
      <c r="EB534" t="s">
        <v>3</v>
      </c>
      <c r="EC534" t="s">
        <v>3</v>
      </c>
      <c r="EE534">
        <v>1441815344</v>
      </c>
      <c r="EF534">
        <v>1</v>
      </c>
      <c r="EG534" t="s">
        <v>22</v>
      </c>
      <c r="EH534">
        <v>0</v>
      </c>
      <c r="EI534" t="s">
        <v>3</v>
      </c>
      <c r="EJ534">
        <v>4</v>
      </c>
      <c r="EK534">
        <v>0</v>
      </c>
      <c r="EL534" t="s">
        <v>23</v>
      </c>
      <c r="EM534" t="s">
        <v>24</v>
      </c>
      <c r="EO534" t="s">
        <v>3</v>
      </c>
      <c r="EQ534">
        <v>1024</v>
      </c>
      <c r="ER534">
        <v>39722.36</v>
      </c>
      <c r="ES534">
        <v>820.49</v>
      </c>
      <c r="ET534">
        <v>0</v>
      </c>
      <c r="EU534">
        <v>0</v>
      </c>
      <c r="EV534">
        <v>38901.870000000003</v>
      </c>
      <c r="EW534">
        <v>63</v>
      </c>
      <c r="EX534">
        <v>0</v>
      </c>
      <c r="EY534">
        <v>0</v>
      </c>
      <c r="FQ534">
        <v>0</v>
      </c>
      <c r="FR534">
        <f t="shared" si="495"/>
        <v>0</v>
      </c>
      <c r="FS534">
        <v>0</v>
      </c>
      <c r="FX534">
        <v>70</v>
      </c>
      <c r="FY534">
        <v>10</v>
      </c>
      <c r="GA534" t="s">
        <v>3</v>
      </c>
      <c r="GD534">
        <v>0</v>
      </c>
      <c r="GF534">
        <v>1784526344</v>
      </c>
      <c r="GG534">
        <v>2</v>
      </c>
      <c r="GH534">
        <v>1</v>
      </c>
      <c r="GI534">
        <v>-2</v>
      </c>
      <c r="GJ534">
        <v>0</v>
      </c>
      <c r="GK534">
        <f>ROUND(R534*(R12)/100,2)</f>
        <v>0</v>
      </c>
      <c r="GL534">
        <f t="shared" si="496"/>
        <v>0</v>
      </c>
      <c r="GM534">
        <f t="shared" si="497"/>
        <v>188916.94</v>
      </c>
      <c r="GN534">
        <f t="shared" si="498"/>
        <v>0</v>
      </c>
      <c r="GO534">
        <f t="shared" si="499"/>
        <v>0</v>
      </c>
      <c r="GP534">
        <f t="shared" si="500"/>
        <v>188916.94</v>
      </c>
      <c r="GR534">
        <v>0</v>
      </c>
      <c r="GS534">
        <v>3</v>
      </c>
      <c r="GT534">
        <v>0</v>
      </c>
      <c r="GU534" t="s">
        <v>3</v>
      </c>
      <c r="GV534">
        <f t="shared" si="501"/>
        <v>0</v>
      </c>
      <c r="GW534">
        <v>1</v>
      </c>
      <c r="GX534">
        <f t="shared" si="502"/>
        <v>0</v>
      </c>
      <c r="HA534">
        <v>0</v>
      </c>
      <c r="HB534">
        <v>0</v>
      </c>
      <c r="HC534">
        <f t="shared" si="503"/>
        <v>0</v>
      </c>
      <c r="HE534" t="s">
        <v>3</v>
      </c>
      <c r="HF534" t="s">
        <v>3</v>
      </c>
      <c r="HM534" t="s">
        <v>3</v>
      </c>
      <c r="HN534" t="s">
        <v>3</v>
      </c>
      <c r="HO534" t="s">
        <v>3</v>
      </c>
      <c r="HP534" t="s">
        <v>3</v>
      </c>
      <c r="HQ534" t="s">
        <v>3</v>
      </c>
      <c r="IK534">
        <v>0</v>
      </c>
    </row>
    <row r="535" spans="1:245" x14ac:dyDescent="0.2">
      <c r="A535">
        <v>17</v>
      </c>
      <c r="B535">
        <v>1</v>
      </c>
      <c r="D535">
        <f>ROW(EtalonRes!A388)</f>
        <v>388</v>
      </c>
      <c r="E535" t="s">
        <v>3</v>
      </c>
      <c r="F535" t="s">
        <v>451</v>
      </c>
      <c r="G535" t="s">
        <v>452</v>
      </c>
      <c r="H535" t="s">
        <v>386</v>
      </c>
      <c r="I535">
        <v>4</v>
      </c>
      <c r="J535">
        <v>0</v>
      </c>
      <c r="K535">
        <v>4</v>
      </c>
      <c r="O535">
        <f t="shared" si="471"/>
        <v>21206.880000000001</v>
      </c>
      <c r="P535">
        <f t="shared" si="472"/>
        <v>25.56</v>
      </c>
      <c r="Q535">
        <f t="shared" si="473"/>
        <v>0</v>
      </c>
      <c r="R535">
        <f t="shared" si="474"/>
        <v>0</v>
      </c>
      <c r="S535">
        <f t="shared" si="475"/>
        <v>21181.32</v>
      </c>
      <c r="T535">
        <f t="shared" si="476"/>
        <v>0</v>
      </c>
      <c r="U535">
        <f t="shared" si="477"/>
        <v>31.92</v>
      </c>
      <c r="V535">
        <f t="shared" si="478"/>
        <v>0</v>
      </c>
      <c r="W535">
        <f t="shared" si="479"/>
        <v>0</v>
      </c>
      <c r="X535">
        <f t="shared" si="480"/>
        <v>14826.92</v>
      </c>
      <c r="Y535">
        <f t="shared" si="481"/>
        <v>2118.13</v>
      </c>
      <c r="AA535">
        <v>-1</v>
      </c>
      <c r="AB535">
        <f t="shared" si="482"/>
        <v>5301.72</v>
      </c>
      <c r="AC535">
        <f>ROUND((ES535),6)</f>
        <v>6.39</v>
      </c>
      <c r="AD535">
        <f>ROUND((((ET535)-(EU535))+AE535),6)</f>
        <v>0</v>
      </c>
      <c r="AE535">
        <f>ROUND((EU535),6)</f>
        <v>0</v>
      </c>
      <c r="AF535">
        <f>ROUND((EV535),6)</f>
        <v>5295.33</v>
      </c>
      <c r="AG535">
        <f t="shared" si="483"/>
        <v>0</v>
      </c>
      <c r="AH535">
        <f>(EW535)</f>
        <v>7.98</v>
      </c>
      <c r="AI535">
        <f>(EX535)</f>
        <v>0</v>
      </c>
      <c r="AJ535">
        <f t="shared" si="484"/>
        <v>0</v>
      </c>
      <c r="AK535">
        <v>5301.72</v>
      </c>
      <c r="AL535">
        <v>6.39</v>
      </c>
      <c r="AM535">
        <v>0</v>
      </c>
      <c r="AN535">
        <v>0</v>
      </c>
      <c r="AO535">
        <v>5295.33</v>
      </c>
      <c r="AP535">
        <v>0</v>
      </c>
      <c r="AQ535">
        <v>7.98</v>
      </c>
      <c r="AR535">
        <v>0</v>
      </c>
      <c r="AS535">
        <v>0</v>
      </c>
      <c r="AT535">
        <v>70</v>
      </c>
      <c r="AU535">
        <v>10</v>
      </c>
      <c r="AV535">
        <v>1</v>
      </c>
      <c r="AW535">
        <v>1</v>
      </c>
      <c r="AZ535">
        <v>1</v>
      </c>
      <c r="BA535">
        <v>1</v>
      </c>
      <c r="BB535">
        <v>1</v>
      </c>
      <c r="BC535">
        <v>1</v>
      </c>
      <c r="BD535" t="s">
        <v>3</v>
      </c>
      <c r="BE535" t="s">
        <v>3</v>
      </c>
      <c r="BF535" t="s">
        <v>3</v>
      </c>
      <c r="BG535" t="s">
        <v>3</v>
      </c>
      <c r="BH535">
        <v>0</v>
      </c>
      <c r="BI535">
        <v>4</v>
      </c>
      <c r="BJ535" t="s">
        <v>453</v>
      </c>
      <c r="BM535">
        <v>0</v>
      </c>
      <c r="BN535">
        <v>0</v>
      </c>
      <c r="BO535" t="s">
        <v>3</v>
      </c>
      <c r="BP535">
        <v>0</v>
      </c>
      <c r="BQ535">
        <v>1</v>
      </c>
      <c r="BR535">
        <v>0</v>
      </c>
      <c r="BS535">
        <v>1</v>
      </c>
      <c r="BT535">
        <v>1</v>
      </c>
      <c r="BU535">
        <v>1</v>
      </c>
      <c r="BV535">
        <v>1</v>
      </c>
      <c r="BW535">
        <v>1</v>
      </c>
      <c r="BX535">
        <v>1</v>
      </c>
      <c r="BY535" t="s">
        <v>3</v>
      </c>
      <c r="BZ535">
        <v>70</v>
      </c>
      <c r="CA535">
        <v>10</v>
      </c>
      <c r="CB535" t="s">
        <v>3</v>
      </c>
      <c r="CE535">
        <v>0</v>
      </c>
      <c r="CF535">
        <v>0</v>
      </c>
      <c r="CG535">
        <v>0</v>
      </c>
      <c r="CM535">
        <v>0</v>
      </c>
      <c r="CN535" t="s">
        <v>3</v>
      </c>
      <c r="CO535">
        <v>0</v>
      </c>
      <c r="CP535">
        <f t="shared" si="485"/>
        <v>21206.880000000001</v>
      </c>
      <c r="CQ535">
        <f t="shared" si="486"/>
        <v>6.39</v>
      </c>
      <c r="CR535">
        <f>((((ET535)*BB535-(EU535)*BS535)+AE535*BS535)*AV535)</f>
        <v>0</v>
      </c>
      <c r="CS535">
        <f t="shared" si="487"/>
        <v>0</v>
      </c>
      <c r="CT535">
        <f t="shared" si="488"/>
        <v>5295.33</v>
      </c>
      <c r="CU535">
        <f t="shared" si="489"/>
        <v>0</v>
      </c>
      <c r="CV535">
        <f t="shared" si="490"/>
        <v>7.98</v>
      </c>
      <c r="CW535">
        <f t="shared" si="491"/>
        <v>0</v>
      </c>
      <c r="CX535">
        <f t="shared" si="492"/>
        <v>0</v>
      </c>
      <c r="CY535">
        <f t="shared" si="493"/>
        <v>14826.923999999999</v>
      </c>
      <c r="CZ535">
        <f t="shared" si="494"/>
        <v>2118.1320000000001</v>
      </c>
      <c r="DC535" t="s">
        <v>3</v>
      </c>
      <c r="DD535" t="s">
        <v>3</v>
      </c>
      <c r="DE535" t="s">
        <v>3</v>
      </c>
      <c r="DF535" t="s">
        <v>3</v>
      </c>
      <c r="DG535" t="s">
        <v>3</v>
      </c>
      <c r="DH535" t="s">
        <v>3</v>
      </c>
      <c r="DI535" t="s">
        <v>3</v>
      </c>
      <c r="DJ535" t="s">
        <v>3</v>
      </c>
      <c r="DK535" t="s">
        <v>3</v>
      </c>
      <c r="DL535" t="s">
        <v>3</v>
      </c>
      <c r="DM535" t="s">
        <v>3</v>
      </c>
      <c r="DN535">
        <v>0</v>
      </c>
      <c r="DO535">
        <v>0</v>
      </c>
      <c r="DP535">
        <v>1</v>
      </c>
      <c r="DQ535">
        <v>1</v>
      </c>
      <c r="DU535">
        <v>1013</v>
      </c>
      <c r="DV535" t="s">
        <v>386</v>
      </c>
      <c r="DW535" t="s">
        <v>386</v>
      </c>
      <c r="DX535">
        <v>1</v>
      </c>
      <c r="DZ535" t="s">
        <v>3</v>
      </c>
      <c r="EA535" t="s">
        <v>3</v>
      </c>
      <c r="EB535" t="s">
        <v>3</v>
      </c>
      <c r="EC535" t="s">
        <v>3</v>
      </c>
      <c r="EE535">
        <v>1441815344</v>
      </c>
      <c r="EF535">
        <v>1</v>
      </c>
      <c r="EG535" t="s">
        <v>22</v>
      </c>
      <c r="EH535">
        <v>0</v>
      </c>
      <c r="EI535" t="s">
        <v>3</v>
      </c>
      <c r="EJ535">
        <v>4</v>
      </c>
      <c r="EK535">
        <v>0</v>
      </c>
      <c r="EL535" t="s">
        <v>23</v>
      </c>
      <c r="EM535" t="s">
        <v>24</v>
      </c>
      <c r="EO535" t="s">
        <v>3</v>
      </c>
      <c r="EQ535">
        <v>1311744</v>
      </c>
      <c r="ER535">
        <v>5301.72</v>
      </c>
      <c r="ES535">
        <v>6.39</v>
      </c>
      <c r="ET535">
        <v>0</v>
      </c>
      <c r="EU535">
        <v>0</v>
      </c>
      <c r="EV535">
        <v>5295.33</v>
      </c>
      <c r="EW535">
        <v>7.98</v>
      </c>
      <c r="EX535">
        <v>0</v>
      </c>
      <c r="EY535">
        <v>0</v>
      </c>
      <c r="FQ535">
        <v>0</v>
      </c>
      <c r="FR535">
        <f t="shared" si="495"/>
        <v>0</v>
      </c>
      <c r="FS535">
        <v>0</v>
      </c>
      <c r="FX535">
        <v>70</v>
      </c>
      <c r="FY535">
        <v>10</v>
      </c>
      <c r="GA535" t="s">
        <v>3</v>
      </c>
      <c r="GD535">
        <v>0</v>
      </c>
      <c r="GF535">
        <v>-325709671</v>
      </c>
      <c r="GG535">
        <v>2</v>
      </c>
      <c r="GH535">
        <v>1</v>
      </c>
      <c r="GI535">
        <v>-2</v>
      </c>
      <c r="GJ535">
        <v>0</v>
      </c>
      <c r="GK535">
        <f>ROUND(R535*(R12)/100,2)</f>
        <v>0</v>
      </c>
      <c r="GL535">
        <f t="shared" si="496"/>
        <v>0</v>
      </c>
      <c r="GM535">
        <f t="shared" si="497"/>
        <v>38151.93</v>
      </c>
      <c r="GN535">
        <f t="shared" si="498"/>
        <v>0</v>
      </c>
      <c r="GO535">
        <f t="shared" si="499"/>
        <v>0</v>
      </c>
      <c r="GP535">
        <f t="shared" si="500"/>
        <v>38151.93</v>
      </c>
      <c r="GR535">
        <v>0</v>
      </c>
      <c r="GS535">
        <v>3</v>
      </c>
      <c r="GT535">
        <v>0</v>
      </c>
      <c r="GU535" t="s">
        <v>3</v>
      </c>
      <c r="GV535">
        <f t="shared" si="501"/>
        <v>0</v>
      </c>
      <c r="GW535">
        <v>1</v>
      </c>
      <c r="GX535">
        <f t="shared" si="502"/>
        <v>0</v>
      </c>
      <c r="HA535">
        <v>0</v>
      </c>
      <c r="HB535">
        <v>0</v>
      </c>
      <c r="HC535">
        <f t="shared" si="503"/>
        <v>0</v>
      </c>
      <c r="HE535" t="s">
        <v>3</v>
      </c>
      <c r="HF535" t="s">
        <v>3</v>
      </c>
      <c r="HM535" t="s">
        <v>3</v>
      </c>
      <c r="HN535" t="s">
        <v>3</v>
      </c>
      <c r="HO535" t="s">
        <v>3</v>
      </c>
      <c r="HP535" t="s">
        <v>3</v>
      </c>
      <c r="HQ535" t="s">
        <v>3</v>
      </c>
      <c r="IK535">
        <v>0</v>
      </c>
    </row>
    <row r="536" spans="1:245" x14ac:dyDescent="0.2">
      <c r="A536">
        <v>17</v>
      </c>
      <c r="B536">
        <v>1</v>
      </c>
      <c r="D536">
        <f>ROW(EtalonRes!A390)</f>
        <v>390</v>
      </c>
      <c r="E536" t="s">
        <v>454</v>
      </c>
      <c r="F536" t="s">
        <v>455</v>
      </c>
      <c r="G536" t="s">
        <v>456</v>
      </c>
      <c r="H536" t="s">
        <v>386</v>
      </c>
      <c r="I536">
        <v>4</v>
      </c>
      <c r="J536">
        <v>0</v>
      </c>
      <c r="K536">
        <v>4</v>
      </c>
      <c r="O536">
        <f t="shared" si="471"/>
        <v>14758.96</v>
      </c>
      <c r="P536">
        <f t="shared" si="472"/>
        <v>1.04</v>
      </c>
      <c r="Q536">
        <f t="shared" si="473"/>
        <v>0</v>
      </c>
      <c r="R536">
        <f t="shared" si="474"/>
        <v>0</v>
      </c>
      <c r="S536">
        <f t="shared" si="475"/>
        <v>14757.92</v>
      </c>
      <c r="T536">
        <f t="shared" si="476"/>
        <v>0</v>
      </c>
      <c r="U536">
        <f t="shared" si="477"/>
        <v>22.24</v>
      </c>
      <c r="V536">
        <f t="shared" si="478"/>
        <v>0</v>
      </c>
      <c r="W536">
        <f t="shared" si="479"/>
        <v>0</v>
      </c>
      <c r="X536">
        <f t="shared" si="480"/>
        <v>10330.540000000001</v>
      </c>
      <c r="Y536">
        <f t="shared" si="481"/>
        <v>1475.79</v>
      </c>
      <c r="AA536">
        <v>1472506909</v>
      </c>
      <c r="AB536">
        <f t="shared" si="482"/>
        <v>3689.74</v>
      </c>
      <c r="AC536">
        <f>ROUND(((ES536*2)),6)</f>
        <v>0.26</v>
      </c>
      <c r="AD536">
        <f>ROUND(((((ET536*2))-((EU536*2)))+AE536),6)</f>
        <v>0</v>
      </c>
      <c r="AE536">
        <f>ROUND(((EU536*2)),6)</f>
        <v>0</v>
      </c>
      <c r="AF536">
        <f>ROUND(((EV536*2)),6)</f>
        <v>3689.48</v>
      </c>
      <c r="AG536">
        <f t="shared" si="483"/>
        <v>0</v>
      </c>
      <c r="AH536">
        <f>((EW536*2))</f>
        <v>5.56</v>
      </c>
      <c r="AI536">
        <f>((EX536*2))</f>
        <v>0</v>
      </c>
      <c r="AJ536">
        <f t="shared" si="484"/>
        <v>0</v>
      </c>
      <c r="AK536">
        <v>1844.87</v>
      </c>
      <c r="AL536">
        <v>0.13</v>
      </c>
      <c r="AM536">
        <v>0</v>
      </c>
      <c r="AN536">
        <v>0</v>
      </c>
      <c r="AO536">
        <v>1844.74</v>
      </c>
      <c r="AP536">
        <v>0</v>
      </c>
      <c r="AQ536">
        <v>2.78</v>
      </c>
      <c r="AR536">
        <v>0</v>
      </c>
      <c r="AS536">
        <v>0</v>
      </c>
      <c r="AT536">
        <v>70</v>
      </c>
      <c r="AU536">
        <v>10</v>
      </c>
      <c r="AV536">
        <v>1</v>
      </c>
      <c r="AW536">
        <v>1</v>
      </c>
      <c r="AZ536">
        <v>1</v>
      </c>
      <c r="BA536">
        <v>1</v>
      </c>
      <c r="BB536">
        <v>1</v>
      </c>
      <c r="BC536">
        <v>1</v>
      </c>
      <c r="BD536" t="s">
        <v>3</v>
      </c>
      <c r="BE536" t="s">
        <v>3</v>
      </c>
      <c r="BF536" t="s">
        <v>3</v>
      </c>
      <c r="BG536" t="s">
        <v>3</v>
      </c>
      <c r="BH536">
        <v>0</v>
      </c>
      <c r="BI536">
        <v>4</v>
      </c>
      <c r="BJ536" t="s">
        <v>457</v>
      </c>
      <c r="BM536">
        <v>0</v>
      </c>
      <c r="BN536">
        <v>0</v>
      </c>
      <c r="BO536" t="s">
        <v>3</v>
      </c>
      <c r="BP536">
        <v>0</v>
      </c>
      <c r="BQ536">
        <v>1</v>
      </c>
      <c r="BR536">
        <v>0</v>
      </c>
      <c r="BS536">
        <v>1</v>
      </c>
      <c r="BT536">
        <v>1</v>
      </c>
      <c r="BU536">
        <v>1</v>
      </c>
      <c r="BV536">
        <v>1</v>
      </c>
      <c r="BW536">
        <v>1</v>
      </c>
      <c r="BX536">
        <v>1</v>
      </c>
      <c r="BY536" t="s">
        <v>3</v>
      </c>
      <c r="BZ536">
        <v>70</v>
      </c>
      <c r="CA536">
        <v>10</v>
      </c>
      <c r="CB536" t="s">
        <v>3</v>
      </c>
      <c r="CE536">
        <v>0</v>
      </c>
      <c r="CF536">
        <v>0</v>
      </c>
      <c r="CG536">
        <v>0</v>
      </c>
      <c r="CM536">
        <v>0</v>
      </c>
      <c r="CN536" t="s">
        <v>3</v>
      </c>
      <c r="CO536">
        <v>0</v>
      </c>
      <c r="CP536">
        <f t="shared" si="485"/>
        <v>14758.960000000001</v>
      </c>
      <c r="CQ536">
        <f t="shared" si="486"/>
        <v>0.26</v>
      </c>
      <c r="CR536">
        <f>(((((ET536*2))*BB536-((EU536*2))*BS536)+AE536*BS536)*AV536)</f>
        <v>0</v>
      </c>
      <c r="CS536">
        <f t="shared" si="487"/>
        <v>0</v>
      </c>
      <c r="CT536">
        <f t="shared" si="488"/>
        <v>3689.48</v>
      </c>
      <c r="CU536">
        <f t="shared" si="489"/>
        <v>0</v>
      </c>
      <c r="CV536">
        <f t="shared" si="490"/>
        <v>5.56</v>
      </c>
      <c r="CW536">
        <f t="shared" si="491"/>
        <v>0</v>
      </c>
      <c r="CX536">
        <f t="shared" si="492"/>
        <v>0</v>
      </c>
      <c r="CY536">
        <f t="shared" si="493"/>
        <v>10330.544</v>
      </c>
      <c r="CZ536">
        <f t="shared" si="494"/>
        <v>1475.7920000000001</v>
      </c>
      <c r="DC536" t="s">
        <v>3</v>
      </c>
      <c r="DD536" t="s">
        <v>28</v>
      </c>
      <c r="DE536" t="s">
        <v>28</v>
      </c>
      <c r="DF536" t="s">
        <v>28</v>
      </c>
      <c r="DG536" t="s">
        <v>28</v>
      </c>
      <c r="DH536" t="s">
        <v>3</v>
      </c>
      <c r="DI536" t="s">
        <v>28</v>
      </c>
      <c r="DJ536" t="s">
        <v>28</v>
      </c>
      <c r="DK536" t="s">
        <v>3</v>
      </c>
      <c r="DL536" t="s">
        <v>3</v>
      </c>
      <c r="DM536" t="s">
        <v>3</v>
      </c>
      <c r="DN536">
        <v>0</v>
      </c>
      <c r="DO536">
        <v>0</v>
      </c>
      <c r="DP536">
        <v>1</v>
      </c>
      <c r="DQ536">
        <v>1</v>
      </c>
      <c r="DU536">
        <v>1013</v>
      </c>
      <c r="DV536" t="s">
        <v>386</v>
      </c>
      <c r="DW536" t="s">
        <v>386</v>
      </c>
      <c r="DX536">
        <v>1</v>
      </c>
      <c r="DZ536" t="s">
        <v>3</v>
      </c>
      <c r="EA536" t="s">
        <v>3</v>
      </c>
      <c r="EB536" t="s">
        <v>3</v>
      </c>
      <c r="EC536" t="s">
        <v>3</v>
      </c>
      <c r="EE536">
        <v>1441815344</v>
      </c>
      <c r="EF536">
        <v>1</v>
      </c>
      <c r="EG536" t="s">
        <v>22</v>
      </c>
      <c r="EH536">
        <v>0</v>
      </c>
      <c r="EI536" t="s">
        <v>3</v>
      </c>
      <c r="EJ536">
        <v>4</v>
      </c>
      <c r="EK536">
        <v>0</v>
      </c>
      <c r="EL536" t="s">
        <v>23</v>
      </c>
      <c r="EM536" t="s">
        <v>24</v>
      </c>
      <c r="EO536" t="s">
        <v>3</v>
      </c>
      <c r="EQ536">
        <v>0</v>
      </c>
      <c r="ER536">
        <v>1844.87</v>
      </c>
      <c r="ES536">
        <v>0.13</v>
      </c>
      <c r="ET536">
        <v>0</v>
      </c>
      <c r="EU536">
        <v>0</v>
      </c>
      <c r="EV536">
        <v>1844.74</v>
      </c>
      <c r="EW536">
        <v>2.78</v>
      </c>
      <c r="EX536">
        <v>0</v>
      </c>
      <c r="EY536">
        <v>0</v>
      </c>
      <c r="FQ536">
        <v>0</v>
      </c>
      <c r="FR536">
        <f t="shared" si="495"/>
        <v>0</v>
      </c>
      <c r="FS536">
        <v>0</v>
      </c>
      <c r="FX536">
        <v>70</v>
      </c>
      <c r="FY536">
        <v>10</v>
      </c>
      <c r="GA536" t="s">
        <v>3</v>
      </c>
      <c r="GD536">
        <v>0</v>
      </c>
      <c r="GF536">
        <v>-1375426856</v>
      </c>
      <c r="GG536">
        <v>2</v>
      </c>
      <c r="GH536">
        <v>1</v>
      </c>
      <c r="GI536">
        <v>-2</v>
      </c>
      <c r="GJ536">
        <v>0</v>
      </c>
      <c r="GK536">
        <f>ROUND(R536*(R12)/100,2)</f>
        <v>0</v>
      </c>
      <c r="GL536">
        <f t="shared" si="496"/>
        <v>0</v>
      </c>
      <c r="GM536">
        <f t="shared" si="497"/>
        <v>26565.29</v>
      </c>
      <c r="GN536">
        <f t="shared" si="498"/>
        <v>0</v>
      </c>
      <c r="GO536">
        <f t="shared" si="499"/>
        <v>0</v>
      </c>
      <c r="GP536">
        <f t="shared" si="500"/>
        <v>26565.29</v>
      </c>
      <c r="GR536">
        <v>0</v>
      </c>
      <c r="GS536">
        <v>3</v>
      </c>
      <c r="GT536">
        <v>0</v>
      </c>
      <c r="GU536" t="s">
        <v>3</v>
      </c>
      <c r="GV536">
        <f t="shared" si="501"/>
        <v>0</v>
      </c>
      <c r="GW536">
        <v>1</v>
      </c>
      <c r="GX536">
        <f t="shared" si="502"/>
        <v>0</v>
      </c>
      <c r="HA536">
        <v>0</v>
      </c>
      <c r="HB536">
        <v>0</v>
      </c>
      <c r="HC536">
        <f t="shared" si="503"/>
        <v>0</v>
      </c>
      <c r="HE536" t="s">
        <v>3</v>
      </c>
      <c r="HF536" t="s">
        <v>3</v>
      </c>
      <c r="HM536" t="s">
        <v>3</v>
      </c>
      <c r="HN536" t="s">
        <v>3</v>
      </c>
      <c r="HO536" t="s">
        <v>3</v>
      </c>
      <c r="HP536" t="s">
        <v>3</v>
      </c>
      <c r="HQ536" t="s">
        <v>3</v>
      </c>
      <c r="IK536">
        <v>0</v>
      </c>
    </row>
    <row r="537" spans="1:245" x14ac:dyDescent="0.2">
      <c r="A537">
        <v>17</v>
      </c>
      <c r="B537">
        <v>1</v>
      </c>
      <c r="D537">
        <f>ROW(EtalonRes!A392)</f>
        <v>392</v>
      </c>
      <c r="E537" t="s">
        <v>3</v>
      </c>
      <c r="F537" t="s">
        <v>458</v>
      </c>
      <c r="G537" t="s">
        <v>459</v>
      </c>
      <c r="H537" t="s">
        <v>386</v>
      </c>
      <c r="I537">
        <v>4</v>
      </c>
      <c r="J537">
        <v>0</v>
      </c>
      <c r="K537">
        <v>4</v>
      </c>
      <c r="O537">
        <f t="shared" si="471"/>
        <v>7963.92</v>
      </c>
      <c r="P537">
        <f t="shared" si="472"/>
        <v>1.04</v>
      </c>
      <c r="Q537">
        <f t="shared" si="473"/>
        <v>0</v>
      </c>
      <c r="R537">
        <f t="shared" si="474"/>
        <v>0</v>
      </c>
      <c r="S537">
        <f t="shared" si="475"/>
        <v>7962.88</v>
      </c>
      <c r="T537">
        <f t="shared" si="476"/>
        <v>0</v>
      </c>
      <c r="U537">
        <f t="shared" si="477"/>
        <v>12</v>
      </c>
      <c r="V537">
        <f t="shared" si="478"/>
        <v>0</v>
      </c>
      <c r="W537">
        <f t="shared" si="479"/>
        <v>0</v>
      </c>
      <c r="X537">
        <f t="shared" si="480"/>
        <v>5574.02</v>
      </c>
      <c r="Y537">
        <f t="shared" si="481"/>
        <v>796.29</v>
      </c>
      <c r="AA537">
        <v>-1</v>
      </c>
      <c r="AB537">
        <f t="shared" si="482"/>
        <v>1990.98</v>
      </c>
      <c r="AC537">
        <f>ROUND(((ES537*2)),6)</f>
        <v>0.26</v>
      </c>
      <c r="AD537">
        <f>ROUND((((ET537)-(EU537))+AE537),6)</f>
        <v>0</v>
      </c>
      <c r="AE537">
        <f>ROUND((EU537),6)</f>
        <v>0</v>
      </c>
      <c r="AF537">
        <f>ROUND(((EV537*2)),6)</f>
        <v>1990.72</v>
      </c>
      <c r="AG537">
        <f t="shared" si="483"/>
        <v>0</v>
      </c>
      <c r="AH537">
        <f>((EW537*2))</f>
        <v>3</v>
      </c>
      <c r="AI537">
        <f>(EX537)</f>
        <v>0</v>
      </c>
      <c r="AJ537">
        <f t="shared" si="484"/>
        <v>0</v>
      </c>
      <c r="AK537">
        <v>995.49</v>
      </c>
      <c r="AL537">
        <v>0.13</v>
      </c>
      <c r="AM537">
        <v>0</v>
      </c>
      <c r="AN537">
        <v>0</v>
      </c>
      <c r="AO537">
        <v>995.36</v>
      </c>
      <c r="AP537">
        <v>0</v>
      </c>
      <c r="AQ537">
        <v>1.5</v>
      </c>
      <c r="AR537">
        <v>0</v>
      </c>
      <c r="AS537">
        <v>0</v>
      </c>
      <c r="AT537">
        <v>70</v>
      </c>
      <c r="AU537">
        <v>10</v>
      </c>
      <c r="AV537">
        <v>1</v>
      </c>
      <c r="AW537">
        <v>1</v>
      </c>
      <c r="AZ537">
        <v>1</v>
      </c>
      <c r="BA537">
        <v>1</v>
      </c>
      <c r="BB537">
        <v>1</v>
      </c>
      <c r="BC537">
        <v>1</v>
      </c>
      <c r="BD537" t="s">
        <v>3</v>
      </c>
      <c r="BE537" t="s">
        <v>3</v>
      </c>
      <c r="BF537" t="s">
        <v>3</v>
      </c>
      <c r="BG537" t="s">
        <v>3</v>
      </c>
      <c r="BH537">
        <v>0</v>
      </c>
      <c r="BI537">
        <v>4</v>
      </c>
      <c r="BJ537" t="s">
        <v>460</v>
      </c>
      <c r="BM537">
        <v>0</v>
      </c>
      <c r="BN537">
        <v>0</v>
      </c>
      <c r="BO537" t="s">
        <v>3</v>
      </c>
      <c r="BP537">
        <v>0</v>
      </c>
      <c r="BQ537">
        <v>1</v>
      </c>
      <c r="BR537">
        <v>0</v>
      </c>
      <c r="BS537">
        <v>1</v>
      </c>
      <c r="BT537">
        <v>1</v>
      </c>
      <c r="BU537">
        <v>1</v>
      </c>
      <c r="BV537">
        <v>1</v>
      </c>
      <c r="BW537">
        <v>1</v>
      </c>
      <c r="BX537">
        <v>1</v>
      </c>
      <c r="BY537" t="s">
        <v>3</v>
      </c>
      <c r="BZ537">
        <v>70</v>
      </c>
      <c r="CA537">
        <v>10</v>
      </c>
      <c r="CB537" t="s">
        <v>3</v>
      </c>
      <c r="CE537">
        <v>0</v>
      </c>
      <c r="CF537">
        <v>0</v>
      </c>
      <c r="CG537">
        <v>0</v>
      </c>
      <c r="CM537">
        <v>0</v>
      </c>
      <c r="CN537" t="s">
        <v>3</v>
      </c>
      <c r="CO537">
        <v>0</v>
      </c>
      <c r="CP537">
        <f t="shared" si="485"/>
        <v>7963.92</v>
      </c>
      <c r="CQ537">
        <f t="shared" si="486"/>
        <v>0.26</v>
      </c>
      <c r="CR537">
        <f>((((ET537)*BB537-(EU537)*BS537)+AE537*BS537)*AV537)</f>
        <v>0</v>
      </c>
      <c r="CS537">
        <f t="shared" si="487"/>
        <v>0</v>
      </c>
      <c r="CT537">
        <f t="shared" si="488"/>
        <v>1990.72</v>
      </c>
      <c r="CU537">
        <f t="shared" si="489"/>
        <v>0</v>
      </c>
      <c r="CV537">
        <f t="shared" si="490"/>
        <v>3</v>
      </c>
      <c r="CW537">
        <f t="shared" si="491"/>
        <v>0</v>
      </c>
      <c r="CX537">
        <f t="shared" si="492"/>
        <v>0</v>
      </c>
      <c r="CY537">
        <f t="shared" si="493"/>
        <v>5574.0159999999996</v>
      </c>
      <c r="CZ537">
        <f t="shared" si="494"/>
        <v>796.28800000000001</v>
      </c>
      <c r="DC537" t="s">
        <v>3</v>
      </c>
      <c r="DD537" t="s">
        <v>28</v>
      </c>
      <c r="DE537" t="s">
        <v>3</v>
      </c>
      <c r="DF537" t="s">
        <v>3</v>
      </c>
      <c r="DG537" t="s">
        <v>28</v>
      </c>
      <c r="DH537" t="s">
        <v>3</v>
      </c>
      <c r="DI537" t="s">
        <v>28</v>
      </c>
      <c r="DJ537" t="s">
        <v>3</v>
      </c>
      <c r="DK537" t="s">
        <v>3</v>
      </c>
      <c r="DL537" t="s">
        <v>3</v>
      </c>
      <c r="DM537" t="s">
        <v>3</v>
      </c>
      <c r="DN537">
        <v>0</v>
      </c>
      <c r="DO537">
        <v>0</v>
      </c>
      <c r="DP537">
        <v>1</v>
      </c>
      <c r="DQ537">
        <v>1</v>
      </c>
      <c r="DU537">
        <v>1013</v>
      </c>
      <c r="DV537" t="s">
        <v>386</v>
      </c>
      <c r="DW537" t="s">
        <v>386</v>
      </c>
      <c r="DX537">
        <v>1</v>
      </c>
      <c r="DZ537" t="s">
        <v>3</v>
      </c>
      <c r="EA537" t="s">
        <v>3</v>
      </c>
      <c r="EB537" t="s">
        <v>3</v>
      </c>
      <c r="EC537" t="s">
        <v>3</v>
      </c>
      <c r="EE537">
        <v>1441815344</v>
      </c>
      <c r="EF537">
        <v>1</v>
      </c>
      <c r="EG537" t="s">
        <v>22</v>
      </c>
      <c r="EH537">
        <v>0</v>
      </c>
      <c r="EI537" t="s">
        <v>3</v>
      </c>
      <c r="EJ537">
        <v>4</v>
      </c>
      <c r="EK537">
        <v>0</v>
      </c>
      <c r="EL537" t="s">
        <v>23</v>
      </c>
      <c r="EM537" t="s">
        <v>24</v>
      </c>
      <c r="EO537" t="s">
        <v>3</v>
      </c>
      <c r="EQ537">
        <v>1024</v>
      </c>
      <c r="ER537">
        <v>995.49</v>
      </c>
      <c r="ES537">
        <v>0.13</v>
      </c>
      <c r="ET537">
        <v>0</v>
      </c>
      <c r="EU537">
        <v>0</v>
      </c>
      <c r="EV537">
        <v>995.36</v>
      </c>
      <c r="EW537">
        <v>1.5</v>
      </c>
      <c r="EX537">
        <v>0</v>
      </c>
      <c r="EY537">
        <v>0</v>
      </c>
      <c r="FQ537">
        <v>0</v>
      </c>
      <c r="FR537">
        <f t="shared" si="495"/>
        <v>0</v>
      </c>
      <c r="FS537">
        <v>0</v>
      </c>
      <c r="FX537">
        <v>70</v>
      </c>
      <c r="FY537">
        <v>10</v>
      </c>
      <c r="GA537" t="s">
        <v>3</v>
      </c>
      <c r="GD537">
        <v>0</v>
      </c>
      <c r="GF537">
        <v>1316401234</v>
      </c>
      <c r="GG537">
        <v>2</v>
      </c>
      <c r="GH537">
        <v>1</v>
      </c>
      <c r="GI537">
        <v>-2</v>
      </c>
      <c r="GJ537">
        <v>0</v>
      </c>
      <c r="GK537">
        <f>ROUND(R537*(R12)/100,2)</f>
        <v>0</v>
      </c>
      <c r="GL537">
        <f t="shared" si="496"/>
        <v>0</v>
      </c>
      <c r="GM537">
        <f t="shared" si="497"/>
        <v>14334.23</v>
      </c>
      <c r="GN537">
        <f t="shared" si="498"/>
        <v>0</v>
      </c>
      <c r="GO537">
        <f t="shared" si="499"/>
        <v>0</v>
      </c>
      <c r="GP537">
        <f t="shared" si="500"/>
        <v>14334.23</v>
      </c>
      <c r="GR537">
        <v>0</v>
      </c>
      <c r="GS537">
        <v>3</v>
      </c>
      <c r="GT537">
        <v>0</v>
      </c>
      <c r="GU537" t="s">
        <v>3</v>
      </c>
      <c r="GV537">
        <f t="shared" si="501"/>
        <v>0</v>
      </c>
      <c r="GW537">
        <v>1</v>
      </c>
      <c r="GX537">
        <f t="shared" si="502"/>
        <v>0</v>
      </c>
      <c r="HA537">
        <v>0</v>
      </c>
      <c r="HB537">
        <v>0</v>
      </c>
      <c r="HC537">
        <f t="shared" si="503"/>
        <v>0</v>
      </c>
      <c r="HE537" t="s">
        <v>3</v>
      </c>
      <c r="HF537" t="s">
        <v>3</v>
      </c>
      <c r="HM537" t="s">
        <v>3</v>
      </c>
      <c r="HN537" t="s">
        <v>3</v>
      </c>
      <c r="HO537" t="s">
        <v>3</v>
      </c>
      <c r="HP537" t="s">
        <v>3</v>
      </c>
      <c r="HQ537" t="s">
        <v>3</v>
      </c>
      <c r="IK537">
        <v>0</v>
      </c>
    </row>
    <row r="538" spans="1:245" x14ac:dyDescent="0.2">
      <c r="A538">
        <v>17</v>
      </c>
      <c r="B538">
        <v>1</v>
      </c>
      <c r="D538">
        <f>ROW(EtalonRes!A402)</f>
        <v>402</v>
      </c>
      <c r="E538" t="s">
        <v>3</v>
      </c>
      <c r="F538" t="s">
        <v>461</v>
      </c>
      <c r="G538" t="s">
        <v>462</v>
      </c>
      <c r="H538" t="s">
        <v>386</v>
      </c>
      <c r="I538">
        <v>3</v>
      </c>
      <c r="J538">
        <v>0</v>
      </c>
      <c r="K538">
        <v>3</v>
      </c>
      <c r="O538">
        <f t="shared" si="471"/>
        <v>53268.62</v>
      </c>
      <c r="P538">
        <f t="shared" si="472"/>
        <v>1399.46</v>
      </c>
      <c r="Q538">
        <f t="shared" si="473"/>
        <v>0</v>
      </c>
      <c r="R538">
        <f t="shared" si="474"/>
        <v>0</v>
      </c>
      <c r="S538">
        <f t="shared" si="475"/>
        <v>51869.16</v>
      </c>
      <c r="T538">
        <f t="shared" si="476"/>
        <v>0</v>
      </c>
      <c r="U538">
        <f t="shared" si="477"/>
        <v>84</v>
      </c>
      <c r="V538">
        <f t="shared" si="478"/>
        <v>0</v>
      </c>
      <c r="W538">
        <f t="shared" si="479"/>
        <v>0</v>
      </c>
      <c r="X538">
        <f t="shared" si="480"/>
        <v>36308.410000000003</v>
      </c>
      <c r="Y538">
        <f t="shared" si="481"/>
        <v>5186.92</v>
      </c>
      <c r="AA538">
        <v>-1</v>
      </c>
      <c r="AB538">
        <f t="shared" si="482"/>
        <v>17756.206666999999</v>
      </c>
      <c r="AC538">
        <f>ROUND((((ES538/12)*8)),6)</f>
        <v>466.48666700000001</v>
      </c>
      <c r="AD538">
        <f>ROUND((((((ET538/12)*8))-(((EU538/12)*8)))+AE538),6)</f>
        <v>0</v>
      </c>
      <c r="AE538">
        <f>ROUND((((EU538/12)*8)),6)</f>
        <v>0</v>
      </c>
      <c r="AF538">
        <f>ROUND((((EV538/12)*8)),6)</f>
        <v>17289.72</v>
      </c>
      <c r="AG538">
        <f t="shared" si="483"/>
        <v>0</v>
      </c>
      <c r="AH538">
        <f>(((EW538/12)*8))</f>
        <v>28</v>
      </c>
      <c r="AI538">
        <f>(((EX538/12)*8))</f>
        <v>0</v>
      </c>
      <c r="AJ538">
        <f t="shared" si="484"/>
        <v>0</v>
      </c>
      <c r="AK538">
        <v>26634.31</v>
      </c>
      <c r="AL538">
        <v>699.73</v>
      </c>
      <c r="AM538">
        <v>0</v>
      </c>
      <c r="AN538">
        <v>0</v>
      </c>
      <c r="AO538">
        <v>25934.58</v>
      </c>
      <c r="AP538">
        <v>0</v>
      </c>
      <c r="AQ538">
        <v>42</v>
      </c>
      <c r="AR538">
        <v>0</v>
      </c>
      <c r="AS538">
        <v>0</v>
      </c>
      <c r="AT538">
        <v>70</v>
      </c>
      <c r="AU538">
        <v>10</v>
      </c>
      <c r="AV538">
        <v>1</v>
      </c>
      <c r="AW538">
        <v>1</v>
      </c>
      <c r="AZ538">
        <v>1</v>
      </c>
      <c r="BA538">
        <v>1</v>
      </c>
      <c r="BB538">
        <v>1</v>
      </c>
      <c r="BC538">
        <v>1</v>
      </c>
      <c r="BD538" t="s">
        <v>3</v>
      </c>
      <c r="BE538" t="s">
        <v>3</v>
      </c>
      <c r="BF538" t="s">
        <v>3</v>
      </c>
      <c r="BG538" t="s">
        <v>3</v>
      </c>
      <c r="BH538">
        <v>0</v>
      </c>
      <c r="BI538">
        <v>4</v>
      </c>
      <c r="BJ538" t="s">
        <v>463</v>
      </c>
      <c r="BM538">
        <v>0</v>
      </c>
      <c r="BN538">
        <v>0</v>
      </c>
      <c r="BO538" t="s">
        <v>3</v>
      </c>
      <c r="BP538">
        <v>0</v>
      </c>
      <c r="BQ538">
        <v>1</v>
      </c>
      <c r="BR538">
        <v>0</v>
      </c>
      <c r="BS538">
        <v>1</v>
      </c>
      <c r="BT538">
        <v>1</v>
      </c>
      <c r="BU538">
        <v>1</v>
      </c>
      <c r="BV538">
        <v>1</v>
      </c>
      <c r="BW538">
        <v>1</v>
      </c>
      <c r="BX538">
        <v>1</v>
      </c>
      <c r="BY538" t="s">
        <v>3</v>
      </c>
      <c r="BZ538">
        <v>70</v>
      </c>
      <c r="CA538">
        <v>10</v>
      </c>
      <c r="CB538" t="s">
        <v>3</v>
      </c>
      <c r="CE538">
        <v>0</v>
      </c>
      <c r="CF538">
        <v>0</v>
      </c>
      <c r="CG538">
        <v>0</v>
      </c>
      <c r="CM538">
        <v>0</v>
      </c>
      <c r="CN538" t="s">
        <v>3</v>
      </c>
      <c r="CO538">
        <v>0</v>
      </c>
      <c r="CP538">
        <f t="shared" si="485"/>
        <v>53268.62</v>
      </c>
      <c r="CQ538">
        <f t="shared" si="486"/>
        <v>466.48666700000001</v>
      </c>
      <c r="CR538">
        <f>((((((ET538/12)*8))*BB538-(((EU538/12)*8))*BS538)+AE538*BS538)*AV538)</f>
        <v>0</v>
      </c>
      <c r="CS538">
        <f t="shared" si="487"/>
        <v>0</v>
      </c>
      <c r="CT538">
        <f t="shared" si="488"/>
        <v>17289.72</v>
      </c>
      <c r="CU538">
        <f t="shared" si="489"/>
        <v>0</v>
      </c>
      <c r="CV538">
        <f t="shared" si="490"/>
        <v>28</v>
      </c>
      <c r="CW538">
        <f t="shared" si="491"/>
        <v>0</v>
      </c>
      <c r="CX538">
        <f t="shared" si="492"/>
        <v>0</v>
      </c>
      <c r="CY538">
        <f t="shared" si="493"/>
        <v>36308.412000000004</v>
      </c>
      <c r="CZ538">
        <f t="shared" si="494"/>
        <v>5186.9160000000002</v>
      </c>
      <c r="DC538" t="s">
        <v>3</v>
      </c>
      <c r="DD538" t="s">
        <v>388</v>
      </c>
      <c r="DE538" t="s">
        <v>388</v>
      </c>
      <c r="DF538" t="s">
        <v>388</v>
      </c>
      <c r="DG538" t="s">
        <v>388</v>
      </c>
      <c r="DH538" t="s">
        <v>3</v>
      </c>
      <c r="DI538" t="s">
        <v>388</v>
      </c>
      <c r="DJ538" t="s">
        <v>388</v>
      </c>
      <c r="DK538" t="s">
        <v>3</v>
      </c>
      <c r="DL538" t="s">
        <v>3</v>
      </c>
      <c r="DM538" t="s">
        <v>3</v>
      </c>
      <c r="DN538">
        <v>0</v>
      </c>
      <c r="DO538">
        <v>0</v>
      </c>
      <c r="DP538">
        <v>1</v>
      </c>
      <c r="DQ538">
        <v>1</v>
      </c>
      <c r="DU538">
        <v>1013</v>
      </c>
      <c r="DV538" t="s">
        <v>386</v>
      </c>
      <c r="DW538" t="s">
        <v>386</v>
      </c>
      <c r="DX538">
        <v>1</v>
      </c>
      <c r="DZ538" t="s">
        <v>3</v>
      </c>
      <c r="EA538" t="s">
        <v>3</v>
      </c>
      <c r="EB538" t="s">
        <v>3</v>
      </c>
      <c r="EC538" t="s">
        <v>3</v>
      </c>
      <c r="EE538">
        <v>1441815344</v>
      </c>
      <c r="EF538">
        <v>1</v>
      </c>
      <c r="EG538" t="s">
        <v>22</v>
      </c>
      <c r="EH538">
        <v>0</v>
      </c>
      <c r="EI538" t="s">
        <v>3</v>
      </c>
      <c r="EJ538">
        <v>4</v>
      </c>
      <c r="EK538">
        <v>0</v>
      </c>
      <c r="EL538" t="s">
        <v>23</v>
      </c>
      <c r="EM538" t="s">
        <v>24</v>
      </c>
      <c r="EO538" t="s">
        <v>3</v>
      </c>
      <c r="EQ538">
        <v>1024</v>
      </c>
      <c r="ER538">
        <v>26634.31</v>
      </c>
      <c r="ES538">
        <v>699.73</v>
      </c>
      <c r="ET538">
        <v>0</v>
      </c>
      <c r="EU538">
        <v>0</v>
      </c>
      <c r="EV538">
        <v>25934.58</v>
      </c>
      <c r="EW538">
        <v>42</v>
      </c>
      <c r="EX538">
        <v>0</v>
      </c>
      <c r="EY538">
        <v>0</v>
      </c>
      <c r="FQ538">
        <v>0</v>
      </c>
      <c r="FR538">
        <f t="shared" si="495"/>
        <v>0</v>
      </c>
      <c r="FS538">
        <v>0</v>
      </c>
      <c r="FX538">
        <v>70</v>
      </c>
      <c r="FY538">
        <v>10</v>
      </c>
      <c r="GA538" t="s">
        <v>3</v>
      </c>
      <c r="GD538">
        <v>0</v>
      </c>
      <c r="GF538">
        <v>1586643456</v>
      </c>
      <c r="GG538">
        <v>2</v>
      </c>
      <c r="GH538">
        <v>1</v>
      </c>
      <c r="GI538">
        <v>-2</v>
      </c>
      <c r="GJ538">
        <v>0</v>
      </c>
      <c r="GK538">
        <f>ROUND(R538*(R12)/100,2)</f>
        <v>0</v>
      </c>
      <c r="GL538">
        <f t="shared" si="496"/>
        <v>0</v>
      </c>
      <c r="GM538">
        <f t="shared" si="497"/>
        <v>94763.95</v>
      </c>
      <c r="GN538">
        <f t="shared" si="498"/>
        <v>0</v>
      </c>
      <c r="GO538">
        <f t="shared" si="499"/>
        <v>0</v>
      </c>
      <c r="GP538">
        <f t="shared" si="500"/>
        <v>94763.95</v>
      </c>
      <c r="GR538">
        <v>0</v>
      </c>
      <c r="GS538">
        <v>3</v>
      </c>
      <c r="GT538">
        <v>0</v>
      </c>
      <c r="GU538" t="s">
        <v>3</v>
      </c>
      <c r="GV538">
        <f t="shared" si="501"/>
        <v>0</v>
      </c>
      <c r="GW538">
        <v>1</v>
      </c>
      <c r="GX538">
        <f t="shared" si="502"/>
        <v>0</v>
      </c>
      <c r="HA538">
        <v>0</v>
      </c>
      <c r="HB538">
        <v>0</v>
      </c>
      <c r="HC538">
        <f t="shared" si="503"/>
        <v>0</v>
      </c>
      <c r="HE538" t="s">
        <v>3</v>
      </c>
      <c r="HF538" t="s">
        <v>3</v>
      </c>
      <c r="HM538" t="s">
        <v>3</v>
      </c>
      <c r="HN538" t="s">
        <v>3</v>
      </c>
      <c r="HO538" t="s">
        <v>3</v>
      </c>
      <c r="HP538" t="s">
        <v>3</v>
      </c>
      <c r="HQ538" t="s">
        <v>3</v>
      </c>
      <c r="IK538">
        <v>0</v>
      </c>
    </row>
    <row r="539" spans="1:245" x14ac:dyDescent="0.2">
      <c r="A539">
        <v>17</v>
      </c>
      <c r="B539">
        <v>1</v>
      </c>
      <c r="D539">
        <f>ROW(EtalonRes!A405)</f>
        <v>405</v>
      </c>
      <c r="E539" t="s">
        <v>3</v>
      </c>
      <c r="F539" t="s">
        <v>464</v>
      </c>
      <c r="G539" t="s">
        <v>465</v>
      </c>
      <c r="H539" t="s">
        <v>386</v>
      </c>
      <c r="I539">
        <v>3</v>
      </c>
      <c r="J539">
        <v>0</v>
      </c>
      <c r="K539">
        <v>3</v>
      </c>
      <c r="O539">
        <f t="shared" si="471"/>
        <v>10957.35</v>
      </c>
      <c r="P539">
        <f t="shared" si="472"/>
        <v>8.3699999999999992</v>
      </c>
      <c r="Q539">
        <f t="shared" si="473"/>
        <v>0</v>
      </c>
      <c r="R539">
        <f t="shared" si="474"/>
        <v>0</v>
      </c>
      <c r="S539">
        <f t="shared" si="475"/>
        <v>10948.98</v>
      </c>
      <c r="T539">
        <f t="shared" si="476"/>
        <v>0</v>
      </c>
      <c r="U539">
        <f t="shared" si="477"/>
        <v>16.5</v>
      </c>
      <c r="V539">
        <f t="shared" si="478"/>
        <v>0</v>
      </c>
      <c r="W539">
        <f t="shared" si="479"/>
        <v>0</v>
      </c>
      <c r="X539">
        <f t="shared" si="480"/>
        <v>7664.29</v>
      </c>
      <c r="Y539">
        <f t="shared" si="481"/>
        <v>1094.9000000000001</v>
      </c>
      <c r="AA539">
        <v>-1</v>
      </c>
      <c r="AB539">
        <f t="shared" si="482"/>
        <v>3652.45</v>
      </c>
      <c r="AC539">
        <f>ROUND((ES539),6)</f>
        <v>2.79</v>
      </c>
      <c r="AD539">
        <f>ROUND((((ET539)-(EU539))+AE539),6)</f>
        <v>0</v>
      </c>
      <c r="AE539">
        <f>ROUND((EU539),6)</f>
        <v>0</v>
      </c>
      <c r="AF539">
        <f>ROUND((EV539),6)</f>
        <v>3649.66</v>
      </c>
      <c r="AG539">
        <f t="shared" si="483"/>
        <v>0</v>
      </c>
      <c r="AH539">
        <f>(EW539)</f>
        <v>5.5</v>
      </c>
      <c r="AI539">
        <f>(EX539)</f>
        <v>0</v>
      </c>
      <c r="AJ539">
        <f t="shared" si="484"/>
        <v>0</v>
      </c>
      <c r="AK539">
        <v>3652.45</v>
      </c>
      <c r="AL539">
        <v>2.79</v>
      </c>
      <c r="AM539">
        <v>0</v>
      </c>
      <c r="AN539">
        <v>0</v>
      </c>
      <c r="AO539">
        <v>3649.66</v>
      </c>
      <c r="AP539">
        <v>0</v>
      </c>
      <c r="AQ539">
        <v>5.5</v>
      </c>
      <c r="AR539">
        <v>0</v>
      </c>
      <c r="AS539">
        <v>0</v>
      </c>
      <c r="AT539">
        <v>70</v>
      </c>
      <c r="AU539">
        <v>10</v>
      </c>
      <c r="AV539">
        <v>1</v>
      </c>
      <c r="AW539">
        <v>1</v>
      </c>
      <c r="AZ539">
        <v>1</v>
      </c>
      <c r="BA539">
        <v>1</v>
      </c>
      <c r="BB539">
        <v>1</v>
      </c>
      <c r="BC539">
        <v>1</v>
      </c>
      <c r="BD539" t="s">
        <v>3</v>
      </c>
      <c r="BE539" t="s">
        <v>3</v>
      </c>
      <c r="BF539" t="s">
        <v>3</v>
      </c>
      <c r="BG539" t="s">
        <v>3</v>
      </c>
      <c r="BH539">
        <v>0</v>
      </c>
      <c r="BI539">
        <v>4</v>
      </c>
      <c r="BJ539" t="s">
        <v>466</v>
      </c>
      <c r="BM539">
        <v>0</v>
      </c>
      <c r="BN539">
        <v>0</v>
      </c>
      <c r="BO539" t="s">
        <v>3</v>
      </c>
      <c r="BP539">
        <v>0</v>
      </c>
      <c r="BQ539">
        <v>1</v>
      </c>
      <c r="BR539">
        <v>0</v>
      </c>
      <c r="BS539">
        <v>1</v>
      </c>
      <c r="BT539">
        <v>1</v>
      </c>
      <c r="BU539">
        <v>1</v>
      </c>
      <c r="BV539">
        <v>1</v>
      </c>
      <c r="BW539">
        <v>1</v>
      </c>
      <c r="BX539">
        <v>1</v>
      </c>
      <c r="BY539" t="s">
        <v>3</v>
      </c>
      <c r="BZ539">
        <v>70</v>
      </c>
      <c r="CA539">
        <v>10</v>
      </c>
      <c r="CB539" t="s">
        <v>3</v>
      </c>
      <c r="CE539">
        <v>0</v>
      </c>
      <c r="CF539">
        <v>0</v>
      </c>
      <c r="CG539">
        <v>0</v>
      </c>
      <c r="CM539">
        <v>0</v>
      </c>
      <c r="CN539" t="s">
        <v>3</v>
      </c>
      <c r="CO539">
        <v>0</v>
      </c>
      <c r="CP539">
        <f t="shared" si="485"/>
        <v>10957.35</v>
      </c>
      <c r="CQ539">
        <f t="shared" si="486"/>
        <v>2.79</v>
      </c>
      <c r="CR539">
        <f>((((ET539)*BB539-(EU539)*BS539)+AE539*BS539)*AV539)</f>
        <v>0</v>
      </c>
      <c r="CS539">
        <f t="shared" si="487"/>
        <v>0</v>
      </c>
      <c r="CT539">
        <f t="shared" si="488"/>
        <v>3649.66</v>
      </c>
      <c r="CU539">
        <f t="shared" si="489"/>
        <v>0</v>
      </c>
      <c r="CV539">
        <f t="shared" si="490"/>
        <v>5.5</v>
      </c>
      <c r="CW539">
        <f t="shared" si="491"/>
        <v>0</v>
      </c>
      <c r="CX539">
        <f t="shared" si="492"/>
        <v>0</v>
      </c>
      <c r="CY539">
        <f t="shared" si="493"/>
        <v>7664.2860000000001</v>
      </c>
      <c r="CZ539">
        <f t="shared" si="494"/>
        <v>1094.8979999999999</v>
      </c>
      <c r="DC539" t="s">
        <v>3</v>
      </c>
      <c r="DD539" t="s">
        <v>3</v>
      </c>
      <c r="DE539" t="s">
        <v>3</v>
      </c>
      <c r="DF539" t="s">
        <v>3</v>
      </c>
      <c r="DG539" t="s">
        <v>3</v>
      </c>
      <c r="DH539" t="s">
        <v>3</v>
      </c>
      <c r="DI539" t="s">
        <v>3</v>
      </c>
      <c r="DJ539" t="s">
        <v>3</v>
      </c>
      <c r="DK539" t="s">
        <v>3</v>
      </c>
      <c r="DL539" t="s">
        <v>3</v>
      </c>
      <c r="DM539" t="s">
        <v>3</v>
      </c>
      <c r="DN539">
        <v>0</v>
      </c>
      <c r="DO539">
        <v>0</v>
      </c>
      <c r="DP539">
        <v>1</v>
      </c>
      <c r="DQ539">
        <v>1</v>
      </c>
      <c r="DU539">
        <v>1013</v>
      </c>
      <c r="DV539" t="s">
        <v>386</v>
      </c>
      <c r="DW539" t="s">
        <v>386</v>
      </c>
      <c r="DX539">
        <v>1</v>
      </c>
      <c r="DZ539" t="s">
        <v>3</v>
      </c>
      <c r="EA539" t="s">
        <v>3</v>
      </c>
      <c r="EB539" t="s">
        <v>3</v>
      </c>
      <c r="EC539" t="s">
        <v>3</v>
      </c>
      <c r="EE539">
        <v>1441815344</v>
      </c>
      <c r="EF539">
        <v>1</v>
      </c>
      <c r="EG539" t="s">
        <v>22</v>
      </c>
      <c r="EH539">
        <v>0</v>
      </c>
      <c r="EI539" t="s">
        <v>3</v>
      </c>
      <c r="EJ539">
        <v>4</v>
      </c>
      <c r="EK539">
        <v>0</v>
      </c>
      <c r="EL539" t="s">
        <v>23</v>
      </c>
      <c r="EM539" t="s">
        <v>24</v>
      </c>
      <c r="EO539" t="s">
        <v>3</v>
      </c>
      <c r="EQ539">
        <v>1311744</v>
      </c>
      <c r="ER539">
        <v>3652.45</v>
      </c>
      <c r="ES539">
        <v>2.79</v>
      </c>
      <c r="ET539">
        <v>0</v>
      </c>
      <c r="EU539">
        <v>0</v>
      </c>
      <c r="EV539">
        <v>3649.66</v>
      </c>
      <c r="EW539">
        <v>5.5</v>
      </c>
      <c r="EX539">
        <v>0</v>
      </c>
      <c r="EY539">
        <v>0</v>
      </c>
      <c r="FQ539">
        <v>0</v>
      </c>
      <c r="FR539">
        <f t="shared" si="495"/>
        <v>0</v>
      </c>
      <c r="FS539">
        <v>0</v>
      </c>
      <c r="FX539">
        <v>70</v>
      </c>
      <c r="FY539">
        <v>10</v>
      </c>
      <c r="GA539" t="s">
        <v>3</v>
      </c>
      <c r="GD539">
        <v>0</v>
      </c>
      <c r="GF539">
        <v>-1346466462</v>
      </c>
      <c r="GG539">
        <v>2</v>
      </c>
      <c r="GH539">
        <v>1</v>
      </c>
      <c r="GI539">
        <v>-2</v>
      </c>
      <c r="GJ539">
        <v>0</v>
      </c>
      <c r="GK539">
        <f>ROUND(R539*(R12)/100,2)</f>
        <v>0</v>
      </c>
      <c r="GL539">
        <f t="shared" si="496"/>
        <v>0</v>
      </c>
      <c r="GM539">
        <f t="shared" si="497"/>
        <v>19716.54</v>
      </c>
      <c r="GN539">
        <f t="shared" si="498"/>
        <v>0</v>
      </c>
      <c r="GO539">
        <f t="shared" si="499"/>
        <v>0</v>
      </c>
      <c r="GP539">
        <f t="shared" si="500"/>
        <v>19716.54</v>
      </c>
      <c r="GR539">
        <v>0</v>
      </c>
      <c r="GS539">
        <v>3</v>
      </c>
      <c r="GT539">
        <v>0</v>
      </c>
      <c r="GU539" t="s">
        <v>3</v>
      </c>
      <c r="GV539">
        <f t="shared" si="501"/>
        <v>0</v>
      </c>
      <c r="GW539">
        <v>1</v>
      </c>
      <c r="GX539">
        <f t="shared" si="502"/>
        <v>0</v>
      </c>
      <c r="HA539">
        <v>0</v>
      </c>
      <c r="HB539">
        <v>0</v>
      </c>
      <c r="HC539">
        <f t="shared" si="503"/>
        <v>0</v>
      </c>
      <c r="HE539" t="s">
        <v>3</v>
      </c>
      <c r="HF539" t="s">
        <v>3</v>
      </c>
      <c r="HM539" t="s">
        <v>3</v>
      </c>
      <c r="HN539" t="s">
        <v>3</v>
      </c>
      <c r="HO539" t="s">
        <v>3</v>
      </c>
      <c r="HP539" t="s">
        <v>3</v>
      </c>
      <c r="HQ539" t="s">
        <v>3</v>
      </c>
      <c r="IK539">
        <v>0</v>
      </c>
    </row>
    <row r="540" spans="1:245" x14ac:dyDescent="0.2">
      <c r="A540">
        <v>17</v>
      </c>
      <c r="B540">
        <v>1</v>
      </c>
      <c r="D540">
        <f>ROW(EtalonRes!A407)</f>
        <v>407</v>
      </c>
      <c r="E540" t="s">
        <v>467</v>
      </c>
      <c r="F540" t="s">
        <v>468</v>
      </c>
      <c r="G540" t="s">
        <v>469</v>
      </c>
      <c r="H540" t="s">
        <v>386</v>
      </c>
      <c r="I540">
        <v>3</v>
      </c>
      <c r="J540">
        <v>0</v>
      </c>
      <c r="K540">
        <v>3</v>
      </c>
      <c r="O540">
        <f t="shared" si="471"/>
        <v>9476.0400000000009</v>
      </c>
      <c r="P540">
        <f t="shared" si="472"/>
        <v>0.18</v>
      </c>
      <c r="Q540">
        <f t="shared" si="473"/>
        <v>0</v>
      </c>
      <c r="R540">
        <f t="shared" si="474"/>
        <v>0</v>
      </c>
      <c r="S540">
        <f t="shared" si="475"/>
        <v>9475.86</v>
      </c>
      <c r="T540">
        <f t="shared" si="476"/>
        <v>0</v>
      </c>
      <c r="U540">
        <f t="shared" si="477"/>
        <v>14.28</v>
      </c>
      <c r="V540">
        <f t="shared" si="478"/>
        <v>0</v>
      </c>
      <c r="W540">
        <f t="shared" si="479"/>
        <v>0</v>
      </c>
      <c r="X540">
        <f t="shared" si="480"/>
        <v>6633.1</v>
      </c>
      <c r="Y540">
        <f t="shared" si="481"/>
        <v>947.59</v>
      </c>
      <c r="AA540">
        <v>1472506909</v>
      </c>
      <c r="AB540">
        <f t="shared" si="482"/>
        <v>3158.68</v>
      </c>
      <c r="AC540">
        <f>ROUND(((ES540*2)),6)</f>
        <v>0.06</v>
      </c>
      <c r="AD540">
        <f>ROUND(((((ET540*2))-((EU540*2)))+AE540),6)</f>
        <v>0</v>
      </c>
      <c r="AE540">
        <f>ROUND(((EU540*2)),6)</f>
        <v>0</v>
      </c>
      <c r="AF540">
        <f>ROUND(((EV540*2)),6)</f>
        <v>3158.62</v>
      </c>
      <c r="AG540">
        <f t="shared" si="483"/>
        <v>0</v>
      </c>
      <c r="AH540">
        <f>((EW540*2))</f>
        <v>4.76</v>
      </c>
      <c r="AI540">
        <f>((EX540*2))</f>
        <v>0</v>
      </c>
      <c r="AJ540">
        <f t="shared" si="484"/>
        <v>0</v>
      </c>
      <c r="AK540">
        <v>1579.34</v>
      </c>
      <c r="AL540">
        <v>0.03</v>
      </c>
      <c r="AM540">
        <v>0</v>
      </c>
      <c r="AN540">
        <v>0</v>
      </c>
      <c r="AO540">
        <v>1579.31</v>
      </c>
      <c r="AP540">
        <v>0</v>
      </c>
      <c r="AQ540">
        <v>2.38</v>
      </c>
      <c r="AR540">
        <v>0</v>
      </c>
      <c r="AS540">
        <v>0</v>
      </c>
      <c r="AT540">
        <v>70</v>
      </c>
      <c r="AU540">
        <v>10</v>
      </c>
      <c r="AV540">
        <v>1</v>
      </c>
      <c r="AW540">
        <v>1</v>
      </c>
      <c r="AZ540">
        <v>1</v>
      </c>
      <c r="BA540">
        <v>1</v>
      </c>
      <c r="BB540">
        <v>1</v>
      </c>
      <c r="BC540">
        <v>1</v>
      </c>
      <c r="BD540" t="s">
        <v>3</v>
      </c>
      <c r="BE540" t="s">
        <v>3</v>
      </c>
      <c r="BF540" t="s">
        <v>3</v>
      </c>
      <c r="BG540" t="s">
        <v>3</v>
      </c>
      <c r="BH540">
        <v>0</v>
      </c>
      <c r="BI540">
        <v>4</v>
      </c>
      <c r="BJ540" t="s">
        <v>470</v>
      </c>
      <c r="BM540">
        <v>0</v>
      </c>
      <c r="BN540">
        <v>0</v>
      </c>
      <c r="BO540" t="s">
        <v>3</v>
      </c>
      <c r="BP540">
        <v>0</v>
      </c>
      <c r="BQ540">
        <v>1</v>
      </c>
      <c r="BR540">
        <v>0</v>
      </c>
      <c r="BS540">
        <v>1</v>
      </c>
      <c r="BT540">
        <v>1</v>
      </c>
      <c r="BU540">
        <v>1</v>
      </c>
      <c r="BV540">
        <v>1</v>
      </c>
      <c r="BW540">
        <v>1</v>
      </c>
      <c r="BX540">
        <v>1</v>
      </c>
      <c r="BY540" t="s">
        <v>3</v>
      </c>
      <c r="BZ540">
        <v>70</v>
      </c>
      <c r="CA540">
        <v>10</v>
      </c>
      <c r="CB540" t="s">
        <v>3</v>
      </c>
      <c r="CE540">
        <v>0</v>
      </c>
      <c r="CF540">
        <v>0</v>
      </c>
      <c r="CG540">
        <v>0</v>
      </c>
      <c r="CM540">
        <v>0</v>
      </c>
      <c r="CN540" t="s">
        <v>3</v>
      </c>
      <c r="CO540">
        <v>0</v>
      </c>
      <c r="CP540">
        <f t="shared" si="485"/>
        <v>9476.0400000000009</v>
      </c>
      <c r="CQ540">
        <f t="shared" si="486"/>
        <v>0.06</v>
      </c>
      <c r="CR540">
        <f>(((((ET540*2))*BB540-((EU540*2))*BS540)+AE540*BS540)*AV540)</f>
        <v>0</v>
      </c>
      <c r="CS540">
        <f t="shared" si="487"/>
        <v>0</v>
      </c>
      <c r="CT540">
        <f t="shared" si="488"/>
        <v>3158.62</v>
      </c>
      <c r="CU540">
        <f t="shared" si="489"/>
        <v>0</v>
      </c>
      <c r="CV540">
        <f t="shared" si="490"/>
        <v>4.76</v>
      </c>
      <c r="CW540">
        <f t="shared" si="491"/>
        <v>0</v>
      </c>
      <c r="CX540">
        <f t="shared" si="492"/>
        <v>0</v>
      </c>
      <c r="CY540">
        <f t="shared" si="493"/>
        <v>6633.1020000000008</v>
      </c>
      <c r="CZ540">
        <f t="shared" si="494"/>
        <v>947.58600000000001</v>
      </c>
      <c r="DC540" t="s">
        <v>3</v>
      </c>
      <c r="DD540" t="s">
        <v>28</v>
      </c>
      <c r="DE540" t="s">
        <v>28</v>
      </c>
      <c r="DF540" t="s">
        <v>28</v>
      </c>
      <c r="DG540" t="s">
        <v>28</v>
      </c>
      <c r="DH540" t="s">
        <v>3</v>
      </c>
      <c r="DI540" t="s">
        <v>28</v>
      </c>
      <c r="DJ540" t="s">
        <v>28</v>
      </c>
      <c r="DK540" t="s">
        <v>3</v>
      </c>
      <c r="DL540" t="s">
        <v>3</v>
      </c>
      <c r="DM540" t="s">
        <v>3</v>
      </c>
      <c r="DN540">
        <v>0</v>
      </c>
      <c r="DO540">
        <v>0</v>
      </c>
      <c r="DP540">
        <v>1</v>
      </c>
      <c r="DQ540">
        <v>1</v>
      </c>
      <c r="DU540">
        <v>1013</v>
      </c>
      <c r="DV540" t="s">
        <v>386</v>
      </c>
      <c r="DW540" t="s">
        <v>386</v>
      </c>
      <c r="DX540">
        <v>1</v>
      </c>
      <c r="DZ540" t="s">
        <v>3</v>
      </c>
      <c r="EA540" t="s">
        <v>3</v>
      </c>
      <c r="EB540" t="s">
        <v>3</v>
      </c>
      <c r="EC540" t="s">
        <v>3</v>
      </c>
      <c r="EE540">
        <v>1441815344</v>
      </c>
      <c r="EF540">
        <v>1</v>
      </c>
      <c r="EG540" t="s">
        <v>22</v>
      </c>
      <c r="EH540">
        <v>0</v>
      </c>
      <c r="EI540" t="s">
        <v>3</v>
      </c>
      <c r="EJ540">
        <v>4</v>
      </c>
      <c r="EK540">
        <v>0</v>
      </c>
      <c r="EL540" t="s">
        <v>23</v>
      </c>
      <c r="EM540" t="s">
        <v>24</v>
      </c>
      <c r="EO540" t="s">
        <v>3</v>
      </c>
      <c r="EQ540">
        <v>0</v>
      </c>
      <c r="ER540">
        <v>1579.34</v>
      </c>
      <c r="ES540">
        <v>0.03</v>
      </c>
      <c r="ET540">
        <v>0</v>
      </c>
      <c r="EU540">
        <v>0</v>
      </c>
      <c r="EV540">
        <v>1579.31</v>
      </c>
      <c r="EW540">
        <v>2.38</v>
      </c>
      <c r="EX540">
        <v>0</v>
      </c>
      <c r="EY540">
        <v>0</v>
      </c>
      <c r="FQ540">
        <v>0</v>
      </c>
      <c r="FR540">
        <f t="shared" si="495"/>
        <v>0</v>
      </c>
      <c r="FS540">
        <v>0</v>
      </c>
      <c r="FX540">
        <v>70</v>
      </c>
      <c r="FY540">
        <v>10</v>
      </c>
      <c r="GA540" t="s">
        <v>3</v>
      </c>
      <c r="GD540">
        <v>0</v>
      </c>
      <c r="GF540">
        <v>1520162509</v>
      </c>
      <c r="GG540">
        <v>2</v>
      </c>
      <c r="GH540">
        <v>1</v>
      </c>
      <c r="GI540">
        <v>-2</v>
      </c>
      <c r="GJ540">
        <v>0</v>
      </c>
      <c r="GK540">
        <f>ROUND(R540*(R12)/100,2)</f>
        <v>0</v>
      </c>
      <c r="GL540">
        <f t="shared" si="496"/>
        <v>0</v>
      </c>
      <c r="GM540">
        <f t="shared" si="497"/>
        <v>17056.73</v>
      </c>
      <c r="GN540">
        <f t="shared" si="498"/>
        <v>0</v>
      </c>
      <c r="GO540">
        <f t="shared" si="499"/>
        <v>0</v>
      </c>
      <c r="GP540">
        <f t="shared" si="500"/>
        <v>17056.73</v>
      </c>
      <c r="GR540">
        <v>0</v>
      </c>
      <c r="GS540">
        <v>3</v>
      </c>
      <c r="GT540">
        <v>0</v>
      </c>
      <c r="GU540" t="s">
        <v>3</v>
      </c>
      <c r="GV540">
        <f t="shared" si="501"/>
        <v>0</v>
      </c>
      <c r="GW540">
        <v>1</v>
      </c>
      <c r="GX540">
        <f t="shared" si="502"/>
        <v>0</v>
      </c>
      <c r="HA540">
        <v>0</v>
      </c>
      <c r="HB540">
        <v>0</v>
      </c>
      <c r="HC540">
        <f t="shared" si="503"/>
        <v>0</v>
      </c>
      <c r="HE540" t="s">
        <v>3</v>
      </c>
      <c r="HF540" t="s">
        <v>3</v>
      </c>
      <c r="HM540" t="s">
        <v>3</v>
      </c>
      <c r="HN540" t="s">
        <v>3</v>
      </c>
      <c r="HO540" t="s">
        <v>3</v>
      </c>
      <c r="HP540" t="s">
        <v>3</v>
      </c>
      <c r="HQ540" t="s">
        <v>3</v>
      </c>
      <c r="IK540">
        <v>0</v>
      </c>
    </row>
    <row r="541" spans="1:245" x14ac:dyDescent="0.2">
      <c r="A541">
        <v>17</v>
      </c>
      <c r="B541">
        <v>1</v>
      </c>
      <c r="D541">
        <f>ROW(EtalonRes!A409)</f>
        <v>409</v>
      </c>
      <c r="E541" t="s">
        <v>3</v>
      </c>
      <c r="F541" t="s">
        <v>471</v>
      </c>
      <c r="G541" t="s">
        <v>472</v>
      </c>
      <c r="H541" t="s">
        <v>386</v>
      </c>
      <c r="I541">
        <v>3</v>
      </c>
      <c r="J541">
        <v>0</v>
      </c>
      <c r="K541">
        <v>3</v>
      </c>
      <c r="O541">
        <f t="shared" si="471"/>
        <v>4379.82</v>
      </c>
      <c r="P541">
        <f t="shared" si="472"/>
        <v>0.24</v>
      </c>
      <c r="Q541">
        <f t="shared" si="473"/>
        <v>0</v>
      </c>
      <c r="R541">
        <f t="shared" si="474"/>
        <v>0</v>
      </c>
      <c r="S541">
        <f t="shared" si="475"/>
        <v>4379.58</v>
      </c>
      <c r="T541">
        <f t="shared" si="476"/>
        <v>0</v>
      </c>
      <c r="U541">
        <f t="shared" si="477"/>
        <v>6.6000000000000005</v>
      </c>
      <c r="V541">
        <f t="shared" si="478"/>
        <v>0</v>
      </c>
      <c r="W541">
        <f t="shared" si="479"/>
        <v>0</v>
      </c>
      <c r="X541">
        <f t="shared" si="480"/>
        <v>3065.71</v>
      </c>
      <c r="Y541">
        <f t="shared" si="481"/>
        <v>437.96</v>
      </c>
      <c r="AA541">
        <v>-1</v>
      </c>
      <c r="AB541">
        <f t="shared" si="482"/>
        <v>1459.94</v>
      </c>
      <c r="AC541">
        <f>ROUND(((ES541*2)),6)</f>
        <v>0.08</v>
      </c>
      <c r="AD541">
        <f>ROUND((((ET541)-(EU541))+AE541),6)</f>
        <v>0</v>
      </c>
      <c r="AE541">
        <f>ROUND((EU541),6)</f>
        <v>0</v>
      </c>
      <c r="AF541">
        <f>ROUND(((EV541*2)),6)</f>
        <v>1459.86</v>
      </c>
      <c r="AG541">
        <f t="shared" si="483"/>
        <v>0</v>
      </c>
      <c r="AH541">
        <f>((EW541*2))</f>
        <v>2.2000000000000002</v>
      </c>
      <c r="AI541">
        <f>(EX541)</f>
        <v>0</v>
      </c>
      <c r="AJ541">
        <f t="shared" si="484"/>
        <v>0</v>
      </c>
      <c r="AK541">
        <v>729.97</v>
      </c>
      <c r="AL541">
        <v>0.04</v>
      </c>
      <c r="AM541">
        <v>0</v>
      </c>
      <c r="AN541">
        <v>0</v>
      </c>
      <c r="AO541">
        <v>729.93</v>
      </c>
      <c r="AP541">
        <v>0</v>
      </c>
      <c r="AQ541">
        <v>1.1000000000000001</v>
      </c>
      <c r="AR541">
        <v>0</v>
      </c>
      <c r="AS541">
        <v>0</v>
      </c>
      <c r="AT541">
        <v>70</v>
      </c>
      <c r="AU541">
        <v>10</v>
      </c>
      <c r="AV541">
        <v>1</v>
      </c>
      <c r="AW541">
        <v>1</v>
      </c>
      <c r="AZ541">
        <v>1</v>
      </c>
      <c r="BA541">
        <v>1</v>
      </c>
      <c r="BB541">
        <v>1</v>
      </c>
      <c r="BC541">
        <v>1</v>
      </c>
      <c r="BD541" t="s">
        <v>3</v>
      </c>
      <c r="BE541" t="s">
        <v>3</v>
      </c>
      <c r="BF541" t="s">
        <v>3</v>
      </c>
      <c r="BG541" t="s">
        <v>3</v>
      </c>
      <c r="BH541">
        <v>0</v>
      </c>
      <c r="BI541">
        <v>4</v>
      </c>
      <c r="BJ541" t="s">
        <v>473</v>
      </c>
      <c r="BM541">
        <v>0</v>
      </c>
      <c r="BN541">
        <v>0</v>
      </c>
      <c r="BO541" t="s">
        <v>3</v>
      </c>
      <c r="BP541">
        <v>0</v>
      </c>
      <c r="BQ541">
        <v>1</v>
      </c>
      <c r="BR541">
        <v>0</v>
      </c>
      <c r="BS541">
        <v>1</v>
      </c>
      <c r="BT541">
        <v>1</v>
      </c>
      <c r="BU541">
        <v>1</v>
      </c>
      <c r="BV541">
        <v>1</v>
      </c>
      <c r="BW541">
        <v>1</v>
      </c>
      <c r="BX541">
        <v>1</v>
      </c>
      <c r="BY541" t="s">
        <v>3</v>
      </c>
      <c r="BZ541">
        <v>70</v>
      </c>
      <c r="CA541">
        <v>10</v>
      </c>
      <c r="CB541" t="s">
        <v>3</v>
      </c>
      <c r="CE541">
        <v>0</v>
      </c>
      <c r="CF541">
        <v>0</v>
      </c>
      <c r="CG541">
        <v>0</v>
      </c>
      <c r="CM541">
        <v>0</v>
      </c>
      <c r="CN541" t="s">
        <v>3</v>
      </c>
      <c r="CO541">
        <v>0</v>
      </c>
      <c r="CP541">
        <f t="shared" si="485"/>
        <v>4379.82</v>
      </c>
      <c r="CQ541">
        <f t="shared" si="486"/>
        <v>0.08</v>
      </c>
      <c r="CR541">
        <f>((((ET541)*BB541-(EU541)*BS541)+AE541*BS541)*AV541)</f>
        <v>0</v>
      </c>
      <c r="CS541">
        <f t="shared" si="487"/>
        <v>0</v>
      </c>
      <c r="CT541">
        <f t="shared" si="488"/>
        <v>1459.86</v>
      </c>
      <c r="CU541">
        <f t="shared" si="489"/>
        <v>0</v>
      </c>
      <c r="CV541">
        <f t="shared" si="490"/>
        <v>2.2000000000000002</v>
      </c>
      <c r="CW541">
        <f t="shared" si="491"/>
        <v>0</v>
      </c>
      <c r="CX541">
        <f t="shared" si="492"/>
        <v>0</v>
      </c>
      <c r="CY541">
        <f t="shared" si="493"/>
        <v>3065.7059999999997</v>
      </c>
      <c r="CZ541">
        <f t="shared" si="494"/>
        <v>437.95800000000003</v>
      </c>
      <c r="DC541" t="s">
        <v>3</v>
      </c>
      <c r="DD541" t="s">
        <v>28</v>
      </c>
      <c r="DE541" t="s">
        <v>3</v>
      </c>
      <c r="DF541" t="s">
        <v>3</v>
      </c>
      <c r="DG541" t="s">
        <v>28</v>
      </c>
      <c r="DH541" t="s">
        <v>3</v>
      </c>
      <c r="DI541" t="s">
        <v>28</v>
      </c>
      <c r="DJ541" t="s">
        <v>3</v>
      </c>
      <c r="DK541" t="s">
        <v>3</v>
      </c>
      <c r="DL541" t="s">
        <v>3</v>
      </c>
      <c r="DM541" t="s">
        <v>3</v>
      </c>
      <c r="DN541">
        <v>0</v>
      </c>
      <c r="DO541">
        <v>0</v>
      </c>
      <c r="DP541">
        <v>1</v>
      </c>
      <c r="DQ541">
        <v>1</v>
      </c>
      <c r="DU541">
        <v>1013</v>
      </c>
      <c r="DV541" t="s">
        <v>386</v>
      </c>
      <c r="DW541" t="s">
        <v>386</v>
      </c>
      <c r="DX541">
        <v>1</v>
      </c>
      <c r="DZ541" t="s">
        <v>3</v>
      </c>
      <c r="EA541" t="s">
        <v>3</v>
      </c>
      <c r="EB541" t="s">
        <v>3</v>
      </c>
      <c r="EC541" t="s">
        <v>3</v>
      </c>
      <c r="EE541">
        <v>1441815344</v>
      </c>
      <c r="EF541">
        <v>1</v>
      </c>
      <c r="EG541" t="s">
        <v>22</v>
      </c>
      <c r="EH541">
        <v>0</v>
      </c>
      <c r="EI541" t="s">
        <v>3</v>
      </c>
      <c r="EJ541">
        <v>4</v>
      </c>
      <c r="EK541">
        <v>0</v>
      </c>
      <c r="EL541" t="s">
        <v>23</v>
      </c>
      <c r="EM541" t="s">
        <v>24</v>
      </c>
      <c r="EO541" t="s">
        <v>3</v>
      </c>
      <c r="EQ541">
        <v>1024</v>
      </c>
      <c r="ER541">
        <v>729.97</v>
      </c>
      <c r="ES541">
        <v>0.04</v>
      </c>
      <c r="ET541">
        <v>0</v>
      </c>
      <c r="EU541">
        <v>0</v>
      </c>
      <c r="EV541">
        <v>729.93</v>
      </c>
      <c r="EW541">
        <v>1.1000000000000001</v>
      </c>
      <c r="EX541">
        <v>0</v>
      </c>
      <c r="EY541">
        <v>0</v>
      </c>
      <c r="FQ541">
        <v>0</v>
      </c>
      <c r="FR541">
        <f t="shared" si="495"/>
        <v>0</v>
      </c>
      <c r="FS541">
        <v>0</v>
      </c>
      <c r="FX541">
        <v>70</v>
      </c>
      <c r="FY541">
        <v>10</v>
      </c>
      <c r="GA541" t="s">
        <v>3</v>
      </c>
      <c r="GD541">
        <v>0</v>
      </c>
      <c r="GF541">
        <v>-1196827880</v>
      </c>
      <c r="GG541">
        <v>2</v>
      </c>
      <c r="GH541">
        <v>1</v>
      </c>
      <c r="GI541">
        <v>-2</v>
      </c>
      <c r="GJ541">
        <v>0</v>
      </c>
      <c r="GK541">
        <f>ROUND(R541*(R12)/100,2)</f>
        <v>0</v>
      </c>
      <c r="GL541">
        <f t="shared" si="496"/>
        <v>0</v>
      </c>
      <c r="GM541">
        <f t="shared" si="497"/>
        <v>7883.49</v>
      </c>
      <c r="GN541">
        <f t="shared" si="498"/>
        <v>0</v>
      </c>
      <c r="GO541">
        <f t="shared" si="499"/>
        <v>0</v>
      </c>
      <c r="GP541">
        <f t="shared" si="500"/>
        <v>7883.49</v>
      </c>
      <c r="GR541">
        <v>0</v>
      </c>
      <c r="GS541">
        <v>3</v>
      </c>
      <c r="GT541">
        <v>0</v>
      </c>
      <c r="GU541" t="s">
        <v>3</v>
      </c>
      <c r="GV541">
        <f t="shared" si="501"/>
        <v>0</v>
      </c>
      <c r="GW541">
        <v>1</v>
      </c>
      <c r="GX541">
        <f t="shared" si="502"/>
        <v>0</v>
      </c>
      <c r="HA541">
        <v>0</v>
      </c>
      <c r="HB541">
        <v>0</v>
      </c>
      <c r="HC541">
        <f t="shared" si="503"/>
        <v>0</v>
      </c>
      <c r="HE541" t="s">
        <v>3</v>
      </c>
      <c r="HF541" t="s">
        <v>3</v>
      </c>
      <c r="HM541" t="s">
        <v>3</v>
      </c>
      <c r="HN541" t="s">
        <v>3</v>
      </c>
      <c r="HO541" t="s">
        <v>3</v>
      </c>
      <c r="HP541" t="s">
        <v>3</v>
      </c>
      <c r="HQ541" t="s">
        <v>3</v>
      </c>
      <c r="IK541">
        <v>0</v>
      </c>
    </row>
    <row r="542" spans="1:245" x14ac:dyDescent="0.2">
      <c r="A542">
        <v>17</v>
      </c>
      <c r="B542">
        <v>1</v>
      </c>
      <c r="D542">
        <f>ROW(EtalonRes!A419)</f>
        <v>419</v>
      </c>
      <c r="E542" t="s">
        <v>3</v>
      </c>
      <c r="F542" t="s">
        <v>474</v>
      </c>
      <c r="G542" t="s">
        <v>475</v>
      </c>
      <c r="H542" t="s">
        <v>386</v>
      </c>
      <c r="I542">
        <v>3</v>
      </c>
      <c r="J542">
        <v>0</v>
      </c>
      <c r="K542">
        <v>3</v>
      </c>
      <c r="O542">
        <f t="shared" si="471"/>
        <v>46300.13</v>
      </c>
      <c r="P542">
        <f t="shared" si="472"/>
        <v>914.62</v>
      </c>
      <c r="Q542">
        <f t="shared" si="473"/>
        <v>0</v>
      </c>
      <c r="R542">
        <f t="shared" si="474"/>
        <v>0</v>
      </c>
      <c r="S542">
        <f t="shared" si="475"/>
        <v>45385.51</v>
      </c>
      <c r="T542">
        <f t="shared" si="476"/>
        <v>0</v>
      </c>
      <c r="U542">
        <f t="shared" si="477"/>
        <v>73.5</v>
      </c>
      <c r="V542">
        <f t="shared" si="478"/>
        <v>0</v>
      </c>
      <c r="W542">
        <f t="shared" si="479"/>
        <v>0</v>
      </c>
      <c r="X542">
        <f t="shared" si="480"/>
        <v>31769.86</v>
      </c>
      <c r="Y542">
        <f t="shared" si="481"/>
        <v>4538.55</v>
      </c>
      <c r="AA542">
        <v>-1</v>
      </c>
      <c r="AB542">
        <f t="shared" si="482"/>
        <v>15433.376666</v>
      </c>
      <c r="AC542">
        <f>ROUND((((ES542/12)*4)),6)</f>
        <v>304.873333</v>
      </c>
      <c r="AD542">
        <f>ROUND((((((ET542/12)*4))-(((EU542/12)*4)))+AE542),6)</f>
        <v>0</v>
      </c>
      <c r="AE542">
        <f>ROUND((((EU542/12)*4)),6)</f>
        <v>0</v>
      </c>
      <c r="AF542">
        <f>ROUND((((EV542/12)*4)),6)</f>
        <v>15128.503333000001</v>
      </c>
      <c r="AG542">
        <f t="shared" si="483"/>
        <v>0</v>
      </c>
      <c r="AH542">
        <f>(((EW542/12)*4))</f>
        <v>24.5</v>
      </c>
      <c r="AI542">
        <f>(((EX542/12)*4))</f>
        <v>0</v>
      </c>
      <c r="AJ542">
        <f t="shared" si="484"/>
        <v>0</v>
      </c>
      <c r="AK542">
        <v>46300.13</v>
      </c>
      <c r="AL542">
        <v>914.62</v>
      </c>
      <c r="AM542">
        <v>0</v>
      </c>
      <c r="AN542">
        <v>0</v>
      </c>
      <c r="AO542">
        <v>45385.51</v>
      </c>
      <c r="AP542">
        <v>0</v>
      </c>
      <c r="AQ542">
        <v>73.5</v>
      </c>
      <c r="AR542">
        <v>0</v>
      </c>
      <c r="AS542">
        <v>0</v>
      </c>
      <c r="AT542">
        <v>70</v>
      </c>
      <c r="AU542">
        <v>10</v>
      </c>
      <c r="AV542">
        <v>1</v>
      </c>
      <c r="AW542">
        <v>1</v>
      </c>
      <c r="AZ542">
        <v>1</v>
      </c>
      <c r="BA542">
        <v>1</v>
      </c>
      <c r="BB542">
        <v>1</v>
      </c>
      <c r="BC542">
        <v>1</v>
      </c>
      <c r="BD542" t="s">
        <v>3</v>
      </c>
      <c r="BE542" t="s">
        <v>3</v>
      </c>
      <c r="BF542" t="s">
        <v>3</v>
      </c>
      <c r="BG542" t="s">
        <v>3</v>
      </c>
      <c r="BH542">
        <v>0</v>
      </c>
      <c r="BI542">
        <v>4</v>
      </c>
      <c r="BJ542" t="s">
        <v>476</v>
      </c>
      <c r="BM542">
        <v>0</v>
      </c>
      <c r="BN542">
        <v>0</v>
      </c>
      <c r="BO542" t="s">
        <v>3</v>
      </c>
      <c r="BP542">
        <v>0</v>
      </c>
      <c r="BQ542">
        <v>1</v>
      </c>
      <c r="BR542">
        <v>0</v>
      </c>
      <c r="BS542">
        <v>1</v>
      </c>
      <c r="BT542">
        <v>1</v>
      </c>
      <c r="BU542">
        <v>1</v>
      </c>
      <c r="BV542">
        <v>1</v>
      </c>
      <c r="BW542">
        <v>1</v>
      </c>
      <c r="BX542">
        <v>1</v>
      </c>
      <c r="BY542" t="s">
        <v>3</v>
      </c>
      <c r="BZ542">
        <v>70</v>
      </c>
      <c r="CA542">
        <v>10</v>
      </c>
      <c r="CB542" t="s">
        <v>3</v>
      </c>
      <c r="CE542">
        <v>0</v>
      </c>
      <c r="CF542">
        <v>0</v>
      </c>
      <c r="CG542">
        <v>0</v>
      </c>
      <c r="CM542">
        <v>0</v>
      </c>
      <c r="CN542" t="s">
        <v>3</v>
      </c>
      <c r="CO542">
        <v>0</v>
      </c>
      <c r="CP542">
        <f t="shared" si="485"/>
        <v>46300.130000000005</v>
      </c>
      <c r="CQ542">
        <f t="shared" si="486"/>
        <v>304.873333</v>
      </c>
      <c r="CR542">
        <f>((((((ET542/12)*4))*BB542-(((EU542/12)*4))*BS542)+AE542*BS542)*AV542)</f>
        <v>0</v>
      </c>
      <c r="CS542">
        <f t="shared" si="487"/>
        <v>0</v>
      </c>
      <c r="CT542">
        <f t="shared" si="488"/>
        <v>15128.503333000001</v>
      </c>
      <c r="CU542">
        <f t="shared" si="489"/>
        <v>0</v>
      </c>
      <c r="CV542">
        <f t="shared" si="490"/>
        <v>24.5</v>
      </c>
      <c r="CW542">
        <f t="shared" si="491"/>
        <v>0</v>
      </c>
      <c r="CX542">
        <f t="shared" si="492"/>
        <v>0</v>
      </c>
      <c r="CY542">
        <f t="shared" si="493"/>
        <v>31769.857000000004</v>
      </c>
      <c r="CZ542">
        <f t="shared" si="494"/>
        <v>4538.5510000000004</v>
      </c>
      <c r="DC542" t="s">
        <v>3</v>
      </c>
      <c r="DD542" t="s">
        <v>477</v>
      </c>
      <c r="DE542" t="s">
        <v>477</v>
      </c>
      <c r="DF542" t="s">
        <v>477</v>
      </c>
      <c r="DG542" t="s">
        <v>477</v>
      </c>
      <c r="DH542" t="s">
        <v>3</v>
      </c>
      <c r="DI542" t="s">
        <v>477</v>
      </c>
      <c r="DJ542" t="s">
        <v>477</v>
      </c>
      <c r="DK542" t="s">
        <v>3</v>
      </c>
      <c r="DL542" t="s">
        <v>3</v>
      </c>
      <c r="DM542" t="s">
        <v>3</v>
      </c>
      <c r="DN542">
        <v>0</v>
      </c>
      <c r="DO542">
        <v>0</v>
      </c>
      <c r="DP542">
        <v>1</v>
      </c>
      <c r="DQ542">
        <v>1</v>
      </c>
      <c r="DU542">
        <v>1013</v>
      </c>
      <c r="DV542" t="s">
        <v>386</v>
      </c>
      <c r="DW542" t="s">
        <v>386</v>
      </c>
      <c r="DX542">
        <v>1</v>
      </c>
      <c r="DZ542" t="s">
        <v>3</v>
      </c>
      <c r="EA542" t="s">
        <v>3</v>
      </c>
      <c r="EB542" t="s">
        <v>3</v>
      </c>
      <c r="EC542" t="s">
        <v>3</v>
      </c>
      <c r="EE542">
        <v>1441815344</v>
      </c>
      <c r="EF542">
        <v>1</v>
      </c>
      <c r="EG542" t="s">
        <v>22</v>
      </c>
      <c r="EH542">
        <v>0</v>
      </c>
      <c r="EI542" t="s">
        <v>3</v>
      </c>
      <c r="EJ542">
        <v>4</v>
      </c>
      <c r="EK542">
        <v>0</v>
      </c>
      <c r="EL542" t="s">
        <v>23</v>
      </c>
      <c r="EM542" t="s">
        <v>24</v>
      </c>
      <c r="EO542" t="s">
        <v>3</v>
      </c>
      <c r="EQ542">
        <v>1049600</v>
      </c>
      <c r="ER542">
        <v>46300.13</v>
      </c>
      <c r="ES542">
        <v>914.62</v>
      </c>
      <c r="ET542">
        <v>0</v>
      </c>
      <c r="EU542">
        <v>0</v>
      </c>
      <c r="EV542">
        <v>45385.51</v>
      </c>
      <c r="EW542">
        <v>73.5</v>
      </c>
      <c r="EX542">
        <v>0</v>
      </c>
      <c r="EY542">
        <v>0</v>
      </c>
      <c r="FQ542">
        <v>0</v>
      </c>
      <c r="FR542">
        <f t="shared" si="495"/>
        <v>0</v>
      </c>
      <c r="FS542">
        <v>0</v>
      </c>
      <c r="FX542">
        <v>70</v>
      </c>
      <c r="FY542">
        <v>10</v>
      </c>
      <c r="GA542" t="s">
        <v>3</v>
      </c>
      <c r="GD542">
        <v>0</v>
      </c>
      <c r="GF542">
        <v>-126011200</v>
      </c>
      <c r="GG542">
        <v>2</v>
      </c>
      <c r="GH542">
        <v>1</v>
      </c>
      <c r="GI542">
        <v>-2</v>
      </c>
      <c r="GJ542">
        <v>0</v>
      </c>
      <c r="GK542">
        <f>ROUND(R542*(R12)/100,2)</f>
        <v>0</v>
      </c>
      <c r="GL542">
        <f t="shared" si="496"/>
        <v>0</v>
      </c>
      <c r="GM542">
        <f t="shared" si="497"/>
        <v>82608.539999999994</v>
      </c>
      <c r="GN542">
        <f t="shared" si="498"/>
        <v>0</v>
      </c>
      <c r="GO542">
        <f t="shared" si="499"/>
        <v>0</v>
      </c>
      <c r="GP542">
        <f t="shared" si="500"/>
        <v>82608.539999999994</v>
      </c>
      <c r="GR542">
        <v>0</v>
      </c>
      <c r="GS542">
        <v>3</v>
      </c>
      <c r="GT542">
        <v>0</v>
      </c>
      <c r="GU542" t="s">
        <v>3</v>
      </c>
      <c r="GV542">
        <f t="shared" si="501"/>
        <v>0</v>
      </c>
      <c r="GW542">
        <v>1</v>
      </c>
      <c r="GX542">
        <f t="shared" si="502"/>
        <v>0</v>
      </c>
      <c r="HA542">
        <v>0</v>
      </c>
      <c r="HB542">
        <v>0</v>
      </c>
      <c r="HC542">
        <f t="shared" si="503"/>
        <v>0</v>
      </c>
      <c r="HE542" t="s">
        <v>3</v>
      </c>
      <c r="HF542" t="s">
        <v>3</v>
      </c>
      <c r="HM542" t="s">
        <v>3</v>
      </c>
      <c r="HN542" t="s">
        <v>3</v>
      </c>
      <c r="HO542" t="s">
        <v>3</v>
      </c>
      <c r="HP542" t="s">
        <v>3</v>
      </c>
      <c r="HQ542" t="s">
        <v>3</v>
      </c>
      <c r="IK542">
        <v>0</v>
      </c>
    </row>
    <row r="543" spans="1:245" x14ac:dyDescent="0.2">
      <c r="A543">
        <v>17</v>
      </c>
      <c r="B543">
        <v>1</v>
      </c>
      <c r="D543">
        <f>ROW(EtalonRes!A425)</f>
        <v>425</v>
      </c>
      <c r="E543" t="s">
        <v>3</v>
      </c>
      <c r="F543" t="s">
        <v>478</v>
      </c>
      <c r="G543" t="s">
        <v>479</v>
      </c>
      <c r="H543" t="s">
        <v>480</v>
      </c>
      <c r="I543">
        <f>ROUND((12562.37)/100,9)</f>
        <v>125.6237</v>
      </c>
      <c r="J543">
        <v>0</v>
      </c>
      <c r="K543">
        <f>ROUND((12562.37)/100,9)</f>
        <v>125.6237</v>
      </c>
      <c r="O543">
        <f t="shared" si="471"/>
        <v>1432612.67</v>
      </c>
      <c r="P543">
        <f t="shared" si="472"/>
        <v>592.94000000000005</v>
      </c>
      <c r="Q543">
        <f t="shared" si="473"/>
        <v>565155.9</v>
      </c>
      <c r="R543">
        <f t="shared" si="474"/>
        <v>344339.59</v>
      </c>
      <c r="S543">
        <f t="shared" si="475"/>
        <v>866863.83</v>
      </c>
      <c r="T543">
        <f t="shared" si="476"/>
        <v>0</v>
      </c>
      <c r="U543">
        <f t="shared" si="477"/>
        <v>1649.4391810000002</v>
      </c>
      <c r="V543">
        <f t="shared" si="478"/>
        <v>0</v>
      </c>
      <c r="W543">
        <f t="shared" si="479"/>
        <v>0</v>
      </c>
      <c r="X543">
        <f t="shared" si="480"/>
        <v>606804.68000000005</v>
      </c>
      <c r="Y543">
        <f t="shared" si="481"/>
        <v>86686.38</v>
      </c>
      <c r="AA543">
        <v>-1</v>
      </c>
      <c r="AB543">
        <f t="shared" si="482"/>
        <v>11404</v>
      </c>
      <c r="AC543">
        <f>ROUND((ES543),6)</f>
        <v>4.72</v>
      </c>
      <c r="AD543">
        <f>ROUND((((ET543)-(EU543))+AE543),6)</f>
        <v>4498.8</v>
      </c>
      <c r="AE543">
        <f>ROUND((EU543),6)</f>
        <v>2741.04</v>
      </c>
      <c r="AF543">
        <f>ROUND((EV543),6)</f>
        <v>6900.48</v>
      </c>
      <c r="AG543">
        <f t="shared" si="483"/>
        <v>0</v>
      </c>
      <c r="AH543">
        <f>(EW543)</f>
        <v>13.13</v>
      </c>
      <c r="AI543">
        <f>(EX543)</f>
        <v>0</v>
      </c>
      <c r="AJ543">
        <f t="shared" si="484"/>
        <v>0</v>
      </c>
      <c r="AK543">
        <v>11404</v>
      </c>
      <c r="AL543">
        <v>4.72</v>
      </c>
      <c r="AM543">
        <v>4498.8</v>
      </c>
      <c r="AN543">
        <v>2741.04</v>
      </c>
      <c r="AO543">
        <v>6900.48</v>
      </c>
      <c r="AP543">
        <v>0</v>
      </c>
      <c r="AQ543">
        <v>13.13</v>
      </c>
      <c r="AR543">
        <v>0</v>
      </c>
      <c r="AS543">
        <v>0</v>
      </c>
      <c r="AT543">
        <v>70</v>
      </c>
      <c r="AU543">
        <v>10</v>
      </c>
      <c r="AV543">
        <v>1</v>
      </c>
      <c r="AW543">
        <v>1</v>
      </c>
      <c r="AZ543">
        <v>1</v>
      </c>
      <c r="BA543">
        <v>1</v>
      </c>
      <c r="BB543">
        <v>1</v>
      </c>
      <c r="BC543">
        <v>1</v>
      </c>
      <c r="BD543" t="s">
        <v>3</v>
      </c>
      <c r="BE543" t="s">
        <v>3</v>
      </c>
      <c r="BF543" t="s">
        <v>3</v>
      </c>
      <c r="BG543" t="s">
        <v>3</v>
      </c>
      <c r="BH543">
        <v>0</v>
      </c>
      <c r="BI543">
        <v>4</v>
      </c>
      <c r="BJ543" t="s">
        <v>481</v>
      </c>
      <c r="BM543">
        <v>0</v>
      </c>
      <c r="BN543">
        <v>0</v>
      </c>
      <c r="BO543" t="s">
        <v>3</v>
      </c>
      <c r="BP543">
        <v>0</v>
      </c>
      <c r="BQ543">
        <v>1</v>
      </c>
      <c r="BR543">
        <v>0</v>
      </c>
      <c r="BS543">
        <v>1</v>
      </c>
      <c r="BT543">
        <v>1</v>
      </c>
      <c r="BU543">
        <v>1</v>
      </c>
      <c r="BV543">
        <v>1</v>
      </c>
      <c r="BW543">
        <v>1</v>
      </c>
      <c r="BX543">
        <v>1</v>
      </c>
      <c r="BY543" t="s">
        <v>3</v>
      </c>
      <c r="BZ543">
        <v>70</v>
      </c>
      <c r="CA543">
        <v>10</v>
      </c>
      <c r="CB543" t="s">
        <v>3</v>
      </c>
      <c r="CE543">
        <v>0</v>
      </c>
      <c r="CF543">
        <v>0</v>
      </c>
      <c r="CG543">
        <v>0</v>
      </c>
      <c r="CM543">
        <v>0</v>
      </c>
      <c r="CN543" t="s">
        <v>3</v>
      </c>
      <c r="CO543">
        <v>0</v>
      </c>
      <c r="CP543">
        <f t="shared" si="485"/>
        <v>1432612.67</v>
      </c>
      <c r="CQ543">
        <f t="shared" si="486"/>
        <v>4.72</v>
      </c>
      <c r="CR543">
        <f>((((ET543)*BB543-(EU543)*BS543)+AE543*BS543)*AV543)</f>
        <v>4498.8</v>
      </c>
      <c r="CS543">
        <f t="shared" si="487"/>
        <v>2741.04</v>
      </c>
      <c r="CT543">
        <f t="shared" si="488"/>
        <v>6900.48</v>
      </c>
      <c r="CU543">
        <f t="shared" si="489"/>
        <v>0</v>
      </c>
      <c r="CV543">
        <f t="shared" si="490"/>
        <v>13.13</v>
      </c>
      <c r="CW543">
        <f t="shared" si="491"/>
        <v>0</v>
      </c>
      <c r="CX543">
        <f t="shared" si="492"/>
        <v>0</v>
      </c>
      <c r="CY543">
        <f t="shared" si="493"/>
        <v>606804.68099999998</v>
      </c>
      <c r="CZ543">
        <f t="shared" si="494"/>
        <v>86686.382999999987</v>
      </c>
      <c r="DC543" t="s">
        <v>3</v>
      </c>
      <c r="DD543" t="s">
        <v>3</v>
      </c>
      <c r="DE543" t="s">
        <v>3</v>
      </c>
      <c r="DF543" t="s">
        <v>3</v>
      </c>
      <c r="DG543" t="s">
        <v>3</v>
      </c>
      <c r="DH543" t="s">
        <v>3</v>
      </c>
      <c r="DI543" t="s">
        <v>3</v>
      </c>
      <c r="DJ543" t="s">
        <v>3</v>
      </c>
      <c r="DK543" t="s">
        <v>3</v>
      </c>
      <c r="DL543" t="s">
        <v>3</v>
      </c>
      <c r="DM543" t="s">
        <v>3</v>
      </c>
      <c r="DN543">
        <v>0</v>
      </c>
      <c r="DO543">
        <v>0</v>
      </c>
      <c r="DP543">
        <v>1</v>
      </c>
      <c r="DQ543">
        <v>1</v>
      </c>
      <c r="DU543">
        <v>1005</v>
      </c>
      <c r="DV543" t="s">
        <v>480</v>
      </c>
      <c r="DW543" t="s">
        <v>480</v>
      </c>
      <c r="DX543">
        <v>100</v>
      </c>
      <c r="DZ543" t="s">
        <v>3</v>
      </c>
      <c r="EA543" t="s">
        <v>3</v>
      </c>
      <c r="EB543" t="s">
        <v>3</v>
      </c>
      <c r="EC543" t="s">
        <v>3</v>
      </c>
      <c r="EE543">
        <v>1441815344</v>
      </c>
      <c r="EF543">
        <v>1</v>
      </c>
      <c r="EG543" t="s">
        <v>22</v>
      </c>
      <c r="EH543">
        <v>0</v>
      </c>
      <c r="EI543" t="s">
        <v>3</v>
      </c>
      <c r="EJ543">
        <v>4</v>
      </c>
      <c r="EK543">
        <v>0</v>
      </c>
      <c r="EL543" t="s">
        <v>23</v>
      </c>
      <c r="EM543" t="s">
        <v>24</v>
      </c>
      <c r="EO543" t="s">
        <v>3</v>
      </c>
      <c r="EQ543">
        <v>1311744</v>
      </c>
      <c r="ER543">
        <v>11404</v>
      </c>
      <c r="ES543">
        <v>4.72</v>
      </c>
      <c r="ET543">
        <v>4498.8</v>
      </c>
      <c r="EU543">
        <v>2741.04</v>
      </c>
      <c r="EV543">
        <v>6900.48</v>
      </c>
      <c r="EW543">
        <v>13.13</v>
      </c>
      <c r="EX543">
        <v>0</v>
      </c>
      <c r="EY543">
        <v>0</v>
      </c>
      <c r="FQ543">
        <v>0</v>
      </c>
      <c r="FR543">
        <f t="shared" si="495"/>
        <v>0</v>
      </c>
      <c r="FS543">
        <v>0</v>
      </c>
      <c r="FX543">
        <v>70</v>
      </c>
      <c r="FY543">
        <v>10</v>
      </c>
      <c r="GA543" t="s">
        <v>3</v>
      </c>
      <c r="GD543">
        <v>0</v>
      </c>
      <c r="GF543">
        <v>-1858475948</v>
      </c>
      <c r="GG543">
        <v>2</v>
      </c>
      <c r="GH543">
        <v>1</v>
      </c>
      <c r="GI543">
        <v>-2</v>
      </c>
      <c r="GJ543">
        <v>0</v>
      </c>
      <c r="GK543">
        <f>ROUND(R543*(R12)/100,2)</f>
        <v>371886.76</v>
      </c>
      <c r="GL543">
        <f t="shared" si="496"/>
        <v>0</v>
      </c>
      <c r="GM543">
        <f t="shared" si="497"/>
        <v>2497990.4900000002</v>
      </c>
      <c r="GN543">
        <f t="shared" si="498"/>
        <v>0</v>
      </c>
      <c r="GO543">
        <f t="shared" si="499"/>
        <v>0</v>
      </c>
      <c r="GP543">
        <f t="shared" si="500"/>
        <v>2497990.4900000002</v>
      </c>
      <c r="GR543">
        <v>0</v>
      </c>
      <c r="GS543">
        <v>3</v>
      </c>
      <c r="GT543">
        <v>0</v>
      </c>
      <c r="GU543" t="s">
        <v>3</v>
      </c>
      <c r="GV543">
        <f t="shared" si="501"/>
        <v>0</v>
      </c>
      <c r="GW543">
        <v>1</v>
      </c>
      <c r="GX543">
        <f t="shared" si="502"/>
        <v>0</v>
      </c>
      <c r="HA543">
        <v>0</v>
      </c>
      <c r="HB543">
        <v>0</v>
      </c>
      <c r="HC543">
        <f t="shared" si="503"/>
        <v>0</v>
      </c>
      <c r="HE543" t="s">
        <v>3</v>
      </c>
      <c r="HF543" t="s">
        <v>3</v>
      </c>
      <c r="HM543" t="s">
        <v>3</v>
      </c>
      <c r="HN543" t="s">
        <v>3</v>
      </c>
      <c r="HO543" t="s">
        <v>3</v>
      </c>
      <c r="HP543" t="s">
        <v>3</v>
      </c>
      <c r="HQ543" t="s">
        <v>3</v>
      </c>
      <c r="IK543">
        <v>0</v>
      </c>
    </row>
    <row r="544" spans="1:245" x14ac:dyDescent="0.2">
      <c r="A544">
        <v>17</v>
      </c>
      <c r="B544">
        <v>1</v>
      </c>
      <c r="D544">
        <f>ROW(EtalonRes!A430)</f>
        <v>430</v>
      </c>
      <c r="E544" t="s">
        <v>3</v>
      </c>
      <c r="F544" t="s">
        <v>482</v>
      </c>
      <c r="G544" t="s">
        <v>483</v>
      </c>
      <c r="H544" t="s">
        <v>480</v>
      </c>
      <c r="I544">
        <f>ROUND(12562.37/100,9)</f>
        <v>125.6237</v>
      </c>
      <c r="J544">
        <v>0</v>
      </c>
      <c r="K544">
        <f>ROUND(12562.37/100,9)</f>
        <v>125.6237</v>
      </c>
      <c r="O544">
        <f t="shared" si="471"/>
        <v>226220.65</v>
      </c>
      <c r="P544">
        <f t="shared" si="472"/>
        <v>2051.44</v>
      </c>
      <c r="Q544">
        <f t="shared" si="473"/>
        <v>85450.5</v>
      </c>
      <c r="R544">
        <f t="shared" si="474"/>
        <v>53975.48</v>
      </c>
      <c r="S544">
        <f t="shared" si="475"/>
        <v>138718.71</v>
      </c>
      <c r="T544">
        <f t="shared" si="476"/>
        <v>0</v>
      </c>
      <c r="U544">
        <f t="shared" si="477"/>
        <v>263.80977000000001</v>
      </c>
      <c r="V544">
        <f t="shared" si="478"/>
        <v>0</v>
      </c>
      <c r="W544">
        <f t="shared" si="479"/>
        <v>0</v>
      </c>
      <c r="X544">
        <f t="shared" si="480"/>
        <v>97103.1</v>
      </c>
      <c r="Y544">
        <f t="shared" si="481"/>
        <v>13871.87</v>
      </c>
      <c r="AA544">
        <v>-1</v>
      </c>
      <c r="AB544">
        <f t="shared" si="482"/>
        <v>1800.78</v>
      </c>
      <c r="AC544">
        <f>ROUND((ES544),6)</f>
        <v>16.329999999999998</v>
      </c>
      <c r="AD544">
        <f>ROUND((((ET544)-(EU544))+AE544),6)</f>
        <v>680.21</v>
      </c>
      <c r="AE544">
        <f>ROUND((EU544),6)</f>
        <v>429.66</v>
      </c>
      <c r="AF544">
        <f>ROUND((EV544),6)</f>
        <v>1104.24</v>
      </c>
      <c r="AG544">
        <f t="shared" si="483"/>
        <v>0</v>
      </c>
      <c r="AH544">
        <f>(EW544)</f>
        <v>2.1</v>
      </c>
      <c r="AI544">
        <f>(EX544)</f>
        <v>0</v>
      </c>
      <c r="AJ544">
        <f t="shared" si="484"/>
        <v>0</v>
      </c>
      <c r="AK544">
        <v>1800.78</v>
      </c>
      <c r="AL544">
        <v>16.329999999999998</v>
      </c>
      <c r="AM544">
        <v>680.21</v>
      </c>
      <c r="AN544">
        <v>429.66</v>
      </c>
      <c r="AO544">
        <v>1104.24</v>
      </c>
      <c r="AP544">
        <v>0</v>
      </c>
      <c r="AQ544">
        <v>2.1</v>
      </c>
      <c r="AR544">
        <v>0</v>
      </c>
      <c r="AS544">
        <v>0</v>
      </c>
      <c r="AT544">
        <v>70</v>
      </c>
      <c r="AU544">
        <v>10</v>
      </c>
      <c r="AV544">
        <v>1</v>
      </c>
      <c r="AW544">
        <v>1</v>
      </c>
      <c r="AZ544">
        <v>1</v>
      </c>
      <c r="BA544">
        <v>1</v>
      </c>
      <c r="BB544">
        <v>1</v>
      </c>
      <c r="BC544">
        <v>1</v>
      </c>
      <c r="BD544" t="s">
        <v>3</v>
      </c>
      <c r="BE544" t="s">
        <v>3</v>
      </c>
      <c r="BF544" t="s">
        <v>3</v>
      </c>
      <c r="BG544" t="s">
        <v>3</v>
      </c>
      <c r="BH544">
        <v>0</v>
      </c>
      <c r="BI544">
        <v>4</v>
      </c>
      <c r="BJ544" t="s">
        <v>484</v>
      </c>
      <c r="BM544">
        <v>0</v>
      </c>
      <c r="BN544">
        <v>0</v>
      </c>
      <c r="BO544" t="s">
        <v>3</v>
      </c>
      <c r="BP544">
        <v>0</v>
      </c>
      <c r="BQ544">
        <v>1</v>
      </c>
      <c r="BR544">
        <v>0</v>
      </c>
      <c r="BS544">
        <v>1</v>
      </c>
      <c r="BT544">
        <v>1</v>
      </c>
      <c r="BU544">
        <v>1</v>
      </c>
      <c r="BV544">
        <v>1</v>
      </c>
      <c r="BW544">
        <v>1</v>
      </c>
      <c r="BX544">
        <v>1</v>
      </c>
      <c r="BY544" t="s">
        <v>3</v>
      </c>
      <c r="BZ544">
        <v>70</v>
      </c>
      <c r="CA544">
        <v>10</v>
      </c>
      <c r="CB544" t="s">
        <v>3</v>
      </c>
      <c r="CE544">
        <v>0</v>
      </c>
      <c r="CF544">
        <v>0</v>
      </c>
      <c r="CG544">
        <v>0</v>
      </c>
      <c r="CM544">
        <v>0</v>
      </c>
      <c r="CN544" t="s">
        <v>3</v>
      </c>
      <c r="CO544">
        <v>0</v>
      </c>
      <c r="CP544">
        <f t="shared" si="485"/>
        <v>226220.65</v>
      </c>
      <c r="CQ544">
        <f t="shared" si="486"/>
        <v>16.329999999999998</v>
      </c>
      <c r="CR544">
        <f>((((ET544)*BB544-(EU544)*BS544)+AE544*BS544)*AV544)</f>
        <v>680.21</v>
      </c>
      <c r="CS544">
        <f t="shared" si="487"/>
        <v>429.66</v>
      </c>
      <c r="CT544">
        <f t="shared" si="488"/>
        <v>1104.24</v>
      </c>
      <c r="CU544">
        <f t="shared" si="489"/>
        <v>0</v>
      </c>
      <c r="CV544">
        <f t="shared" si="490"/>
        <v>2.1</v>
      </c>
      <c r="CW544">
        <f t="shared" si="491"/>
        <v>0</v>
      </c>
      <c r="CX544">
        <f t="shared" si="492"/>
        <v>0</v>
      </c>
      <c r="CY544">
        <f t="shared" si="493"/>
        <v>97103.096999999994</v>
      </c>
      <c r="CZ544">
        <f t="shared" si="494"/>
        <v>13871.870999999999</v>
      </c>
      <c r="DC544" t="s">
        <v>3</v>
      </c>
      <c r="DD544" t="s">
        <v>3</v>
      </c>
      <c r="DE544" t="s">
        <v>3</v>
      </c>
      <c r="DF544" t="s">
        <v>3</v>
      </c>
      <c r="DG544" t="s">
        <v>3</v>
      </c>
      <c r="DH544" t="s">
        <v>3</v>
      </c>
      <c r="DI544" t="s">
        <v>3</v>
      </c>
      <c r="DJ544" t="s">
        <v>3</v>
      </c>
      <c r="DK544" t="s">
        <v>3</v>
      </c>
      <c r="DL544" t="s">
        <v>3</v>
      </c>
      <c r="DM544" t="s">
        <v>3</v>
      </c>
      <c r="DN544">
        <v>0</v>
      </c>
      <c r="DO544">
        <v>0</v>
      </c>
      <c r="DP544">
        <v>1</v>
      </c>
      <c r="DQ544">
        <v>1</v>
      </c>
      <c r="DU544">
        <v>1005</v>
      </c>
      <c r="DV544" t="s">
        <v>480</v>
      </c>
      <c r="DW544" t="s">
        <v>480</v>
      </c>
      <c r="DX544">
        <v>100</v>
      </c>
      <c r="DZ544" t="s">
        <v>3</v>
      </c>
      <c r="EA544" t="s">
        <v>3</v>
      </c>
      <c r="EB544" t="s">
        <v>3</v>
      </c>
      <c r="EC544" t="s">
        <v>3</v>
      </c>
      <c r="EE544">
        <v>1441815344</v>
      </c>
      <c r="EF544">
        <v>1</v>
      </c>
      <c r="EG544" t="s">
        <v>22</v>
      </c>
      <c r="EH544">
        <v>0</v>
      </c>
      <c r="EI544" t="s">
        <v>3</v>
      </c>
      <c r="EJ544">
        <v>4</v>
      </c>
      <c r="EK544">
        <v>0</v>
      </c>
      <c r="EL544" t="s">
        <v>23</v>
      </c>
      <c r="EM544" t="s">
        <v>24</v>
      </c>
      <c r="EO544" t="s">
        <v>3</v>
      </c>
      <c r="EQ544">
        <v>1311744</v>
      </c>
      <c r="ER544">
        <v>1800.78</v>
      </c>
      <c r="ES544">
        <v>16.329999999999998</v>
      </c>
      <c r="ET544">
        <v>680.21</v>
      </c>
      <c r="EU544">
        <v>429.66</v>
      </c>
      <c r="EV544">
        <v>1104.24</v>
      </c>
      <c r="EW544">
        <v>2.1</v>
      </c>
      <c r="EX544">
        <v>0</v>
      </c>
      <c r="EY544">
        <v>0</v>
      </c>
      <c r="FQ544">
        <v>0</v>
      </c>
      <c r="FR544">
        <f t="shared" si="495"/>
        <v>0</v>
      </c>
      <c r="FS544">
        <v>0</v>
      </c>
      <c r="FX544">
        <v>70</v>
      </c>
      <c r="FY544">
        <v>10</v>
      </c>
      <c r="GA544" t="s">
        <v>3</v>
      </c>
      <c r="GD544">
        <v>0</v>
      </c>
      <c r="GF544">
        <v>-1860406526</v>
      </c>
      <c r="GG544">
        <v>2</v>
      </c>
      <c r="GH544">
        <v>1</v>
      </c>
      <c r="GI544">
        <v>-2</v>
      </c>
      <c r="GJ544">
        <v>0</v>
      </c>
      <c r="GK544">
        <f>ROUND(R544*(R12)/100,2)</f>
        <v>58293.52</v>
      </c>
      <c r="GL544">
        <f t="shared" si="496"/>
        <v>0</v>
      </c>
      <c r="GM544">
        <f t="shared" si="497"/>
        <v>395489.14</v>
      </c>
      <c r="GN544">
        <f t="shared" si="498"/>
        <v>0</v>
      </c>
      <c r="GO544">
        <f t="shared" si="499"/>
        <v>0</v>
      </c>
      <c r="GP544">
        <f t="shared" si="500"/>
        <v>395489.14</v>
      </c>
      <c r="GR544">
        <v>0</v>
      </c>
      <c r="GS544">
        <v>3</v>
      </c>
      <c r="GT544">
        <v>0</v>
      </c>
      <c r="GU544" t="s">
        <v>3</v>
      </c>
      <c r="GV544">
        <f t="shared" si="501"/>
        <v>0</v>
      </c>
      <c r="GW544">
        <v>1</v>
      </c>
      <c r="GX544">
        <f t="shared" si="502"/>
        <v>0</v>
      </c>
      <c r="HA544">
        <v>0</v>
      </c>
      <c r="HB544">
        <v>0</v>
      </c>
      <c r="HC544">
        <f t="shared" si="503"/>
        <v>0</v>
      </c>
      <c r="HE544" t="s">
        <v>3</v>
      </c>
      <c r="HF544" t="s">
        <v>3</v>
      </c>
      <c r="HM544" t="s">
        <v>3</v>
      </c>
      <c r="HN544" t="s">
        <v>3</v>
      </c>
      <c r="HO544" t="s">
        <v>3</v>
      </c>
      <c r="HP544" t="s">
        <v>3</v>
      </c>
      <c r="HQ544" t="s">
        <v>3</v>
      </c>
      <c r="IK544">
        <v>0</v>
      </c>
    </row>
    <row r="545" spans="1:245" x14ac:dyDescent="0.2">
      <c r="A545">
        <v>17</v>
      </c>
      <c r="B545">
        <v>1</v>
      </c>
      <c r="D545">
        <f>ROW(EtalonRes!A431)</f>
        <v>431</v>
      </c>
      <c r="E545" t="s">
        <v>3</v>
      </c>
      <c r="F545" t="s">
        <v>485</v>
      </c>
      <c r="G545" t="s">
        <v>486</v>
      </c>
      <c r="H545" t="s">
        <v>20</v>
      </c>
      <c r="I545">
        <f>ROUND(ROUND(62+106+49+128,9),9)</f>
        <v>345</v>
      </c>
      <c r="J545">
        <v>0</v>
      </c>
      <c r="K545">
        <f>ROUND(ROUND(62+106+49+128,9),9)</f>
        <v>345</v>
      </c>
      <c r="O545">
        <f t="shared" si="471"/>
        <v>142947.29999999999</v>
      </c>
      <c r="P545">
        <f t="shared" si="472"/>
        <v>0</v>
      </c>
      <c r="Q545">
        <f t="shared" si="473"/>
        <v>0</v>
      </c>
      <c r="R545">
        <f t="shared" si="474"/>
        <v>0</v>
      </c>
      <c r="S545">
        <f t="shared" si="475"/>
        <v>142947.29999999999</v>
      </c>
      <c r="T545">
        <f t="shared" si="476"/>
        <v>0</v>
      </c>
      <c r="U545">
        <f t="shared" si="477"/>
        <v>276</v>
      </c>
      <c r="V545">
        <f t="shared" si="478"/>
        <v>0</v>
      </c>
      <c r="W545">
        <f t="shared" si="479"/>
        <v>0</v>
      </c>
      <c r="X545">
        <f t="shared" si="480"/>
        <v>100063.11</v>
      </c>
      <c r="Y545">
        <f t="shared" si="481"/>
        <v>14294.73</v>
      </c>
      <c r="AA545">
        <v>-1</v>
      </c>
      <c r="AB545">
        <f t="shared" si="482"/>
        <v>414.34</v>
      </c>
      <c r="AC545">
        <f>ROUND(((ES545*2)),6)</f>
        <v>0</v>
      </c>
      <c r="AD545">
        <f>ROUND(((((ET545*2))-((EU545*2)))+AE545),6)</f>
        <v>0</v>
      </c>
      <c r="AE545">
        <f>ROUND(((EU545*2)),6)</f>
        <v>0</v>
      </c>
      <c r="AF545">
        <f>ROUND(((EV545*2)),6)</f>
        <v>414.34</v>
      </c>
      <c r="AG545">
        <f t="shared" si="483"/>
        <v>0</v>
      </c>
      <c r="AH545">
        <f>((EW545*2))</f>
        <v>0.8</v>
      </c>
      <c r="AI545">
        <f>((EX545*2))</f>
        <v>0</v>
      </c>
      <c r="AJ545">
        <f t="shared" si="484"/>
        <v>0</v>
      </c>
      <c r="AK545">
        <v>207.17</v>
      </c>
      <c r="AL545">
        <v>0</v>
      </c>
      <c r="AM545">
        <v>0</v>
      </c>
      <c r="AN545">
        <v>0</v>
      </c>
      <c r="AO545">
        <v>207.17</v>
      </c>
      <c r="AP545">
        <v>0</v>
      </c>
      <c r="AQ545">
        <v>0.4</v>
      </c>
      <c r="AR545">
        <v>0</v>
      </c>
      <c r="AS545">
        <v>0</v>
      </c>
      <c r="AT545">
        <v>70</v>
      </c>
      <c r="AU545">
        <v>10</v>
      </c>
      <c r="AV545">
        <v>1</v>
      </c>
      <c r="AW545">
        <v>1</v>
      </c>
      <c r="AZ545">
        <v>1</v>
      </c>
      <c r="BA545">
        <v>1</v>
      </c>
      <c r="BB545">
        <v>1</v>
      </c>
      <c r="BC545">
        <v>1</v>
      </c>
      <c r="BD545" t="s">
        <v>3</v>
      </c>
      <c r="BE545" t="s">
        <v>3</v>
      </c>
      <c r="BF545" t="s">
        <v>3</v>
      </c>
      <c r="BG545" t="s">
        <v>3</v>
      </c>
      <c r="BH545">
        <v>0</v>
      </c>
      <c r="BI545">
        <v>4</v>
      </c>
      <c r="BJ545" t="s">
        <v>487</v>
      </c>
      <c r="BM545">
        <v>0</v>
      </c>
      <c r="BN545">
        <v>0</v>
      </c>
      <c r="BO545" t="s">
        <v>3</v>
      </c>
      <c r="BP545">
        <v>0</v>
      </c>
      <c r="BQ545">
        <v>1</v>
      </c>
      <c r="BR545">
        <v>0</v>
      </c>
      <c r="BS545">
        <v>1</v>
      </c>
      <c r="BT545">
        <v>1</v>
      </c>
      <c r="BU545">
        <v>1</v>
      </c>
      <c r="BV545">
        <v>1</v>
      </c>
      <c r="BW545">
        <v>1</v>
      </c>
      <c r="BX545">
        <v>1</v>
      </c>
      <c r="BY545" t="s">
        <v>3</v>
      </c>
      <c r="BZ545">
        <v>70</v>
      </c>
      <c r="CA545">
        <v>10</v>
      </c>
      <c r="CB545" t="s">
        <v>3</v>
      </c>
      <c r="CE545">
        <v>0</v>
      </c>
      <c r="CF545">
        <v>0</v>
      </c>
      <c r="CG545">
        <v>0</v>
      </c>
      <c r="CM545">
        <v>0</v>
      </c>
      <c r="CN545" t="s">
        <v>3</v>
      </c>
      <c r="CO545">
        <v>0</v>
      </c>
      <c r="CP545">
        <f t="shared" si="485"/>
        <v>142947.29999999999</v>
      </c>
      <c r="CQ545">
        <f t="shared" si="486"/>
        <v>0</v>
      </c>
      <c r="CR545">
        <f>(((((ET545*2))*BB545-((EU545*2))*BS545)+AE545*BS545)*AV545)</f>
        <v>0</v>
      </c>
      <c r="CS545">
        <f t="shared" si="487"/>
        <v>0</v>
      </c>
      <c r="CT545">
        <f t="shared" si="488"/>
        <v>414.34</v>
      </c>
      <c r="CU545">
        <f t="shared" si="489"/>
        <v>0</v>
      </c>
      <c r="CV545">
        <f t="shared" si="490"/>
        <v>0.8</v>
      </c>
      <c r="CW545">
        <f t="shared" si="491"/>
        <v>0</v>
      </c>
      <c r="CX545">
        <f t="shared" si="492"/>
        <v>0</v>
      </c>
      <c r="CY545">
        <f t="shared" si="493"/>
        <v>100063.11</v>
      </c>
      <c r="CZ545">
        <f t="shared" si="494"/>
        <v>14294.73</v>
      </c>
      <c r="DC545" t="s">
        <v>3</v>
      </c>
      <c r="DD545" t="s">
        <v>28</v>
      </c>
      <c r="DE545" t="s">
        <v>28</v>
      </c>
      <c r="DF545" t="s">
        <v>28</v>
      </c>
      <c r="DG545" t="s">
        <v>28</v>
      </c>
      <c r="DH545" t="s">
        <v>3</v>
      </c>
      <c r="DI545" t="s">
        <v>28</v>
      </c>
      <c r="DJ545" t="s">
        <v>28</v>
      </c>
      <c r="DK545" t="s">
        <v>3</v>
      </c>
      <c r="DL545" t="s">
        <v>3</v>
      </c>
      <c r="DM545" t="s">
        <v>3</v>
      </c>
      <c r="DN545">
        <v>0</v>
      </c>
      <c r="DO545">
        <v>0</v>
      </c>
      <c r="DP545">
        <v>1</v>
      </c>
      <c r="DQ545">
        <v>1</v>
      </c>
      <c r="DU545">
        <v>16987630</v>
      </c>
      <c r="DV545" t="s">
        <v>20</v>
      </c>
      <c r="DW545" t="s">
        <v>20</v>
      </c>
      <c r="DX545">
        <v>1</v>
      </c>
      <c r="DZ545" t="s">
        <v>3</v>
      </c>
      <c r="EA545" t="s">
        <v>3</v>
      </c>
      <c r="EB545" t="s">
        <v>3</v>
      </c>
      <c r="EC545" t="s">
        <v>3</v>
      </c>
      <c r="EE545">
        <v>1441815344</v>
      </c>
      <c r="EF545">
        <v>1</v>
      </c>
      <c r="EG545" t="s">
        <v>22</v>
      </c>
      <c r="EH545">
        <v>0</v>
      </c>
      <c r="EI545" t="s">
        <v>3</v>
      </c>
      <c r="EJ545">
        <v>4</v>
      </c>
      <c r="EK545">
        <v>0</v>
      </c>
      <c r="EL545" t="s">
        <v>23</v>
      </c>
      <c r="EM545" t="s">
        <v>24</v>
      </c>
      <c r="EO545" t="s">
        <v>3</v>
      </c>
      <c r="EQ545">
        <v>1311744</v>
      </c>
      <c r="ER545">
        <v>207.17</v>
      </c>
      <c r="ES545">
        <v>0</v>
      </c>
      <c r="ET545">
        <v>0</v>
      </c>
      <c r="EU545">
        <v>0</v>
      </c>
      <c r="EV545">
        <v>207.17</v>
      </c>
      <c r="EW545">
        <v>0.4</v>
      </c>
      <c r="EX545">
        <v>0</v>
      </c>
      <c r="EY545">
        <v>0</v>
      </c>
      <c r="FQ545">
        <v>0</v>
      </c>
      <c r="FR545">
        <f t="shared" si="495"/>
        <v>0</v>
      </c>
      <c r="FS545">
        <v>0</v>
      </c>
      <c r="FX545">
        <v>70</v>
      </c>
      <c r="FY545">
        <v>10</v>
      </c>
      <c r="GA545" t="s">
        <v>3</v>
      </c>
      <c r="GD545">
        <v>0</v>
      </c>
      <c r="GF545">
        <v>1031306269</v>
      </c>
      <c r="GG545">
        <v>2</v>
      </c>
      <c r="GH545">
        <v>1</v>
      </c>
      <c r="GI545">
        <v>-2</v>
      </c>
      <c r="GJ545">
        <v>0</v>
      </c>
      <c r="GK545">
        <f>ROUND(R545*(R12)/100,2)</f>
        <v>0</v>
      </c>
      <c r="GL545">
        <f t="shared" si="496"/>
        <v>0</v>
      </c>
      <c r="GM545">
        <f t="shared" si="497"/>
        <v>257305.14</v>
      </c>
      <c r="GN545">
        <f t="shared" si="498"/>
        <v>0</v>
      </c>
      <c r="GO545">
        <f t="shared" si="499"/>
        <v>0</v>
      </c>
      <c r="GP545">
        <f t="shared" si="500"/>
        <v>257305.14</v>
      </c>
      <c r="GR545">
        <v>0</v>
      </c>
      <c r="GS545">
        <v>3</v>
      </c>
      <c r="GT545">
        <v>0</v>
      </c>
      <c r="GU545" t="s">
        <v>3</v>
      </c>
      <c r="GV545">
        <f t="shared" si="501"/>
        <v>0</v>
      </c>
      <c r="GW545">
        <v>1</v>
      </c>
      <c r="GX545">
        <f t="shared" si="502"/>
        <v>0</v>
      </c>
      <c r="HA545">
        <v>0</v>
      </c>
      <c r="HB545">
        <v>0</v>
      </c>
      <c r="HC545">
        <f t="shared" si="503"/>
        <v>0</v>
      </c>
      <c r="HE545" t="s">
        <v>3</v>
      </c>
      <c r="HF545" t="s">
        <v>3</v>
      </c>
      <c r="HM545" t="s">
        <v>3</v>
      </c>
      <c r="HN545" t="s">
        <v>3</v>
      </c>
      <c r="HO545" t="s">
        <v>3</v>
      </c>
      <c r="HP545" t="s">
        <v>3</v>
      </c>
      <c r="HQ545" t="s">
        <v>3</v>
      </c>
      <c r="IK545">
        <v>0</v>
      </c>
    </row>
    <row r="546" spans="1:245" x14ac:dyDescent="0.2">
      <c r="A546">
        <v>17</v>
      </c>
      <c r="B546">
        <v>1</v>
      </c>
      <c r="D546">
        <f>ROW(EtalonRes!A432)</f>
        <v>432</v>
      </c>
      <c r="E546" t="s">
        <v>3</v>
      </c>
      <c r="F546" t="s">
        <v>485</v>
      </c>
      <c r="G546" t="s">
        <v>488</v>
      </c>
      <c r="H546" t="s">
        <v>20</v>
      </c>
      <c r="I546">
        <f>ROUND(ROUND(349+25,9),9)</f>
        <v>374</v>
      </c>
      <c r="J546">
        <v>0</v>
      </c>
      <c r="K546">
        <f>ROUND(ROUND(349+25,9),9)</f>
        <v>374</v>
      </c>
      <c r="O546">
        <f t="shared" si="471"/>
        <v>154963.16</v>
      </c>
      <c r="P546">
        <f t="shared" si="472"/>
        <v>0</v>
      </c>
      <c r="Q546">
        <f t="shared" si="473"/>
        <v>0</v>
      </c>
      <c r="R546">
        <f t="shared" si="474"/>
        <v>0</v>
      </c>
      <c r="S546">
        <f t="shared" si="475"/>
        <v>154963.16</v>
      </c>
      <c r="T546">
        <f t="shared" si="476"/>
        <v>0</v>
      </c>
      <c r="U546">
        <f t="shared" si="477"/>
        <v>299.2</v>
      </c>
      <c r="V546">
        <f t="shared" si="478"/>
        <v>0</v>
      </c>
      <c r="W546">
        <f t="shared" si="479"/>
        <v>0</v>
      </c>
      <c r="X546">
        <f t="shared" si="480"/>
        <v>108474.21</v>
      </c>
      <c r="Y546">
        <f t="shared" si="481"/>
        <v>15496.32</v>
      </c>
      <c r="AA546">
        <v>-1</v>
      </c>
      <c r="AB546">
        <f t="shared" si="482"/>
        <v>414.34</v>
      </c>
      <c r="AC546">
        <f>ROUND(((ES546*2)),6)</f>
        <v>0</v>
      </c>
      <c r="AD546">
        <f>ROUND(((((ET546*2))-((EU546*2)))+AE546),6)</f>
        <v>0</v>
      </c>
      <c r="AE546">
        <f>ROUND(((EU546*2)),6)</f>
        <v>0</v>
      </c>
      <c r="AF546">
        <f>ROUND(((EV546*2)),6)</f>
        <v>414.34</v>
      </c>
      <c r="AG546">
        <f t="shared" si="483"/>
        <v>0</v>
      </c>
      <c r="AH546">
        <f>((EW546*2))</f>
        <v>0.8</v>
      </c>
      <c r="AI546">
        <f>((EX546*2))</f>
        <v>0</v>
      </c>
      <c r="AJ546">
        <f t="shared" si="484"/>
        <v>0</v>
      </c>
      <c r="AK546">
        <v>207.17</v>
      </c>
      <c r="AL546">
        <v>0</v>
      </c>
      <c r="AM546">
        <v>0</v>
      </c>
      <c r="AN546">
        <v>0</v>
      </c>
      <c r="AO546">
        <v>207.17</v>
      </c>
      <c r="AP546">
        <v>0</v>
      </c>
      <c r="AQ546">
        <v>0.4</v>
      </c>
      <c r="AR546">
        <v>0</v>
      </c>
      <c r="AS546">
        <v>0</v>
      </c>
      <c r="AT546">
        <v>70</v>
      </c>
      <c r="AU546">
        <v>10</v>
      </c>
      <c r="AV546">
        <v>1</v>
      </c>
      <c r="AW546">
        <v>1</v>
      </c>
      <c r="AZ546">
        <v>1</v>
      </c>
      <c r="BA546">
        <v>1</v>
      </c>
      <c r="BB546">
        <v>1</v>
      </c>
      <c r="BC546">
        <v>1</v>
      </c>
      <c r="BD546" t="s">
        <v>3</v>
      </c>
      <c r="BE546" t="s">
        <v>3</v>
      </c>
      <c r="BF546" t="s">
        <v>3</v>
      </c>
      <c r="BG546" t="s">
        <v>3</v>
      </c>
      <c r="BH546">
        <v>0</v>
      </c>
      <c r="BI546">
        <v>4</v>
      </c>
      <c r="BJ546" t="s">
        <v>487</v>
      </c>
      <c r="BM546">
        <v>0</v>
      </c>
      <c r="BN546">
        <v>0</v>
      </c>
      <c r="BO546" t="s">
        <v>3</v>
      </c>
      <c r="BP546">
        <v>0</v>
      </c>
      <c r="BQ546">
        <v>1</v>
      </c>
      <c r="BR546">
        <v>0</v>
      </c>
      <c r="BS546">
        <v>1</v>
      </c>
      <c r="BT546">
        <v>1</v>
      </c>
      <c r="BU546">
        <v>1</v>
      </c>
      <c r="BV546">
        <v>1</v>
      </c>
      <c r="BW546">
        <v>1</v>
      </c>
      <c r="BX546">
        <v>1</v>
      </c>
      <c r="BY546" t="s">
        <v>3</v>
      </c>
      <c r="BZ546">
        <v>70</v>
      </c>
      <c r="CA546">
        <v>10</v>
      </c>
      <c r="CB546" t="s">
        <v>3</v>
      </c>
      <c r="CE546">
        <v>0</v>
      </c>
      <c r="CF546">
        <v>0</v>
      </c>
      <c r="CG546">
        <v>0</v>
      </c>
      <c r="CM546">
        <v>0</v>
      </c>
      <c r="CN546" t="s">
        <v>3</v>
      </c>
      <c r="CO546">
        <v>0</v>
      </c>
      <c r="CP546">
        <f t="shared" si="485"/>
        <v>154963.16</v>
      </c>
      <c r="CQ546">
        <f t="shared" si="486"/>
        <v>0</v>
      </c>
      <c r="CR546">
        <f>(((((ET546*2))*BB546-((EU546*2))*BS546)+AE546*BS546)*AV546)</f>
        <v>0</v>
      </c>
      <c r="CS546">
        <f t="shared" si="487"/>
        <v>0</v>
      </c>
      <c r="CT546">
        <f t="shared" si="488"/>
        <v>414.34</v>
      </c>
      <c r="CU546">
        <f t="shared" si="489"/>
        <v>0</v>
      </c>
      <c r="CV546">
        <f t="shared" si="490"/>
        <v>0.8</v>
      </c>
      <c r="CW546">
        <f t="shared" si="491"/>
        <v>0</v>
      </c>
      <c r="CX546">
        <f t="shared" si="492"/>
        <v>0</v>
      </c>
      <c r="CY546">
        <f t="shared" si="493"/>
        <v>108474.21200000001</v>
      </c>
      <c r="CZ546">
        <f t="shared" si="494"/>
        <v>15496.316000000001</v>
      </c>
      <c r="DC546" t="s">
        <v>3</v>
      </c>
      <c r="DD546" t="s">
        <v>28</v>
      </c>
      <c r="DE546" t="s">
        <v>28</v>
      </c>
      <c r="DF546" t="s">
        <v>28</v>
      </c>
      <c r="DG546" t="s">
        <v>28</v>
      </c>
      <c r="DH546" t="s">
        <v>3</v>
      </c>
      <c r="DI546" t="s">
        <v>28</v>
      </c>
      <c r="DJ546" t="s">
        <v>28</v>
      </c>
      <c r="DK546" t="s">
        <v>3</v>
      </c>
      <c r="DL546" t="s">
        <v>3</v>
      </c>
      <c r="DM546" t="s">
        <v>3</v>
      </c>
      <c r="DN546">
        <v>0</v>
      </c>
      <c r="DO546">
        <v>0</v>
      </c>
      <c r="DP546">
        <v>1</v>
      </c>
      <c r="DQ546">
        <v>1</v>
      </c>
      <c r="DU546">
        <v>16987630</v>
      </c>
      <c r="DV546" t="s">
        <v>20</v>
      </c>
      <c r="DW546" t="s">
        <v>20</v>
      </c>
      <c r="DX546">
        <v>1</v>
      </c>
      <c r="DZ546" t="s">
        <v>3</v>
      </c>
      <c r="EA546" t="s">
        <v>3</v>
      </c>
      <c r="EB546" t="s">
        <v>3</v>
      </c>
      <c r="EC546" t="s">
        <v>3</v>
      </c>
      <c r="EE546">
        <v>1441815344</v>
      </c>
      <c r="EF546">
        <v>1</v>
      </c>
      <c r="EG546" t="s">
        <v>22</v>
      </c>
      <c r="EH546">
        <v>0</v>
      </c>
      <c r="EI546" t="s">
        <v>3</v>
      </c>
      <c r="EJ546">
        <v>4</v>
      </c>
      <c r="EK546">
        <v>0</v>
      </c>
      <c r="EL546" t="s">
        <v>23</v>
      </c>
      <c r="EM546" t="s">
        <v>24</v>
      </c>
      <c r="EO546" t="s">
        <v>3</v>
      </c>
      <c r="EQ546">
        <v>1311744</v>
      </c>
      <c r="ER546">
        <v>207.17</v>
      </c>
      <c r="ES546">
        <v>0</v>
      </c>
      <c r="ET546">
        <v>0</v>
      </c>
      <c r="EU546">
        <v>0</v>
      </c>
      <c r="EV546">
        <v>207.17</v>
      </c>
      <c r="EW546">
        <v>0.4</v>
      </c>
      <c r="EX546">
        <v>0</v>
      </c>
      <c r="EY546">
        <v>0</v>
      </c>
      <c r="FQ546">
        <v>0</v>
      </c>
      <c r="FR546">
        <f t="shared" si="495"/>
        <v>0</v>
      </c>
      <c r="FS546">
        <v>0</v>
      </c>
      <c r="FX546">
        <v>70</v>
      </c>
      <c r="FY546">
        <v>10</v>
      </c>
      <c r="GA546" t="s">
        <v>3</v>
      </c>
      <c r="GD546">
        <v>0</v>
      </c>
      <c r="GF546">
        <v>-1777342782</v>
      </c>
      <c r="GG546">
        <v>2</v>
      </c>
      <c r="GH546">
        <v>1</v>
      </c>
      <c r="GI546">
        <v>-2</v>
      </c>
      <c r="GJ546">
        <v>0</v>
      </c>
      <c r="GK546">
        <f>ROUND(R546*(R12)/100,2)</f>
        <v>0</v>
      </c>
      <c r="GL546">
        <f t="shared" si="496"/>
        <v>0</v>
      </c>
      <c r="GM546">
        <f t="shared" si="497"/>
        <v>278933.69</v>
      </c>
      <c r="GN546">
        <f t="shared" si="498"/>
        <v>0</v>
      </c>
      <c r="GO546">
        <f t="shared" si="499"/>
        <v>0</v>
      </c>
      <c r="GP546">
        <f t="shared" si="500"/>
        <v>278933.69</v>
      </c>
      <c r="GR546">
        <v>0</v>
      </c>
      <c r="GS546">
        <v>3</v>
      </c>
      <c r="GT546">
        <v>0</v>
      </c>
      <c r="GU546" t="s">
        <v>3</v>
      </c>
      <c r="GV546">
        <f t="shared" si="501"/>
        <v>0</v>
      </c>
      <c r="GW546">
        <v>1</v>
      </c>
      <c r="GX546">
        <f t="shared" si="502"/>
        <v>0</v>
      </c>
      <c r="HA546">
        <v>0</v>
      </c>
      <c r="HB546">
        <v>0</v>
      </c>
      <c r="HC546">
        <f t="shared" si="503"/>
        <v>0</v>
      </c>
      <c r="HE546" t="s">
        <v>3</v>
      </c>
      <c r="HF546" t="s">
        <v>3</v>
      </c>
      <c r="HM546" t="s">
        <v>3</v>
      </c>
      <c r="HN546" t="s">
        <v>3</v>
      </c>
      <c r="HO546" t="s">
        <v>3</v>
      </c>
      <c r="HP546" t="s">
        <v>3</v>
      </c>
      <c r="HQ546" t="s">
        <v>3</v>
      </c>
      <c r="IK546">
        <v>0</v>
      </c>
    </row>
    <row r="547" spans="1:245" x14ac:dyDescent="0.2">
      <c r="A547">
        <v>19</v>
      </c>
      <c r="B547">
        <v>1</v>
      </c>
      <c r="F547" t="s">
        <v>3</v>
      </c>
      <c r="G547" t="s">
        <v>489</v>
      </c>
      <c r="H547" t="s">
        <v>3</v>
      </c>
      <c r="AA547">
        <v>1</v>
      </c>
      <c r="IK547">
        <v>0</v>
      </c>
    </row>
    <row r="548" spans="1:245" x14ac:dyDescent="0.2">
      <c r="A548">
        <v>17</v>
      </c>
      <c r="B548">
        <v>1</v>
      </c>
      <c r="D548">
        <f>ROW(EtalonRes!A435)</f>
        <v>435</v>
      </c>
      <c r="E548" t="s">
        <v>490</v>
      </c>
      <c r="F548" t="s">
        <v>491</v>
      </c>
      <c r="G548" t="s">
        <v>492</v>
      </c>
      <c r="H548" t="s">
        <v>20</v>
      </c>
      <c r="I548">
        <v>16</v>
      </c>
      <c r="J548">
        <v>0</v>
      </c>
      <c r="K548">
        <v>16</v>
      </c>
      <c r="O548">
        <f>ROUND(CP548,2)</f>
        <v>23347.040000000001</v>
      </c>
      <c r="P548">
        <f>ROUND(CQ548*I548,2)</f>
        <v>30.24</v>
      </c>
      <c r="Q548">
        <f>ROUND(CR548*I548,2)</f>
        <v>171.36</v>
      </c>
      <c r="R548">
        <f>ROUND(CS548*I548,2)</f>
        <v>2.4</v>
      </c>
      <c r="S548">
        <f>ROUND(CT548*I548,2)</f>
        <v>23145.439999999999</v>
      </c>
      <c r="T548">
        <f>ROUND(CU548*I548,2)</f>
        <v>0</v>
      </c>
      <c r="U548">
        <f>CV548*I548</f>
        <v>34.880000000000003</v>
      </c>
      <c r="V548">
        <f>CW548*I548</f>
        <v>0</v>
      </c>
      <c r="W548">
        <f>ROUND(CX548*I548,2)</f>
        <v>0</v>
      </c>
      <c r="X548">
        <f>ROUND(CY548,2)</f>
        <v>16201.81</v>
      </c>
      <c r="Y548">
        <f>ROUND(CZ548,2)</f>
        <v>2314.54</v>
      </c>
      <c r="AA548">
        <v>1472506909</v>
      </c>
      <c r="AB548">
        <f>ROUND((AC548+AD548+AF548),6)</f>
        <v>1459.19</v>
      </c>
      <c r="AC548">
        <f>ROUND((ES548),6)</f>
        <v>1.89</v>
      </c>
      <c r="AD548">
        <f>ROUND((((ET548)-(EU548))+AE548),6)</f>
        <v>10.71</v>
      </c>
      <c r="AE548">
        <f>ROUND((EU548),6)</f>
        <v>0.15</v>
      </c>
      <c r="AF548">
        <f>ROUND((EV548),6)</f>
        <v>1446.59</v>
      </c>
      <c r="AG548">
        <f>ROUND((AP548),6)</f>
        <v>0</v>
      </c>
      <c r="AH548">
        <f>(EW548)</f>
        <v>2.1800000000000002</v>
      </c>
      <c r="AI548">
        <f>(EX548)</f>
        <v>0</v>
      </c>
      <c r="AJ548">
        <f>(AS548)</f>
        <v>0</v>
      </c>
      <c r="AK548">
        <v>1459.19</v>
      </c>
      <c r="AL548">
        <v>1.89</v>
      </c>
      <c r="AM548">
        <v>10.71</v>
      </c>
      <c r="AN548">
        <v>0.15</v>
      </c>
      <c r="AO548">
        <v>1446.59</v>
      </c>
      <c r="AP548">
        <v>0</v>
      </c>
      <c r="AQ548">
        <v>2.1800000000000002</v>
      </c>
      <c r="AR548">
        <v>0</v>
      </c>
      <c r="AS548">
        <v>0</v>
      </c>
      <c r="AT548">
        <v>70</v>
      </c>
      <c r="AU548">
        <v>10</v>
      </c>
      <c r="AV548">
        <v>1</v>
      </c>
      <c r="AW548">
        <v>1</v>
      </c>
      <c r="AZ548">
        <v>1</v>
      </c>
      <c r="BA548">
        <v>1</v>
      </c>
      <c r="BB548">
        <v>1</v>
      </c>
      <c r="BC548">
        <v>1</v>
      </c>
      <c r="BD548" t="s">
        <v>3</v>
      </c>
      <c r="BE548" t="s">
        <v>3</v>
      </c>
      <c r="BF548" t="s">
        <v>3</v>
      </c>
      <c r="BG548" t="s">
        <v>3</v>
      </c>
      <c r="BH548">
        <v>0</v>
      </c>
      <c r="BI548">
        <v>4</v>
      </c>
      <c r="BJ548" t="s">
        <v>493</v>
      </c>
      <c r="BM548">
        <v>0</v>
      </c>
      <c r="BN548">
        <v>0</v>
      </c>
      <c r="BO548" t="s">
        <v>3</v>
      </c>
      <c r="BP548">
        <v>0</v>
      </c>
      <c r="BQ548">
        <v>1</v>
      </c>
      <c r="BR548">
        <v>0</v>
      </c>
      <c r="BS548">
        <v>1</v>
      </c>
      <c r="BT548">
        <v>1</v>
      </c>
      <c r="BU548">
        <v>1</v>
      </c>
      <c r="BV548">
        <v>1</v>
      </c>
      <c r="BW548">
        <v>1</v>
      </c>
      <c r="BX548">
        <v>1</v>
      </c>
      <c r="BY548" t="s">
        <v>3</v>
      </c>
      <c r="BZ548">
        <v>70</v>
      </c>
      <c r="CA548">
        <v>10</v>
      </c>
      <c r="CB548" t="s">
        <v>3</v>
      </c>
      <c r="CE548">
        <v>0</v>
      </c>
      <c r="CF548">
        <v>0</v>
      </c>
      <c r="CG548">
        <v>0</v>
      </c>
      <c r="CM548">
        <v>0</v>
      </c>
      <c r="CN548" t="s">
        <v>3</v>
      </c>
      <c r="CO548">
        <v>0</v>
      </c>
      <c r="CP548">
        <f>(P548+Q548+S548)</f>
        <v>23347.039999999997</v>
      </c>
      <c r="CQ548">
        <f>(AC548*BC548*AW548)</f>
        <v>1.89</v>
      </c>
      <c r="CR548">
        <f>((((ET548)*BB548-(EU548)*BS548)+AE548*BS548)*AV548)</f>
        <v>10.71</v>
      </c>
      <c r="CS548">
        <f>(AE548*BS548*AV548)</f>
        <v>0.15</v>
      </c>
      <c r="CT548">
        <f>(AF548*BA548*AV548)</f>
        <v>1446.59</v>
      </c>
      <c r="CU548">
        <f>AG548</f>
        <v>0</v>
      </c>
      <c r="CV548">
        <f>(AH548*AV548)</f>
        <v>2.1800000000000002</v>
      </c>
      <c r="CW548">
        <f>AI548</f>
        <v>0</v>
      </c>
      <c r="CX548">
        <f>AJ548</f>
        <v>0</v>
      </c>
      <c r="CY548">
        <f>((S548*BZ548)/100)</f>
        <v>16201.807999999997</v>
      </c>
      <c r="CZ548">
        <f>((S548*CA548)/100)</f>
        <v>2314.5439999999999</v>
      </c>
      <c r="DC548" t="s">
        <v>3</v>
      </c>
      <c r="DD548" t="s">
        <v>3</v>
      </c>
      <c r="DE548" t="s">
        <v>3</v>
      </c>
      <c r="DF548" t="s">
        <v>3</v>
      </c>
      <c r="DG548" t="s">
        <v>3</v>
      </c>
      <c r="DH548" t="s">
        <v>3</v>
      </c>
      <c r="DI548" t="s">
        <v>3</v>
      </c>
      <c r="DJ548" t="s">
        <v>3</v>
      </c>
      <c r="DK548" t="s">
        <v>3</v>
      </c>
      <c r="DL548" t="s">
        <v>3</v>
      </c>
      <c r="DM548" t="s">
        <v>3</v>
      </c>
      <c r="DN548">
        <v>0</v>
      </c>
      <c r="DO548">
        <v>0</v>
      </c>
      <c r="DP548">
        <v>1</v>
      </c>
      <c r="DQ548">
        <v>1</v>
      </c>
      <c r="DU548">
        <v>16987630</v>
      </c>
      <c r="DV548" t="s">
        <v>20</v>
      </c>
      <c r="DW548" t="s">
        <v>20</v>
      </c>
      <c r="DX548">
        <v>1</v>
      </c>
      <c r="DZ548" t="s">
        <v>3</v>
      </c>
      <c r="EA548" t="s">
        <v>3</v>
      </c>
      <c r="EB548" t="s">
        <v>3</v>
      </c>
      <c r="EC548" t="s">
        <v>3</v>
      </c>
      <c r="EE548">
        <v>1441815344</v>
      </c>
      <c r="EF548">
        <v>1</v>
      </c>
      <c r="EG548" t="s">
        <v>22</v>
      </c>
      <c r="EH548">
        <v>0</v>
      </c>
      <c r="EI548" t="s">
        <v>3</v>
      </c>
      <c r="EJ548">
        <v>4</v>
      </c>
      <c r="EK548">
        <v>0</v>
      </c>
      <c r="EL548" t="s">
        <v>23</v>
      </c>
      <c r="EM548" t="s">
        <v>24</v>
      </c>
      <c r="EO548" t="s">
        <v>3</v>
      </c>
      <c r="EQ548">
        <v>0</v>
      </c>
      <c r="ER548">
        <v>1459.19</v>
      </c>
      <c r="ES548">
        <v>1.89</v>
      </c>
      <c r="ET548">
        <v>10.71</v>
      </c>
      <c r="EU548">
        <v>0.15</v>
      </c>
      <c r="EV548">
        <v>1446.59</v>
      </c>
      <c r="EW548">
        <v>2.1800000000000002</v>
      </c>
      <c r="EX548">
        <v>0</v>
      </c>
      <c r="EY548">
        <v>0</v>
      </c>
      <c r="FQ548">
        <v>0</v>
      </c>
      <c r="FR548">
        <f>ROUND(IF(BI548=3,GM548,0),2)</f>
        <v>0</v>
      </c>
      <c r="FS548">
        <v>0</v>
      </c>
      <c r="FX548">
        <v>70</v>
      </c>
      <c r="FY548">
        <v>10</v>
      </c>
      <c r="GA548" t="s">
        <v>3</v>
      </c>
      <c r="GD548">
        <v>0</v>
      </c>
      <c r="GF548">
        <v>1977454712</v>
      </c>
      <c r="GG548">
        <v>2</v>
      </c>
      <c r="GH548">
        <v>1</v>
      </c>
      <c r="GI548">
        <v>-2</v>
      </c>
      <c r="GJ548">
        <v>0</v>
      </c>
      <c r="GK548">
        <f>ROUND(R548*(R12)/100,2)</f>
        <v>2.59</v>
      </c>
      <c r="GL548">
        <f>ROUND(IF(AND(BH548=3,BI548=3,FS548&lt;&gt;0),P548,0),2)</f>
        <v>0</v>
      </c>
      <c r="GM548">
        <f>ROUND(O548+X548+Y548+GK548,2)+GX548</f>
        <v>41865.980000000003</v>
      </c>
      <c r="GN548">
        <f>IF(OR(BI548=0,BI548=1),GM548-GX548,0)</f>
        <v>0</v>
      </c>
      <c r="GO548">
        <f>IF(BI548=2,GM548-GX548,0)</f>
        <v>0</v>
      </c>
      <c r="GP548">
        <f>IF(BI548=4,GM548-GX548,0)</f>
        <v>41865.980000000003</v>
      </c>
      <c r="GR548">
        <v>0</v>
      </c>
      <c r="GS548">
        <v>3</v>
      </c>
      <c r="GT548">
        <v>0</v>
      </c>
      <c r="GU548" t="s">
        <v>3</v>
      </c>
      <c r="GV548">
        <f>ROUND((GT548),6)</f>
        <v>0</v>
      </c>
      <c r="GW548">
        <v>1</v>
      </c>
      <c r="GX548">
        <f>ROUND(HC548*I548,2)</f>
        <v>0</v>
      </c>
      <c r="HA548">
        <v>0</v>
      </c>
      <c r="HB548">
        <v>0</v>
      </c>
      <c r="HC548">
        <f>GV548*GW548</f>
        <v>0</v>
      </c>
      <c r="HE548" t="s">
        <v>3</v>
      </c>
      <c r="HF548" t="s">
        <v>3</v>
      </c>
      <c r="HM548" t="s">
        <v>3</v>
      </c>
      <c r="HN548" t="s">
        <v>3</v>
      </c>
      <c r="HO548" t="s">
        <v>3</v>
      </c>
      <c r="HP548" t="s">
        <v>3</v>
      </c>
      <c r="HQ548" t="s">
        <v>3</v>
      </c>
      <c r="IK548">
        <v>0</v>
      </c>
    </row>
    <row r="549" spans="1:245" x14ac:dyDescent="0.2">
      <c r="A549">
        <v>17</v>
      </c>
      <c r="B549">
        <v>1</v>
      </c>
      <c r="D549">
        <f>ROW(EtalonRes!A440)</f>
        <v>440</v>
      </c>
      <c r="E549" t="s">
        <v>3</v>
      </c>
      <c r="F549" t="s">
        <v>494</v>
      </c>
      <c r="G549" t="s">
        <v>495</v>
      </c>
      <c r="H549" t="s">
        <v>496</v>
      </c>
      <c r="I549">
        <f>ROUND(ROUND(2+4,9),9)</f>
        <v>6</v>
      </c>
      <c r="J549">
        <v>0</v>
      </c>
      <c r="K549">
        <f>ROUND(ROUND(2+4,9),9)</f>
        <v>6</v>
      </c>
      <c r="O549">
        <f>ROUND(CP549,2)</f>
        <v>25948.48</v>
      </c>
      <c r="P549">
        <f>ROUND(CQ549*I549,2)</f>
        <v>2059.6</v>
      </c>
      <c r="Q549">
        <f>ROUND(CR549*I549,2)</f>
        <v>0</v>
      </c>
      <c r="R549">
        <f>ROUND(CS549*I549,2)</f>
        <v>0</v>
      </c>
      <c r="S549">
        <f>ROUND(CT549*I549,2)</f>
        <v>23888.880000000001</v>
      </c>
      <c r="T549">
        <f>ROUND(CU549*I549,2)</f>
        <v>0</v>
      </c>
      <c r="U549">
        <f>CV549*I549</f>
        <v>36</v>
      </c>
      <c r="V549">
        <f>CW549*I549</f>
        <v>0</v>
      </c>
      <c r="W549">
        <f>ROUND(CX549*I549,2)</f>
        <v>0</v>
      </c>
      <c r="X549">
        <f>ROUND(CY549,2)</f>
        <v>16722.22</v>
      </c>
      <c r="Y549">
        <f>ROUND(CZ549,2)</f>
        <v>2388.89</v>
      </c>
      <c r="AA549">
        <v>-1</v>
      </c>
      <c r="AB549">
        <f>ROUND((AC549+AD549+AF549),6)</f>
        <v>4324.7466670000003</v>
      </c>
      <c r="AC549">
        <f>ROUND((((ES549/12)*4)),6)</f>
        <v>343.26666699999998</v>
      </c>
      <c r="AD549">
        <f>ROUND((((((ET549/12)*4))-(((EU549/12)*4)))+AE549),6)</f>
        <v>0</v>
      </c>
      <c r="AE549">
        <f>ROUND((((EU549/12)*4)),6)</f>
        <v>0</v>
      </c>
      <c r="AF549">
        <f>ROUND((((EV549/12)*4)),6)</f>
        <v>3981.48</v>
      </c>
      <c r="AG549">
        <f>ROUND((AP549),6)</f>
        <v>0</v>
      </c>
      <c r="AH549">
        <f>(((EW549/12)*4))</f>
        <v>6</v>
      </c>
      <c r="AI549">
        <f>(((EX549/12)*4))</f>
        <v>0</v>
      </c>
      <c r="AJ549">
        <f>(AS549)</f>
        <v>0</v>
      </c>
      <c r="AK549">
        <v>12974.24</v>
      </c>
      <c r="AL549">
        <v>1029.8</v>
      </c>
      <c r="AM549">
        <v>0</v>
      </c>
      <c r="AN549">
        <v>0</v>
      </c>
      <c r="AO549">
        <v>11944.44</v>
      </c>
      <c r="AP549">
        <v>0</v>
      </c>
      <c r="AQ549">
        <v>18</v>
      </c>
      <c r="AR549">
        <v>0</v>
      </c>
      <c r="AS549">
        <v>0</v>
      </c>
      <c r="AT549">
        <v>70</v>
      </c>
      <c r="AU549">
        <v>10</v>
      </c>
      <c r="AV549">
        <v>1</v>
      </c>
      <c r="AW549">
        <v>1</v>
      </c>
      <c r="AZ549">
        <v>1</v>
      </c>
      <c r="BA549">
        <v>1</v>
      </c>
      <c r="BB549">
        <v>1</v>
      </c>
      <c r="BC549">
        <v>1</v>
      </c>
      <c r="BD549" t="s">
        <v>3</v>
      </c>
      <c r="BE549" t="s">
        <v>3</v>
      </c>
      <c r="BF549" t="s">
        <v>3</v>
      </c>
      <c r="BG549" t="s">
        <v>3</v>
      </c>
      <c r="BH549">
        <v>0</v>
      </c>
      <c r="BI549">
        <v>4</v>
      </c>
      <c r="BJ549" t="s">
        <v>497</v>
      </c>
      <c r="BM549">
        <v>0</v>
      </c>
      <c r="BN549">
        <v>0</v>
      </c>
      <c r="BO549" t="s">
        <v>3</v>
      </c>
      <c r="BP549">
        <v>0</v>
      </c>
      <c r="BQ549">
        <v>1</v>
      </c>
      <c r="BR549">
        <v>0</v>
      </c>
      <c r="BS549">
        <v>1</v>
      </c>
      <c r="BT549">
        <v>1</v>
      </c>
      <c r="BU549">
        <v>1</v>
      </c>
      <c r="BV549">
        <v>1</v>
      </c>
      <c r="BW549">
        <v>1</v>
      </c>
      <c r="BX549">
        <v>1</v>
      </c>
      <c r="BY549" t="s">
        <v>3</v>
      </c>
      <c r="BZ549">
        <v>70</v>
      </c>
      <c r="CA549">
        <v>10</v>
      </c>
      <c r="CB549" t="s">
        <v>3</v>
      </c>
      <c r="CE549">
        <v>0</v>
      </c>
      <c r="CF549">
        <v>0</v>
      </c>
      <c r="CG549">
        <v>0</v>
      </c>
      <c r="CM549">
        <v>0</v>
      </c>
      <c r="CN549" t="s">
        <v>3</v>
      </c>
      <c r="CO549">
        <v>0</v>
      </c>
      <c r="CP549">
        <f>(P549+Q549+S549)</f>
        <v>25948.48</v>
      </c>
      <c r="CQ549">
        <f>(AC549*BC549*AW549)</f>
        <v>343.26666699999998</v>
      </c>
      <c r="CR549">
        <f>((((((ET549/12)*4))*BB549-(((EU549/12)*4))*BS549)+AE549*BS549)*AV549)</f>
        <v>0</v>
      </c>
      <c r="CS549">
        <f>(AE549*BS549*AV549)</f>
        <v>0</v>
      </c>
      <c r="CT549">
        <f>(AF549*BA549*AV549)</f>
        <v>3981.48</v>
      </c>
      <c r="CU549">
        <f>AG549</f>
        <v>0</v>
      </c>
      <c r="CV549">
        <f>(AH549*AV549)</f>
        <v>6</v>
      </c>
      <c r="CW549">
        <f>AI549</f>
        <v>0</v>
      </c>
      <c r="CX549">
        <f>AJ549</f>
        <v>0</v>
      </c>
      <c r="CY549">
        <f>((S549*BZ549)/100)</f>
        <v>16722.216</v>
      </c>
      <c r="CZ549">
        <f>((S549*CA549)/100)</f>
        <v>2388.8880000000004</v>
      </c>
      <c r="DC549" t="s">
        <v>3</v>
      </c>
      <c r="DD549" t="s">
        <v>477</v>
      </c>
      <c r="DE549" t="s">
        <v>477</v>
      </c>
      <c r="DF549" t="s">
        <v>477</v>
      </c>
      <c r="DG549" t="s">
        <v>477</v>
      </c>
      <c r="DH549" t="s">
        <v>3</v>
      </c>
      <c r="DI549" t="s">
        <v>477</v>
      </c>
      <c r="DJ549" t="s">
        <v>477</v>
      </c>
      <c r="DK549" t="s">
        <v>3</v>
      </c>
      <c r="DL549" t="s">
        <v>3</v>
      </c>
      <c r="DM549" t="s">
        <v>3</v>
      </c>
      <c r="DN549">
        <v>0</v>
      </c>
      <c r="DO549">
        <v>0</v>
      </c>
      <c r="DP549">
        <v>1</v>
      </c>
      <c r="DQ549">
        <v>1</v>
      </c>
      <c r="DU549">
        <v>1013</v>
      </c>
      <c r="DV549" t="s">
        <v>496</v>
      </c>
      <c r="DW549" t="s">
        <v>496</v>
      </c>
      <c r="DX549">
        <v>1</v>
      </c>
      <c r="DZ549" t="s">
        <v>3</v>
      </c>
      <c r="EA549" t="s">
        <v>3</v>
      </c>
      <c r="EB549" t="s">
        <v>3</v>
      </c>
      <c r="EC549" t="s">
        <v>3</v>
      </c>
      <c r="EE549">
        <v>1441815344</v>
      </c>
      <c r="EF549">
        <v>1</v>
      </c>
      <c r="EG549" t="s">
        <v>22</v>
      </c>
      <c r="EH549">
        <v>0</v>
      </c>
      <c r="EI549" t="s">
        <v>3</v>
      </c>
      <c r="EJ549">
        <v>4</v>
      </c>
      <c r="EK549">
        <v>0</v>
      </c>
      <c r="EL549" t="s">
        <v>23</v>
      </c>
      <c r="EM549" t="s">
        <v>24</v>
      </c>
      <c r="EO549" t="s">
        <v>3</v>
      </c>
      <c r="EQ549">
        <v>1049600</v>
      </c>
      <c r="ER549">
        <v>12974.24</v>
      </c>
      <c r="ES549">
        <v>1029.8</v>
      </c>
      <c r="ET549">
        <v>0</v>
      </c>
      <c r="EU549">
        <v>0</v>
      </c>
      <c r="EV549">
        <v>11944.44</v>
      </c>
      <c r="EW549">
        <v>18</v>
      </c>
      <c r="EX549">
        <v>0</v>
      </c>
      <c r="EY549">
        <v>0</v>
      </c>
      <c r="FQ549">
        <v>0</v>
      </c>
      <c r="FR549">
        <f>ROUND(IF(BI549=3,GM549,0),2)</f>
        <v>0</v>
      </c>
      <c r="FS549">
        <v>0</v>
      </c>
      <c r="FX549">
        <v>70</v>
      </c>
      <c r="FY549">
        <v>10</v>
      </c>
      <c r="GA549" t="s">
        <v>3</v>
      </c>
      <c r="GD549">
        <v>0</v>
      </c>
      <c r="GF549">
        <v>-1710919222</v>
      </c>
      <c r="GG549">
        <v>2</v>
      </c>
      <c r="GH549">
        <v>1</v>
      </c>
      <c r="GI549">
        <v>-2</v>
      </c>
      <c r="GJ549">
        <v>0</v>
      </c>
      <c r="GK549">
        <f>ROUND(R549*(R12)/100,2)</f>
        <v>0</v>
      </c>
      <c r="GL549">
        <f>ROUND(IF(AND(BH549=3,BI549=3,FS549&lt;&gt;0),P549,0),2)</f>
        <v>0</v>
      </c>
      <c r="GM549">
        <f>ROUND(O549+X549+Y549+GK549,2)+GX549</f>
        <v>45059.59</v>
      </c>
      <c r="GN549">
        <f>IF(OR(BI549=0,BI549=1),GM549-GX549,0)</f>
        <v>0</v>
      </c>
      <c r="GO549">
        <f>IF(BI549=2,GM549-GX549,0)</f>
        <v>0</v>
      </c>
      <c r="GP549">
        <f>IF(BI549=4,GM549-GX549,0)</f>
        <v>45059.59</v>
      </c>
      <c r="GR549">
        <v>0</v>
      </c>
      <c r="GS549">
        <v>3</v>
      </c>
      <c r="GT549">
        <v>0</v>
      </c>
      <c r="GU549" t="s">
        <v>3</v>
      </c>
      <c r="GV549">
        <f>ROUND((GT549),6)</f>
        <v>0</v>
      </c>
      <c r="GW549">
        <v>1</v>
      </c>
      <c r="GX549">
        <f>ROUND(HC549*I549,2)</f>
        <v>0</v>
      </c>
      <c r="HA549">
        <v>0</v>
      </c>
      <c r="HB549">
        <v>0</v>
      </c>
      <c r="HC549">
        <f>GV549*GW549</f>
        <v>0</v>
      </c>
      <c r="HE549" t="s">
        <v>3</v>
      </c>
      <c r="HF549" t="s">
        <v>3</v>
      </c>
      <c r="HM549" t="s">
        <v>3</v>
      </c>
      <c r="HN549" t="s">
        <v>3</v>
      </c>
      <c r="HO549" t="s">
        <v>3</v>
      </c>
      <c r="HP549" t="s">
        <v>3</v>
      </c>
      <c r="HQ549" t="s">
        <v>3</v>
      </c>
      <c r="IK549">
        <v>0</v>
      </c>
    </row>
    <row r="550" spans="1:245" x14ac:dyDescent="0.2">
      <c r="A550">
        <v>19</v>
      </c>
      <c r="B550">
        <v>1</v>
      </c>
      <c r="F550" t="s">
        <v>3</v>
      </c>
      <c r="G550" t="s">
        <v>498</v>
      </c>
      <c r="H550" t="s">
        <v>3</v>
      </c>
      <c r="AA550">
        <v>1</v>
      </c>
      <c r="IK550">
        <v>0</v>
      </c>
    </row>
    <row r="551" spans="1:245" x14ac:dyDescent="0.2">
      <c r="A551">
        <v>17</v>
      </c>
      <c r="B551">
        <v>1</v>
      </c>
      <c r="D551">
        <f>ROW(EtalonRes!A441)</f>
        <v>441</v>
      </c>
      <c r="E551" t="s">
        <v>3</v>
      </c>
      <c r="F551" t="s">
        <v>102</v>
      </c>
      <c r="G551" t="s">
        <v>103</v>
      </c>
      <c r="H551" t="s">
        <v>104</v>
      </c>
      <c r="I551">
        <f>ROUND((84+27+49+141+36+793+212+50)*0.25*0.1/100,9)</f>
        <v>0.34799999999999998</v>
      </c>
      <c r="J551">
        <v>0</v>
      </c>
      <c r="K551">
        <f>ROUND((84+27+49+141+36+793+212+50)*0.25*0.1/100,9)</f>
        <v>0.34799999999999998</v>
      </c>
      <c r="O551">
        <f t="shared" ref="O551:O561" si="506">ROUND(CP551,2)</f>
        <v>704.28</v>
      </c>
      <c r="P551">
        <f t="shared" ref="P551:P561" si="507">ROUND(CQ551*I551,2)</f>
        <v>0</v>
      </c>
      <c r="Q551">
        <f t="shared" ref="Q551:Q561" si="508">ROUND(CR551*I551,2)</f>
        <v>0</v>
      </c>
      <c r="R551">
        <f t="shared" ref="R551:R561" si="509">ROUND(CS551*I551,2)</f>
        <v>0</v>
      </c>
      <c r="S551">
        <f t="shared" ref="S551:S561" si="510">ROUND(CT551*I551,2)</f>
        <v>704.28</v>
      </c>
      <c r="T551">
        <f t="shared" ref="T551:T561" si="511">ROUND(CU551*I551,2)</f>
        <v>0</v>
      </c>
      <c r="U551">
        <f t="shared" ref="U551:U561" si="512">CV551*I551</f>
        <v>1.2527999999999999</v>
      </c>
      <c r="V551">
        <f t="shared" ref="V551:V561" si="513">CW551*I551</f>
        <v>0</v>
      </c>
      <c r="W551">
        <f t="shared" ref="W551:W561" si="514">ROUND(CX551*I551,2)</f>
        <v>0</v>
      </c>
      <c r="X551">
        <f t="shared" ref="X551:X561" si="515">ROUND(CY551,2)</f>
        <v>493</v>
      </c>
      <c r="Y551">
        <f t="shared" ref="Y551:Y561" si="516">ROUND(CZ551,2)</f>
        <v>70.430000000000007</v>
      </c>
      <c r="AA551">
        <v>-1</v>
      </c>
      <c r="AB551">
        <f t="shared" ref="AB551:AB561" si="517">ROUND((AC551+AD551+AF551),6)</f>
        <v>2023.8</v>
      </c>
      <c r="AC551">
        <f>ROUND(((ES551*4)),6)</f>
        <v>0</v>
      </c>
      <c r="AD551">
        <f>ROUND(((((ET551*4))-((EU551*4)))+AE551),6)</f>
        <v>0</v>
      </c>
      <c r="AE551">
        <f>ROUND(((EU551*4)),6)</f>
        <v>0</v>
      </c>
      <c r="AF551">
        <f>ROUND(((EV551*4)),6)</f>
        <v>2023.8</v>
      </c>
      <c r="AG551">
        <f t="shared" ref="AG551:AG561" si="518">ROUND((AP551),6)</f>
        <v>0</v>
      </c>
      <c r="AH551">
        <f>((EW551*4))</f>
        <v>3.6</v>
      </c>
      <c r="AI551">
        <f>((EX551*4))</f>
        <v>0</v>
      </c>
      <c r="AJ551">
        <f t="shared" ref="AJ551:AJ561" si="519">(AS551)</f>
        <v>0</v>
      </c>
      <c r="AK551">
        <v>505.95</v>
      </c>
      <c r="AL551">
        <v>0</v>
      </c>
      <c r="AM551">
        <v>0</v>
      </c>
      <c r="AN551">
        <v>0</v>
      </c>
      <c r="AO551">
        <v>505.95</v>
      </c>
      <c r="AP551">
        <v>0</v>
      </c>
      <c r="AQ551">
        <v>0.9</v>
      </c>
      <c r="AR551">
        <v>0</v>
      </c>
      <c r="AS551">
        <v>0</v>
      </c>
      <c r="AT551">
        <v>70</v>
      </c>
      <c r="AU551">
        <v>10</v>
      </c>
      <c r="AV551">
        <v>1</v>
      </c>
      <c r="AW551">
        <v>1</v>
      </c>
      <c r="AZ551">
        <v>1</v>
      </c>
      <c r="BA551">
        <v>1</v>
      </c>
      <c r="BB551">
        <v>1</v>
      </c>
      <c r="BC551">
        <v>1</v>
      </c>
      <c r="BD551" t="s">
        <v>3</v>
      </c>
      <c r="BE551" t="s">
        <v>3</v>
      </c>
      <c r="BF551" t="s">
        <v>3</v>
      </c>
      <c r="BG551" t="s">
        <v>3</v>
      </c>
      <c r="BH551">
        <v>0</v>
      </c>
      <c r="BI551">
        <v>4</v>
      </c>
      <c r="BJ551" t="s">
        <v>105</v>
      </c>
      <c r="BM551">
        <v>0</v>
      </c>
      <c r="BN551">
        <v>0</v>
      </c>
      <c r="BO551" t="s">
        <v>3</v>
      </c>
      <c r="BP551">
        <v>0</v>
      </c>
      <c r="BQ551">
        <v>1</v>
      </c>
      <c r="BR551">
        <v>0</v>
      </c>
      <c r="BS551">
        <v>1</v>
      </c>
      <c r="BT551">
        <v>1</v>
      </c>
      <c r="BU551">
        <v>1</v>
      </c>
      <c r="BV551">
        <v>1</v>
      </c>
      <c r="BW551">
        <v>1</v>
      </c>
      <c r="BX551">
        <v>1</v>
      </c>
      <c r="BY551" t="s">
        <v>3</v>
      </c>
      <c r="BZ551">
        <v>70</v>
      </c>
      <c r="CA551">
        <v>10</v>
      </c>
      <c r="CB551" t="s">
        <v>3</v>
      </c>
      <c r="CE551">
        <v>0</v>
      </c>
      <c r="CF551">
        <v>0</v>
      </c>
      <c r="CG551">
        <v>0</v>
      </c>
      <c r="CM551">
        <v>0</v>
      </c>
      <c r="CN551" t="s">
        <v>3</v>
      </c>
      <c r="CO551">
        <v>0</v>
      </c>
      <c r="CP551">
        <f t="shared" ref="CP551:CP561" si="520">(P551+Q551+S551)</f>
        <v>704.28</v>
      </c>
      <c r="CQ551">
        <f t="shared" ref="CQ551:CQ561" si="521">(AC551*BC551*AW551)</f>
        <v>0</v>
      </c>
      <c r="CR551">
        <f>(((((ET551*4))*BB551-((EU551*4))*BS551)+AE551*BS551)*AV551)</f>
        <v>0</v>
      </c>
      <c r="CS551">
        <f t="shared" ref="CS551:CS561" si="522">(AE551*BS551*AV551)</f>
        <v>0</v>
      </c>
      <c r="CT551">
        <f t="shared" ref="CT551:CT561" si="523">(AF551*BA551*AV551)</f>
        <v>2023.8</v>
      </c>
      <c r="CU551">
        <f t="shared" ref="CU551:CU561" si="524">AG551</f>
        <v>0</v>
      </c>
      <c r="CV551">
        <f t="shared" ref="CV551:CV561" si="525">(AH551*AV551)</f>
        <v>3.6</v>
      </c>
      <c r="CW551">
        <f t="shared" ref="CW551:CW561" si="526">AI551</f>
        <v>0</v>
      </c>
      <c r="CX551">
        <f t="shared" ref="CX551:CX561" si="527">AJ551</f>
        <v>0</v>
      </c>
      <c r="CY551">
        <f t="shared" ref="CY551:CY561" si="528">((S551*BZ551)/100)</f>
        <v>492.99599999999998</v>
      </c>
      <c r="CZ551">
        <f t="shared" ref="CZ551:CZ561" si="529">((S551*CA551)/100)</f>
        <v>70.427999999999997</v>
      </c>
      <c r="DC551" t="s">
        <v>3</v>
      </c>
      <c r="DD551" t="s">
        <v>106</v>
      </c>
      <c r="DE551" t="s">
        <v>106</v>
      </c>
      <c r="DF551" t="s">
        <v>106</v>
      </c>
      <c r="DG551" t="s">
        <v>106</v>
      </c>
      <c r="DH551" t="s">
        <v>3</v>
      </c>
      <c r="DI551" t="s">
        <v>106</v>
      </c>
      <c r="DJ551" t="s">
        <v>106</v>
      </c>
      <c r="DK551" t="s">
        <v>3</v>
      </c>
      <c r="DL551" t="s">
        <v>3</v>
      </c>
      <c r="DM551" t="s">
        <v>3</v>
      </c>
      <c r="DN551">
        <v>0</v>
      </c>
      <c r="DO551">
        <v>0</v>
      </c>
      <c r="DP551">
        <v>1</v>
      </c>
      <c r="DQ551">
        <v>1</v>
      </c>
      <c r="DU551">
        <v>1003</v>
      </c>
      <c r="DV551" t="s">
        <v>104</v>
      </c>
      <c r="DW551" t="s">
        <v>104</v>
      </c>
      <c r="DX551">
        <v>100</v>
      </c>
      <c r="DZ551" t="s">
        <v>3</v>
      </c>
      <c r="EA551" t="s">
        <v>3</v>
      </c>
      <c r="EB551" t="s">
        <v>3</v>
      </c>
      <c r="EC551" t="s">
        <v>3</v>
      </c>
      <c r="EE551">
        <v>1441815344</v>
      </c>
      <c r="EF551">
        <v>1</v>
      </c>
      <c r="EG551" t="s">
        <v>22</v>
      </c>
      <c r="EH551">
        <v>0</v>
      </c>
      <c r="EI551" t="s">
        <v>3</v>
      </c>
      <c r="EJ551">
        <v>4</v>
      </c>
      <c r="EK551">
        <v>0</v>
      </c>
      <c r="EL551" t="s">
        <v>23</v>
      </c>
      <c r="EM551" t="s">
        <v>24</v>
      </c>
      <c r="EO551" t="s">
        <v>3</v>
      </c>
      <c r="EQ551">
        <v>1024</v>
      </c>
      <c r="ER551">
        <v>505.95</v>
      </c>
      <c r="ES551">
        <v>0</v>
      </c>
      <c r="ET551">
        <v>0</v>
      </c>
      <c r="EU551">
        <v>0</v>
      </c>
      <c r="EV551">
        <v>505.95</v>
      </c>
      <c r="EW551">
        <v>0.9</v>
      </c>
      <c r="EX551">
        <v>0</v>
      </c>
      <c r="EY551">
        <v>0</v>
      </c>
      <c r="FQ551">
        <v>0</v>
      </c>
      <c r="FR551">
        <f t="shared" ref="FR551:FR561" si="530">ROUND(IF(BI551=3,GM551,0),2)</f>
        <v>0</v>
      </c>
      <c r="FS551">
        <v>0</v>
      </c>
      <c r="FX551">
        <v>70</v>
      </c>
      <c r="FY551">
        <v>10</v>
      </c>
      <c r="GA551" t="s">
        <v>3</v>
      </c>
      <c r="GD551">
        <v>0</v>
      </c>
      <c r="GF551">
        <v>-341239612</v>
      </c>
      <c r="GG551">
        <v>2</v>
      </c>
      <c r="GH551">
        <v>1</v>
      </c>
      <c r="GI551">
        <v>-2</v>
      </c>
      <c r="GJ551">
        <v>0</v>
      </c>
      <c r="GK551">
        <f>ROUND(R551*(R12)/100,2)</f>
        <v>0</v>
      </c>
      <c r="GL551">
        <f t="shared" ref="GL551:GL561" si="531">ROUND(IF(AND(BH551=3,BI551=3,FS551&lt;&gt;0),P551,0),2)</f>
        <v>0</v>
      </c>
      <c r="GM551">
        <f t="shared" ref="GM551:GM561" si="532">ROUND(O551+X551+Y551+GK551,2)+GX551</f>
        <v>1267.71</v>
      </c>
      <c r="GN551">
        <f t="shared" ref="GN551:GN561" si="533">IF(OR(BI551=0,BI551=1),GM551-GX551,0)</f>
        <v>0</v>
      </c>
      <c r="GO551">
        <f t="shared" ref="GO551:GO561" si="534">IF(BI551=2,GM551-GX551,0)</f>
        <v>0</v>
      </c>
      <c r="GP551">
        <f t="shared" ref="GP551:GP561" si="535">IF(BI551=4,GM551-GX551,0)</f>
        <v>1267.71</v>
      </c>
      <c r="GR551">
        <v>0</v>
      </c>
      <c r="GS551">
        <v>3</v>
      </c>
      <c r="GT551">
        <v>0</v>
      </c>
      <c r="GU551" t="s">
        <v>3</v>
      </c>
      <c r="GV551">
        <f t="shared" ref="GV551:GV561" si="536">ROUND((GT551),6)</f>
        <v>0</v>
      </c>
      <c r="GW551">
        <v>1</v>
      </c>
      <c r="GX551">
        <f t="shared" ref="GX551:GX561" si="537">ROUND(HC551*I551,2)</f>
        <v>0</v>
      </c>
      <c r="HA551">
        <v>0</v>
      </c>
      <c r="HB551">
        <v>0</v>
      </c>
      <c r="HC551">
        <f t="shared" ref="HC551:HC561" si="538">GV551*GW551</f>
        <v>0</v>
      </c>
      <c r="HE551" t="s">
        <v>3</v>
      </c>
      <c r="HF551" t="s">
        <v>3</v>
      </c>
      <c r="HM551" t="s">
        <v>3</v>
      </c>
      <c r="HN551" t="s">
        <v>3</v>
      </c>
      <c r="HO551" t="s">
        <v>3</v>
      </c>
      <c r="HP551" t="s">
        <v>3</v>
      </c>
      <c r="HQ551" t="s">
        <v>3</v>
      </c>
      <c r="IK551">
        <v>0</v>
      </c>
    </row>
    <row r="552" spans="1:245" x14ac:dyDescent="0.2">
      <c r="A552">
        <v>17</v>
      </c>
      <c r="B552">
        <v>1</v>
      </c>
      <c r="D552">
        <f>ROW(EtalonRes!A442)</f>
        <v>442</v>
      </c>
      <c r="E552" t="s">
        <v>3</v>
      </c>
      <c r="F552" t="s">
        <v>107</v>
      </c>
      <c r="G552" t="s">
        <v>108</v>
      </c>
      <c r="H552" t="s">
        <v>104</v>
      </c>
      <c r="I552">
        <f>ROUND((84+27+49+141+36+793+212+50)*0.75*0.1/100,9)</f>
        <v>1.044</v>
      </c>
      <c r="J552">
        <v>0</v>
      </c>
      <c r="K552">
        <f>ROUND((84+27+49+141+36+793+212+50)*0.75*0.1/100,9)</f>
        <v>1.044</v>
      </c>
      <c r="O552">
        <f t="shared" si="506"/>
        <v>6197.73</v>
      </c>
      <c r="P552">
        <f t="shared" si="507"/>
        <v>0</v>
      </c>
      <c r="Q552">
        <f t="shared" si="508"/>
        <v>0</v>
      </c>
      <c r="R552">
        <f t="shared" si="509"/>
        <v>0</v>
      </c>
      <c r="S552">
        <f t="shared" si="510"/>
        <v>6197.73</v>
      </c>
      <c r="T552">
        <f t="shared" si="511"/>
        <v>0</v>
      </c>
      <c r="U552">
        <f t="shared" si="512"/>
        <v>11.024640000000002</v>
      </c>
      <c r="V552">
        <f t="shared" si="513"/>
        <v>0</v>
      </c>
      <c r="W552">
        <f t="shared" si="514"/>
        <v>0</v>
      </c>
      <c r="X552">
        <f t="shared" si="515"/>
        <v>4338.41</v>
      </c>
      <c r="Y552">
        <f t="shared" si="516"/>
        <v>619.77</v>
      </c>
      <c r="AA552">
        <v>-1</v>
      </c>
      <c r="AB552">
        <f t="shared" si="517"/>
        <v>5936.52</v>
      </c>
      <c r="AC552">
        <f>ROUND(((ES552*4)),6)</f>
        <v>0</v>
      </c>
      <c r="AD552">
        <f>ROUND(((((ET552*4))-((EU552*4)))+AE552),6)</f>
        <v>0</v>
      </c>
      <c r="AE552">
        <f>ROUND(((EU552*4)),6)</f>
        <v>0</v>
      </c>
      <c r="AF552">
        <f>ROUND(((EV552*4)),6)</f>
        <v>5936.52</v>
      </c>
      <c r="AG552">
        <f t="shared" si="518"/>
        <v>0</v>
      </c>
      <c r="AH552">
        <f>((EW552*4))</f>
        <v>10.56</v>
      </c>
      <c r="AI552">
        <f>((EX552*4))</f>
        <v>0</v>
      </c>
      <c r="AJ552">
        <f t="shared" si="519"/>
        <v>0</v>
      </c>
      <c r="AK552">
        <v>1484.13</v>
      </c>
      <c r="AL552">
        <v>0</v>
      </c>
      <c r="AM552">
        <v>0</v>
      </c>
      <c r="AN552">
        <v>0</v>
      </c>
      <c r="AO552">
        <v>1484.13</v>
      </c>
      <c r="AP552">
        <v>0</v>
      </c>
      <c r="AQ552">
        <v>2.64</v>
      </c>
      <c r="AR552">
        <v>0</v>
      </c>
      <c r="AS552">
        <v>0</v>
      </c>
      <c r="AT552">
        <v>70</v>
      </c>
      <c r="AU552">
        <v>10</v>
      </c>
      <c r="AV552">
        <v>1</v>
      </c>
      <c r="AW552">
        <v>1</v>
      </c>
      <c r="AZ552">
        <v>1</v>
      </c>
      <c r="BA552">
        <v>1</v>
      </c>
      <c r="BB552">
        <v>1</v>
      </c>
      <c r="BC552">
        <v>1</v>
      </c>
      <c r="BD552" t="s">
        <v>3</v>
      </c>
      <c r="BE552" t="s">
        <v>3</v>
      </c>
      <c r="BF552" t="s">
        <v>3</v>
      </c>
      <c r="BG552" t="s">
        <v>3</v>
      </c>
      <c r="BH552">
        <v>0</v>
      </c>
      <c r="BI552">
        <v>4</v>
      </c>
      <c r="BJ552" t="s">
        <v>109</v>
      </c>
      <c r="BM552">
        <v>0</v>
      </c>
      <c r="BN552">
        <v>0</v>
      </c>
      <c r="BO552" t="s">
        <v>3</v>
      </c>
      <c r="BP552">
        <v>0</v>
      </c>
      <c r="BQ552">
        <v>1</v>
      </c>
      <c r="BR552">
        <v>0</v>
      </c>
      <c r="BS552">
        <v>1</v>
      </c>
      <c r="BT552">
        <v>1</v>
      </c>
      <c r="BU552">
        <v>1</v>
      </c>
      <c r="BV552">
        <v>1</v>
      </c>
      <c r="BW552">
        <v>1</v>
      </c>
      <c r="BX552">
        <v>1</v>
      </c>
      <c r="BY552" t="s">
        <v>3</v>
      </c>
      <c r="BZ552">
        <v>70</v>
      </c>
      <c r="CA552">
        <v>10</v>
      </c>
      <c r="CB552" t="s">
        <v>3</v>
      </c>
      <c r="CE552">
        <v>0</v>
      </c>
      <c r="CF552">
        <v>0</v>
      </c>
      <c r="CG552">
        <v>0</v>
      </c>
      <c r="CM552">
        <v>0</v>
      </c>
      <c r="CN552" t="s">
        <v>3</v>
      </c>
      <c r="CO552">
        <v>0</v>
      </c>
      <c r="CP552">
        <f t="shared" si="520"/>
        <v>6197.73</v>
      </c>
      <c r="CQ552">
        <f t="shared" si="521"/>
        <v>0</v>
      </c>
      <c r="CR552">
        <f>(((((ET552*4))*BB552-((EU552*4))*BS552)+AE552*BS552)*AV552)</f>
        <v>0</v>
      </c>
      <c r="CS552">
        <f t="shared" si="522"/>
        <v>0</v>
      </c>
      <c r="CT552">
        <f t="shared" si="523"/>
        <v>5936.52</v>
      </c>
      <c r="CU552">
        <f t="shared" si="524"/>
        <v>0</v>
      </c>
      <c r="CV552">
        <f t="shared" si="525"/>
        <v>10.56</v>
      </c>
      <c r="CW552">
        <f t="shared" si="526"/>
        <v>0</v>
      </c>
      <c r="CX552">
        <f t="shared" si="527"/>
        <v>0</v>
      </c>
      <c r="CY552">
        <f t="shared" si="528"/>
        <v>4338.4110000000001</v>
      </c>
      <c r="CZ552">
        <f t="shared" si="529"/>
        <v>619.77299999999991</v>
      </c>
      <c r="DC552" t="s">
        <v>3</v>
      </c>
      <c r="DD552" t="s">
        <v>106</v>
      </c>
      <c r="DE552" t="s">
        <v>106</v>
      </c>
      <c r="DF552" t="s">
        <v>106</v>
      </c>
      <c r="DG552" t="s">
        <v>106</v>
      </c>
      <c r="DH552" t="s">
        <v>3</v>
      </c>
      <c r="DI552" t="s">
        <v>106</v>
      </c>
      <c r="DJ552" t="s">
        <v>106</v>
      </c>
      <c r="DK552" t="s">
        <v>3</v>
      </c>
      <c r="DL552" t="s">
        <v>3</v>
      </c>
      <c r="DM552" t="s">
        <v>3</v>
      </c>
      <c r="DN552">
        <v>0</v>
      </c>
      <c r="DO552">
        <v>0</v>
      </c>
      <c r="DP552">
        <v>1</v>
      </c>
      <c r="DQ552">
        <v>1</v>
      </c>
      <c r="DU552">
        <v>1003</v>
      </c>
      <c r="DV552" t="s">
        <v>104</v>
      </c>
      <c r="DW552" t="s">
        <v>104</v>
      </c>
      <c r="DX552">
        <v>100</v>
      </c>
      <c r="DZ552" t="s">
        <v>3</v>
      </c>
      <c r="EA552" t="s">
        <v>3</v>
      </c>
      <c r="EB552" t="s">
        <v>3</v>
      </c>
      <c r="EC552" t="s">
        <v>3</v>
      </c>
      <c r="EE552">
        <v>1441815344</v>
      </c>
      <c r="EF552">
        <v>1</v>
      </c>
      <c r="EG552" t="s">
        <v>22</v>
      </c>
      <c r="EH552">
        <v>0</v>
      </c>
      <c r="EI552" t="s">
        <v>3</v>
      </c>
      <c r="EJ552">
        <v>4</v>
      </c>
      <c r="EK552">
        <v>0</v>
      </c>
      <c r="EL552" t="s">
        <v>23</v>
      </c>
      <c r="EM552" t="s">
        <v>24</v>
      </c>
      <c r="EO552" t="s">
        <v>3</v>
      </c>
      <c r="EQ552">
        <v>1024</v>
      </c>
      <c r="ER552">
        <v>1484.13</v>
      </c>
      <c r="ES552">
        <v>0</v>
      </c>
      <c r="ET552">
        <v>0</v>
      </c>
      <c r="EU552">
        <v>0</v>
      </c>
      <c r="EV552">
        <v>1484.13</v>
      </c>
      <c r="EW552">
        <v>2.64</v>
      </c>
      <c r="EX552">
        <v>0</v>
      </c>
      <c r="EY552">
        <v>0</v>
      </c>
      <c r="FQ552">
        <v>0</v>
      </c>
      <c r="FR552">
        <f t="shared" si="530"/>
        <v>0</v>
      </c>
      <c r="FS552">
        <v>0</v>
      </c>
      <c r="FX552">
        <v>70</v>
      </c>
      <c r="FY552">
        <v>10</v>
      </c>
      <c r="GA552" t="s">
        <v>3</v>
      </c>
      <c r="GD552">
        <v>0</v>
      </c>
      <c r="GF552">
        <v>1802126441</v>
      </c>
      <c r="GG552">
        <v>2</v>
      </c>
      <c r="GH552">
        <v>1</v>
      </c>
      <c r="GI552">
        <v>-2</v>
      </c>
      <c r="GJ552">
        <v>0</v>
      </c>
      <c r="GK552">
        <f>ROUND(R552*(R12)/100,2)</f>
        <v>0</v>
      </c>
      <c r="GL552">
        <f t="shared" si="531"/>
        <v>0</v>
      </c>
      <c r="GM552">
        <f t="shared" si="532"/>
        <v>11155.91</v>
      </c>
      <c r="GN552">
        <f t="shared" si="533"/>
        <v>0</v>
      </c>
      <c r="GO552">
        <f t="shared" si="534"/>
        <v>0</v>
      </c>
      <c r="GP552">
        <f t="shared" si="535"/>
        <v>11155.91</v>
      </c>
      <c r="GR552">
        <v>0</v>
      </c>
      <c r="GS552">
        <v>3</v>
      </c>
      <c r="GT552">
        <v>0</v>
      </c>
      <c r="GU552" t="s">
        <v>3</v>
      </c>
      <c r="GV552">
        <f t="shared" si="536"/>
        <v>0</v>
      </c>
      <c r="GW552">
        <v>1</v>
      </c>
      <c r="GX552">
        <f t="shared" si="537"/>
        <v>0</v>
      </c>
      <c r="HA552">
        <v>0</v>
      </c>
      <c r="HB552">
        <v>0</v>
      </c>
      <c r="HC552">
        <f t="shared" si="538"/>
        <v>0</v>
      </c>
      <c r="HE552" t="s">
        <v>3</v>
      </c>
      <c r="HF552" t="s">
        <v>3</v>
      </c>
      <c r="HM552" t="s">
        <v>3</v>
      </c>
      <c r="HN552" t="s">
        <v>3</v>
      </c>
      <c r="HO552" t="s">
        <v>3</v>
      </c>
      <c r="HP552" t="s">
        <v>3</v>
      </c>
      <c r="HQ552" t="s">
        <v>3</v>
      </c>
      <c r="IK552">
        <v>0</v>
      </c>
    </row>
    <row r="553" spans="1:245" x14ac:dyDescent="0.2">
      <c r="A553">
        <v>17</v>
      </c>
      <c r="B553">
        <v>1</v>
      </c>
      <c r="D553">
        <f>ROW(EtalonRes!A444)</f>
        <v>444</v>
      </c>
      <c r="E553" t="s">
        <v>499</v>
      </c>
      <c r="F553" t="s">
        <v>30</v>
      </c>
      <c r="G553" t="s">
        <v>500</v>
      </c>
      <c r="H553" t="s">
        <v>20</v>
      </c>
      <c r="I553">
        <f>ROUND(ROUND(2+1+1+15,9),9)</f>
        <v>19</v>
      </c>
      <c r="J553">
        <v>0</v>
      </c>
      <c r="K553">
        <f>ROUND(ROUND(2+1+1+15,9),9)</f>
        <v>19</v>
      </c>
      <c r="O553">
        <f t="shared" si="506"/>
        <v>5437.42</v>
      </c>
      <c r="P553">
        <f t="shared" si="507"/>
        <v>0</v>
      </c>
      <c r="Q553">
        <f t="shared" si="508"/>
        <v>1485.42</v>
      </c>
      <c r="R553">
        <f t="shared" si="509"/>
        <v>941.83</v>
      </c>
      <c r="S553">
        <f t="shared" si="510"/>
        <v>3952</v>
      </c>
      <c r="T553">
        <f t="shared" si="511"/>
        <v>0</v>
      </c>
      <c r="U553">
        <f t="shared" si="512"/>
        <v>7.03</v>
      </c>
      <c r="V553">
        <f t="shared" si="513"/>
        <v>0</v>
      </c>
      <c r="W553">
        <f t="shared" si="514"/>
        <v>0</v>
      </c>
      <c r="X553">
        <f t="shared" si="515"/>
        <v>2766.4</v>
      </c>
      <c r="Y553">
        <f t="shared" si="516"/>
        <v>395.2</v>
      </c>
      <c r="AA553">
        <v>1472506909</v>
      </c>
      <c r="AB553">
        <f t="shared" si="517"/>
        <v>286.18</v>
      </c>
      <c r="AC553">
        <f t="shared" ref="AC553:AC561" si="539">ROUND((ES553),6)</f>
        <v>0</v>
      </c>
      <c r="AD553">
        <f t="shared" ref="AD553:AD561" si="540">ROUND((((ET553)-(EU553))+AE553),6)</f>
        <v>78.180000000000007</v>
      </c>
      <c r="AE553">
        <f t="shared" ref="AE553:AE561" si="541">ROUND((EU553),6)</f>
        <v>49.57</v>
      </c>
      <c r="AF553">
        <f t="shared" ref="AF553:AF561" si="542">ROUND((EV553),6)</f>
        <v>208</v>
      </c>
      <c r="AG553">
        <f t="shared" si="518"/>
        <v>0</v>
      </c>
      <c r="AH553">
        <f t="shared" ref="AH553:AH561" si="543">(EW553)</f>
        <v>0.37</v>
      </c>
      <c r="AI553">
        <f t="shared" ref="AI553:AI561" si="544">(EX553)</f>
        <v>0</v>
      </c>
      <c r="AJ553">
        <f t="shared" si="519"/>
        <v>0</v>
      </c>
      <c r="AK553">
        <v>286.18</v>
      </c>
      <c r="AL553">
        <v>0</v>
      </c>
      <c r="AM553">
        <v>78.180000000000007</v>
      </c>
      <c r="AN553">
        <v>49.57</v>
      </c>
      <c r="AO553">
        <v>208</v>
      </c>
      <c r="AP553">
        <v>0</v>
      </c>
      <c r="AQ553">
        <v>0.37</v>
      </c>
      <c r="AR553">
        <v>0</v>
      </c>
      <c r="AS553">
        <v>0</v>
      </c>
      <c r="AT553">
        <v>70</v>
      </c>
      <c r="AU553">
        <v>10</v>
      </c>
      <c r="AV553">
        <v>1</v>
      </c>
      <c r="AW553">
        <v>1</v>
      </c>
      <c r="AZ553">
        <v>1</v>
      </c>
      <c r="BA553">
        <v>1</v>
      </c>
      <c r="BB553">
        <v>1</v>
      </c>
      <c r="BC553">
        <v>1</v>
      </c>
      <c r="BD553" t="s">
        <v>3</v>
      </c>
      <c r="BE553" t="s">
        <v>3</v>
      </c>
      <c r="BF553" t="s">
        <v>3</v>
      </c>
      <c r="BG553" t="s">
        <v>3</v>
      </c>
      <c r="BH553">
        <v>0</v>
      </c>
      <c r="BI553">
        <v>4</v>
      </c>
      <c r="BJ553" t="s">
        <v>32</v>
      </c>
      <c r="BM553">
        <v>0</v>
      </c>
      <c r="BN553">
        <v>0</v>
      </c>
      <c r="BO553" t="s">
        <v>3</v>
      </c>
      <c r="BP553">
        <v>0</v>
      </c>
      <c r="BQ553">
        <v>1</v>
      </c>
      <c r="BR553">
        <v>0</v>
      </c>
      <c r="BS553">
        <v>1</v>
      </c>
      <c r="BT553">
        <v>1</v>
      </c>
      <c r="BU553">
        <v>1</v>
      </c>
      <c r="BV553">
        <v>1</v>
      </c>
      <c r="BW553">
        <v>1</v>
      </c>
      <c r="BX553">
        <v>1</v>
      </c>
      <c r="BY553" t="s">
        <v>3</v>
      </c>
      <c r="BZ553">
        <v>70</v>
      </c>
      <c r="CA553">
        <v>10</v>
      </c>
      <c r="CB553" t="s">
        <v>3</v>
      </c>
      <c r="CE553">
        <v>0</v>
      </c>
      <c r="CF553">
        <v>0</v>
      </c>
      <c r="CG553">
        <v>0</v>
      </c>
      <c r="CM553">
        <v>0</v>
      </c>
      <c r="CN553" t="s">
        <v>3</v>
      </c>
      <c r="CO553">
        <v>0</v>
      </c>
      <c r="CP553">
        <f t="shared" si="520"/>
        <v>5437.42</v>
      </c>
      <c r="CQ553">
        <f t="shared" si="521"/>
        <v>0</v>
      </c>
      <c r="CR553">
        <f t="shared" ref="CR553:CR561" si="545">((((ET553)*BB553-(EU553)*BS553)+AE553*BS553)*AV553)</f>
        <v>78.180000000000007</v>
      </c>
      <c r="CS553">
        <f t="shared" si="522"/>
        <v>49.57</v>
      </c>
      <c r="CT553">
        <f t="shared" si="523"/>
        <v>208</v>
      </c>
      <c r="CU553">
        <f t="shared" si="524"/>
        <v>0</v>
      </c>
      <c r="CV553">
        <f t="shared" si="525"/>
        <v>0.37</v>
      </c>
      <c r="CW553">
        <f t="shared" si="526"/>
        <v>0</v>
      </c>
      <c r="CX553">
        <f t="shared" si="527"/>
        <v>0</v>
      </c>
      <c r="CY553">
        <f t="shared" si="528"/>
        <v>2766.4</v>
      </c>
      <c r="CZ553">
        <f t="shared" si="529"/>
        <v>395.2</v>
      </c>
      <c r="DC553" t="s">
        <v>3</v>
      </c>
      <c r="DD553" t="s">
        <v>3</v>
      </c>
      <c r="DE553" t="s">
        <v>3</v>
      </c>
      <c r="DF553" t="s">
        <v>3</v>
      </c>
      <c r="DG553" t="s">
        <v>3</v>
      </c>
      <c r="DH553" t="s">
        <v>3</v>
      </c>
      <c r="DI553" t="s">
        <v>3</v>
      </c>
      <c r="DJ553" t="s">
        <v>3</v>
      </c>
      <c r="DK553" t="s">
        <v>3</v>
      </c>
      <c r="DL553" t="s">
        <v>3</v>
      </c>
      <c r="DM553" t="s">
        <v>3</v>
      </c>
      <c r="DN553">
        <v>0</v>
      </c>
      <c r="DO553">
        <v>0</v>
      </c>
      <c r="DP553">
        <v>1</v>
      </c>
      <c r="DQ553">
        <v>1</v>
      </c>
      <c r="DU553">
        <v>16987630</v>
      </c>
      <c r="DV553" t="s">
        <v>20</v>
      </c>
      <c r="DW553" t="s">
        <v>20</v>
      </c>
      <c r="DX553">
        <v>1</v>
      </c>
      <c r="DZ553" t="s">
        <v>3</v>
      </c>
      <c r="EA553" t="s">
        <v>3</v>
      </c>
      <c r="EB553" t="s">
        <v>3</v>
      </c>
      <c r="EC553" t="s">
        <v>3</v>
      </c>
      <c r="EE553">
        <v>1441815344</v>
      </c>
      <c r="EF553">
        <v>1</v>
      </c>
      <c r="EG553" t="s">
        <v>22</v>
      </c>
      <c r="EH553">
        <v>0</v>
      </c>
      <c r="EI553" t="s">
        <v>3</v>
      </c>
      <c r="EJ553">
        <v>4</v>
      </c>
      <c r="EK553">
        <v>0</v>
      </c>
      <c r="EL553" t="s">
        <v>23</v>
      </c>
      <c r="EM553" t="s">
        <v>24</v>
      </c>
      <c r="EO553" t="s">
        <v>3</v>
      </c>
      <c r="EQ553">
        <v>0</v>
      </c>
      <c r="ER553">
        <v>286.18</v>
      </c>
      <c r="ES553">
        <v>0</v>
      </c>
      <c r="ET553">
        <v>78.180000000000007</v>
      </c>
      <c r="EU553">
        <v>49.57</v>
      </c>
      <c r="EV553">
        <v>208</v>
      </c>
      <c r="EW553">
        <v>0.37</v>
      </c>
      <c r="EX553">
        <v>0</v>
      </c>
      <c r="EY553">
        <v>0</v>
      </c>
      <c r="FQ553">
        <v>0</v>
      </c>
      <c r="FR553">
        <f t="shared" si="530"/>
        <v>0</v>
      </c>
      <c r="FS553">
        <v>0</v>
      </c>
      <c r="FX553">
        <v>70</v>
      </c>
      <c r="FY553">
        <v>10</v>
      </c>
      <c r="GA553" t="s">
        <v>3</v>
      </c>
      <c r="GD553">
        <v>0</v>
      </c>
      <c r="GF553">
        <v>268269493</v>
      </c>
      <c r="GG553">
        <v>2</v>
      </c>
      <c r="GH553">
        <v>1</v>
      </c>
      <c r="GI553">
        <v>-2</v>
      </c>
      <c r="GJ553">
        <v>0</v>
      </c>
      <c r="GK553">
        <f>ROUND(R553*(R12)/100,2)</f>
        <v>1017.18</v>
      </c>
      <c r="GL553">
        <f t="shared" si="531"/>
        <v>0</v>
      </c>
      <c r="GM553">
        <f t="shared" si="532"/>
        <v>9616.2000000000007</v>
      </c>
      <c r="GN553">
        <f t="shared" si="533"/>
        <v>0</v>
      </c>
      <c r="GO553">
        <f t="shared" si="534"/>
        <v>0</v>
      </c>
      <c r="GP553">
        <f t="shared" si="535"/>
        <v>9616.2000000000007</v>
      </c>
      <c r="GR553">
        <v>0</v>
      </c>
      <c r="GS553">
        <v>3</v>
      </c>
      <c r="GT553">
        <v>0</v>
      </c>
      <c r="GU553" t="s">
        <v>3</v>
      </c>
      <c r="GV553">
        <f t="shared" si="536"/>
        <v>0</v>
      </c>
      <c r="GW553">
        <v>1</v>
      </c>
      <c r="GX553">
        <f t="shared" si="537"/>
        <v>0</v>
      </c>
      <c r="HA553">
        <v>0</v>
      </c>
      <c r="HB553">
        <v>0</v>
      </c>
      <c r="HC553">
        <f t="shared" si="538"/>
        <v>0</v>
      </c>
      <c r="HE553" t="s">
        <v>3</v>
      </c>
      <c r="HF553" t="s">
        <v>3</v>
      </c>
      <c r="HM553" t="s">
        <v>3</v>
      </c>
      <c r="HN553" t="s">
        <v>3</v>
      </c>
      <c r="HO553" t="s">
        <v>3</v>
      </c>
      <c r="HP553" t="s">
        <v>3</v>
      </c>
      <c r="HQ553" t="s">
        <v>3</v>
      </c>
      <c r="IK553">
        <v>0</v>
      </c>
    </row>
    <row r="554" spans="1:245" x14ac:dyDescent="0.2">
      <c r="A554">
        <v>17</v>
      </c>
      <c r="B554">
        <v>1</v>
      </c>
      <c r="D554">
        <f>ROW(EtalonRes!A445)</f>
        <v>445</v>
      </c>
      <c r="E554" t="s">
        <v>501</v>
      </c>
      <c r="F554" t="s">
        <v>92</v>
      </c>
      <c r="G554" t="s">
        <v>93</v>
      </c>
      <c r="H554" t="s">
        <v>94</v>
      </c>
      <c r="I554">
        <f>ROUND(ROUND((2+1+1)/10,9),9)</f>
        <v>0.4</v>
      </c>
      <c r="J554">
        <v>0</v>
      </c>
      <c r="K554">
        <f>ROUND(ROUND((2+1+1)/10,9),9)</f>
        <v>0.4</v>
      </c>
      <c r="O554">
        <f t="shared" si="506"/>
        <v>111.15</v>
      </c>
      <c r="P554">
        <f t="shared" si="507"/>
        <v>0</v>
      </c>
      <c r="Q554">
        <f t="shared" si="508"/>
        <v>0</v>
      </c>
      <c r="R554">
        <f t="shared" si="509"/>
        <v>0</v>
      </c>
      <c r="S554">
        <f t="shared" si="510"/>
        <v>111.15</v>
      </c>
      <c r="T554">
        <f t="shared" si="511"/>
        <v>0</v>
      </c>
      <c r="U554">
        <f t="shared" si="512"/>
        <v>0.18000000000000002</v>
      </c>
      <c r="V554">
        <f t="shared" si="513"/>
        <v>0</v>
      </c>
      <c r="W554">
        <f t="shared" si="514"/>
        <v>0</v>
      </c>
      <c r="X554">
        <f t="shared" si="515"/>
        <v>77.81</v>
      </c>
      <c r="Y554">
        <f t="shared" si="516"/>
        <v>11.12</v>
      </c>
      <c r="AA554">
        <v>1472506909</v>
      </c>
      <c r="AB554">
        <f t="shared" si="517"/>
        <v>277.87</v>
      </c>
      <c r="AC554">
        <f t="shared" si="539"/>
        <v>0</v>
      </c>
      <c r="AD554">
        <f t="shared" si="540"/>
        <v>0</v>
      </c>
      <c r="AE554">
        <f t="shared" si="541"/>
        <v>0</v>
      </c>
      <c r="AF554">
        <f t="shared" si="542"/>
        <v>277.87</v>
      </c>
      <c r="AG554">
        <f t="shared" si="518"/>
        <v>0</v>
      </c>
      <c r="AH554">
        <f t="shared" si="543"/>
        <v>0.45</v>
      </c>
      <c r="AI554">
        <f t="shared" si="544"/>
        <v>0</v>
      </c>
      <c r="AJ554">
        <f t="shared" si="519"/>
        <v>0</v>
      </c>
      <c r="AK554">
        <v>277.87</v>
      </c>
      <c r="AL554">
        <v>0</v>
      </c>
      <c r="AM554">
        <v>0</v>
      </c>
      <c r="AN554">
        <v>0</v>
      </c>
      <c r="AO554">
        <v>277.87</v>
      </c>
      <c r="AP554">
        <v>0</v>
      </c>
      <c r="AQ554">
        <v>0.45</v>
      </c>
      <c r="AR554">
        <v>0</v>
      </c>
      <c r="AS554">
        <v>0</v>
      </c>
      <c r="AT554">
        <v>70</v>
      </c>
      <c r="AU554">
        <v>10</v>
      </c>
      <c r="AV554">
        <v>1</v>
      </c>
      <c r="AW554">
        <v>1</v>
      </c>
      <c r="AZ554">
        <v>1</v>
      </c>
      <c r="BA554">
        <v>1</v>
      </c>
      <c r="BB554">
        <v>1</v>
      </c>
      <c r="BC554">
        <v>1</v>
      </c>
      <c r="BD554" t="s">
        <v>3</v>
      </c>
      <c r="BE554" t="s">
        <v>3</v>
      </c>
      <c r="BF554" t="s">
        <v>3</v>
      </c>
      <c r="BG554" t="s">
        <v>3</v>
      </c>
      <c r="BH554">
        <v>0</v>
      </c>
      <c r="BI554">
        <v>4</v>
      </c>
      <c r="BJ554" t="s">
        <v>95</v>
      </c>
      <c r="BM554">
        <v>0</v>
      </c>
      <c r="BN554">
        <v>0</v>
      </c>
      <c r="BO554" t="s">
        <v>3</v>
      </c>
      <c r="BP554">
        <v>0</v>
      </c>
      <c r="BQ554">
        <v>1</v>
      </c>
      <c r="BR554">
        <v>0</v>
      </c>
      <c r="BS554">
        <v>1</v>
      </c>
      <c r="BT554">
        <v>1</v>
      </c>
      <c r="BU554">
        <v>1</v>
      </c>
      <c r="BV554">
        <v>1</v>
      </c>
      <c r="BW554">
        <v>1</v>
      </c>
      <c r="BX554">
        <v>1</v>
      </c>
      <c r="BY554" t="s">
        <v>3</v>
      </c>
      <c r="BZ554">
        <v>70</v>
      </c>
      <c r="CA554">
        <v>10</v>
      </c>
      <c r="CB554" t="s">
        <v>3</v>
      </c>
      <c r="CE554">
        <v>0</v>
      </c>
      <c r="CF554">
        <v>0</v>
      </c>
      <c r="CG554">
        <v>0</v>
      </c>
      <c r="CM554">
        <v>0</v>
      </c>
      <c r="CN554" t="s">
        <v>3</v>
      </c>
      <c r="CO554">
        <v>0</v>
      </c>
      <c r="CP554">
        <f t="shared" si="520"/>
        <v>111.15</v>
      </c>
      <c r="CQ554">
        <f t="shared" si="521"/>
        <v>0</v>
      </c>
      <c r="CR554">
        <f t="shared" si="545"/>
        <v>0</v>
      </c>
      <c r="CS554">
        <f t="shared" si="522"/>
        <v>0</v>
      </c>
      <c r="CT554">
        <f t="shared" si="523"/>
        <v>277.87</v>
      </c>
      <c r="CU554">
        <f t="shared" si="524"/>
        <v>0</v>
      </c>
      <c r="CV554">
        <f t="shared" si="525"/>
        <v>0.45</v>
      </c>
      <c r="CW554">
        <f t="shared" si="526"/>
        <v>0</v>
      </c>
      <c r="CX554">
        <f t="shared" si="527"/>
        <v>0</v>
      </c>
      <c r="CY554">
        <f t="shared" si="528"/>
        <v>77.805000000000007</v>
      </c>
      <c r="CZ554">
        <f t="shared" si="529"/>
        <v>11.115</v>
      </c>
      <c r="DC554" t="s">
        <v>3</v>
      </c>
      <c r="DD554" t="s">
        <v>3</v>
      </c>
      <c r="DE554" t="s">
        <v>3</v>
      </c>
      <c r="DF554" t="s">
        <v>3</v>
      </c>
      <c r="DG554" t="s">
        <v>3</v>
      </c>
      <c r="DH554" t="s">
        <v>3</v>
      </c>
      <c r="DI554" t="s">
        <v>3</v>
      </c>
      <c r="DJ554" t="s">
        <v>3</v>
      </c>
      <c r="DK554" t="s">
        <v>3</v>
      </c>
      <c r="DL554" t="s">
        <v>3</v>
      </c>
      <c r="DM554" t="s">
        <v>3</v>
      </c>
      <c r="DN554">
        <v>0</v>
      </c>
      <c r="DO554">
        <v>0</v>
      </c>
      <c r="DP554">
        <v>1</v>
      </c>
      <c r="DQ554">
        <v>1</v>
      </c>
      <c r="DU554">
        <v>16987630</v>
      </c>
      <c r="DV554" t="s">
        <v>94</v>
      </c>
      <c r="DW554" t="s">
        <v>94</v>
      </c>
      <c r="DX554">
        <v>10</v>
      </c>
      <c r="DZ554" t="s">
        <v>3</v>
      </c>
      <c r="EA554" t="s">
        <v>3</v>
      </c>
      <c r="EB554" t="s">
        <v>3</v>
      </c>
      <c r="EC554" t="s">
        <v>3</v>
      </c>
      <c r="EE554">
        <v>1441815344</v>
      </c>
      <c r="EF554">
        <v>1</v>
      </c>
      <c r="EG554" t="s">
        <v>22</v>
      </c>
      <c r="EH554">
        <v>0</v>
      </c>
      <c r="EI554" t="s">
        <v>3</v>
      </c>
      <c r="EJ554">
        <v>4</v>
      </c>
      <c r="EK554">
        <v>0</v>
      </c>
      <c r="EL554" t="s">
        <v>23</v>
      </c>
      <c r="EM554" t="s">
        <v>24</v>
      </c>
      <c r="EO554" t="s">
        <v>3</v>
      </c>
      <c r="EQ554">
        <v>0</v>
      </c>
      <c r="ER554">
        <v>277.87</v>
      </c>
      <c r="ES554">
        <v>0</v>
      </c>
      <c r="ET554">
        <v>0</v>
      </c>
      <c r="EU554">
        <v>0</v>
      </c>
      <c r="EV554">
        <v>277.87</v>
      </c>
      <c r="EW554">
        <v>0.45</v>
      </c>
      <c r="EX554">
        <v>0</v>
      </c>
      <c r="EY554">
        <v>0</v>
      </c>
      <c r="FQ554">
        <v>0</v>
      </c>
      <c r="FR554">
        <f t="shared" si="530"/>
        <v>0</v>
      </c>
      <c r="FS554">
        <v>0</v>
      </c>
      <c r="FX554">
        <v>70</v>
      </c>
      <c r="FY554">
        <v>10</v>
      </c>
      <c r="GA554" t="s">
        <v>3</v>
      </c>
      <c r="GD554">
        <v>0</v>
      </c>
      <c r="GF554">
        <v>-559430364</v>
      </c>
      <c r="GG554">
        <v>2</v>
      </c>
      <c r="GH554">
        <v>1</v>
      </c>
      <c r="GI554">
        <v>-2</v>
      </c>
      <c r="GJ554">
        <v>0</v>
      </c>
      <c r="GK554">
        <f>ROUND(R554*(R12)/100,2)</f>
        <v>0</v>
      </c>
      <c r="GL554">
        <f t="shared" si="531"/>
        <v>0</v>
      </c>
      <c r="GM554">
        <f t="shared" si="532"/>
        <v>200.08</v>
      </c>
      <c r="GN554">
        <f t="shared" si="533"/>
        <v>0</v>
      </c>
      <c r="GO554">
        <f t="shared" si="534"/>
        <v>0</v>
      </c>
      <c r="GP554">
        <f t="shared" si="535"/>
        <v>200.08</v>
      </c>
      <c r="GR554">
        <v>0</v>
      </c>
      <c r="GS554">
        <v>3</v>
      </c>
      <c r="GT554">
        <v>0</v>
      </c>
      <c r="GU554" t="s">
        <v>3</v>
      </c>
      <c r="GV554">
        <f t="shared" si="536"/>
        <v>0</v>
      </c>
      <c r="GW554">
        <v>1</v>
      </c>
      <c r="GX554">
        <f t="shared" si="537"/>
        <v>0</v>
      </c>
      <c r="HA554">
        <v>0</v>
      </c>
      <c r="HB554">
        <v>0</v>
      </c>
      <c r="HC554">
        <f t="shared" si="538"/>
        <v>0</v>
      </c>
      <c r="HE554" t="s">
        <v>3</v>
      </c>
      <c r="HF554" t="s">
        <v>3</v>
      </c>
      <c r="HM554" t="s">
        <v>3</v>
      </c>
      <c r="HN554" t="s">
        <v>3</v>
      </c>
      <c r="HO554" t="s">
        <v>3</v>
      </c>
      <c r="HP554" t="s">
        <v>3</v>
      </c>
      <c r="HQ554" t="s">
        <v>3</v>
      </c>
      <c r="IK554">
        <v>0</v>
      </c>
    </row>
    <row r="555" spans="1:245" x14ac:dyDescent="0.2">
      <c r="A555">
        <v>17</v>
      </c>
      <c r="B555">
        <v>1</v>
      </c>
      <c r="D555">
        <f>ROW(EtalonRes!A446)</f>
        <v>446</v>
      </c>
      <c r="E555" t="s">
        <v>502</v>
      </c>
      <c r="F555" t="s">
        <v>97</v>
      </c>
      <c r="G555" t="s">
        <v>98</v>
      </c>
      <c r="H555" t="s">
        <v>94</v>
      </c>
      <c r="I555">
        <f>ROUND(ROUND((15)/10,9),9)</f>
        <v>1.5</v>
      </c>
      <c r="J555">
        <v>0</v>
      </c>
      <c r="K555">
        <f>ROUND(ROUND((15)/10,9),9)</f>
        <v>1.5</v>
      </c>
      <c r="O555">
        <f t="shared" si="506"/>
        <v>565.01</v>
      </c>
      <c r="P555">
        <f t="shared" si="507"/>
        <v>0</v>
      </c>
      <c r="Q555">
        <f t="shared" si="508"/>
        <v>0</v>
      </c>
      <c r="R555">
        <f t="shared" si="509"/>
        <v>0</v>
      </c>
      <c r="S555">
        <f t="shared" si="510"/>
        <v>565.01</v>
      </c>
      <c r="T555">
        <f t="shared" si="511"/>
        <v>0</v>
      </c>
      <c r="U555">
        <f t="shared" si="512"/>
        <v>0.91500000000000004</v>
      </c>
      <c r="V555">
        <f t="shared" si="513"/>
        <v>0</v>
      </c>
      <c r="W555">
        <f t="shared" si="514"/>
        <v>0</v>
      </c>
      <c r="X555">
        <f t="shared" si="515"/>
        <v>395.51</v>
      </c>
      <c r="Y555">
        <f t="shared" si="516"/>
        <v>56.5</v>
      </c>
      <c r="AA555">
        <v>1472506909</v>
      </c>
      <c r="AB555">
        <f t="shared" si="517"/>
        <v>376.67</v>
      </c>
      <c r="AC555">
        <f t="shared" si="539"/>
        <v>0</v>
      </c>
      <c r="AD555">
        <f t="shared" si="540"/>
        <v>0</v>
      </c>
      <c r="AE555">
        <f t="shared" si="541"/>
        <v>0</v>
      </c>
      <c r="AF555">
        <f t="shared" si="542"/>
        <v>376.67</v>
      </c>
      <c r="AG555">
        <f t="shared" si="518"/>
        <v>0</v>
      </c>
      <c r="AH555">
        <f t="shared" si="543"/>
        <v>0.61</v>
      </c>
      <c r="AI555">
        <f t="shared" si="544"/>
        <v>0</v>
      </c>
      <c r="AJ555">
        <f t="shared" si="519"/>
        <v>0</v>
      </c>
      <c r="AK555">
        <v>376.67</v>
      </c>
      <c r="AL555">
        <v>0</v>
      </c>
      <c r="AM555">
        <v>0</v>
      </c>
      <c r="AN555">
        <v>0</v>
      </c>
      <c r="AO555">
        <v>376.67</v>
      </c>
      <c r="AP555">
        <v>0</v>
      </c>
      <c r="AQ555">
        <v>0.61</v>
      </c>
      <c r="AR555">
        <v>0</v>
      </c>
      <c r="AS555">
        <v>0</v>
      </c>
      <c r="AT555">
        <v>70</v>
      </c>
      <c r="AU555">
        <v>10</v>
      </c>
      <c r="AV555">
        <v>1</v>
      </c>
      <c r="AW555">
        <v>1</v>
      </c>
      <c r="AZ555">
        <v>1</v>
      </c>
      <c r="BA555">
        <v>1</v>
      </c>
      <c r="BB555">
        <v>1</v>
      </c>
      <c r="BC555">
        <v>1</v>
      </c>
      <c r="BD555" t="s">
        <v>3</v>
      </c>
      <c r="BE555" t="s">
        <v>3</v>
      </c>
      <c r="BF555" t="s">
        <v>3</v>
      </c>
      <c r="BG555" t="s">
        <v>3</v>
      </c>
      <c r="BH555">
        <v>0</v>
      </c>
      <c r="BI555">
        <v>4</v>
      </c>
      <c r="BJ555" t="s">
        <v>99</v>
      </c>
      <c r="BM555">
        <v>0</v>
      </c>
      <c r="BN555">
        <v>0</v>
      </c>
      <c r="BO555" t="s">
        <v>3</v>
      </c>
      <c r="BP555">
        <v>0</v>
      </c>
      <c r="BQ555">
        <v>1</v>
      </c>
      <c r="BR555">
        <v>0</v>
      </c>
      <c r="BS555">
        <v>1</v>
      </c>
      <c r="BT555">
        <v>1</v>
      </c>
      <c r="BU555">
        <v>1</v>
      </c>
      <c r="BV555">
        <v>1</v>
      </c>
      <c r="BW555">
        <v>1</v>
      </c>
      <c r="BX555">
        <v>1</v>
      </c>
      <c r="BY555" t="s">
        <v>3</v>
      </c>
      <c r="BZ555">
        <v>70</v>
      </c>
      <c r="CA555">
        <v>10</v>
      </c>
      <c r="CB555" t="s">
        <v>3</v>
      </c>
      <c r="CE555">
        <v>0</v>
      </c>
      <c r="CF555">
        <v>0</v>
      </c>
      <c r="CG555">
        <v>0</v>
      </c>
      <c r="CM555">
        <v>0</v>
      </c>
      <c r="CN555" t="s">
        <v>3</v>
      </c>
      <c r="CO555">
        <v>0</v>
      </c>
      <c r="CP555">
        <f t="shared" si="520"/>
        <v>565.01</v>
      </c>
      <c r="CQ555">
        <f t="shared" si="521"/>
        <v>0</v>
      </c>
      <c r="CR555">
        <f t="shared" si="545"/>
        <v>0</v>
      </c>
      <c r="CS555">
        <f t="shared" si="522"/>
        <v>0</v>
      </c>
      <c r="CT555">
        <f t="shared" si="523"/>
        <v>376.67</v>
      </c>
      <c r="CU555">
        <f t="shared" si="524"/>
        <v>0</v>
      </c>
      <c r="CV555">
        <f t="shared" si="525"/>
        <v>0.61</v>
      </c>
      <c r="CW555">
        <f t="shared" si="526"/>
        <v>0</v>
      </c>
      <c r="CX555">
        <f t="shared" si="527"/>
        <v>0</v>
      </c>
      <c r="CY555">
        <f t="shared" si="528"/>
        <v>395.50699999999995</v>
      </c>
      <c r="CZ555">
        <f t="shared" si="529"/>
        <v>56.501000000000005</v>
      </c>
      <c r="DC555" t="s">
        <v>3</v>
      </c>
      <c r="DD555" t="s">
        <v>3</v>
      </c>
      <c r="DE555" t="s">
        <v>3</v>
      </c>
      <c r="DF555" t="s">
        <v>3</v>
      </c>
      <c r="DG555" t="s">
        <v>3</v>
      </c>
      <c r="DH555" t="s">
        <v>3</v>
      </c>
      <c r="DI555" t="s">
        <v>3</v>
      </c>
      <c r="DJ555" t="s">
        <v>3</v>
      </c>
      <c r="DK555" t="s">
        <v>3</v>
      </c>
      <c r="DL555" t="s">
        <v>3</v>
      </c>
      <c r="DM555" t="s">
        <v>3</v>
      </c>
      <c r="DN555">
        <v>0</v>
      </c>
      <c r="DO555">
        <v>0</v>
      </c>
      <c r="DP555">
        <v>1</v>
      </c>
      <c r="DQ555">
        <v>1</v>
      </c>
      <c r="DU555">
        <v>16987630</v>
      </c>
      <c r="DV555" t="s">
        <v>94</v>
      </c>
      <c r="DW555" t="s">
        <v>94</v>
      </c>
      <c r="DX555">
        <v>10</v>
      </c>
      <c r="DZ555" t="s">
        <v>3</v>
      </c>
      <c r="EA555" t="s">
        <v>3</v>
      </c>
      <c r="EB555" t="s">
        <v>3</v>
      </c>
      <c r="EC555" t="s">
        <v>3</v>
      </c>
      <c r="EE555">
        <v>1441815344</v>
      </c>
      <c r="EF555">
        <v>1</v>
      </c>
      <c r="EG555" t="s">
        <v>22</v>
      </c>
      <c r="EH555">
        <v>0</v>
      </c>
      <c r="EI555" t="s">
        <v>3</v>
      </c>
      <c r="EJ555">
        <v>4</v>
      </c>
      <c r="EK555">
        <v>0</v>
      </c>
      <c r="EL555" t="s">
        <v>23</v>
      </c>
      <c r="EM555" t="s">
        <v>24</v>
      </c>
      <c r="EO555" t="s">
        <v>3</v>
      </c>
      <c r="EQ555">
        <v>0</v>
      </c>
      <c r="ER555">
        <v>376.67</v>
      </c>
      <c r="ES555">
        <v>0</v>
      </c>
      <c r="ET555">
        <v>0</v>
      </c>
      <c r="EU555">
        <v>0</v>
      </c>
      <c r="EV555">
        <v>376.67</v>
      </c>
      <c r="EW555">
        <v>0.61</v>
      </c>
      <c r="EX555">
        <v>0</v>
      </c>
      <c r="EY555">
        <v>0</v>
      </c>
      <c r="FQ555">
        <v>0</v>
      </c>
      <c r="FR555">
        <f t="shared" si="530"/>
        <v>0</v>
      </c>
      <c r="FS555">
        <v>0</v>
      </c>
      <c r="FX555">
        <v>70</v>
      </c>
      <c r="FY555">
        <v>10</v>
      </c>
      <c r="GA555" t="s">
        <v>3</v>
      </c>
      <c r="GD555">
        <v>0</v>
      </c>
      <c r="GF555">
        <v>357408898</v>
      </c>
      <c r="GG555">
        <v>2</v>
      </c>
      <c r="GH555">
        <v>1</v>
      </c>
      <c r="GI555">
        <v>-2</v>
      </c>
      <c r="GJ555">
        <v>0</v>
      </c>
      <c r="GK555">
        <f>ROUND(R555*(R12)/100,2)</f>
        <v>0</v>
      </c>
      <c r="GL555">
        <f t="shared" si="531"/>
        <v>0</v>
      </c>
      <c r="GM555">
        <f t="shared" si="532"/>
        <v>1017.02</v>
      </c>
      <c r="GN555">
        <f t="shared" si="533"/>
        <v>0</v>
      </c>
      <c r="GO555">
        <f t="shared" si="534"/>
        <v>0</v>
      </c>
      <c r="GP555">
        <f t="shared" si="535"/>
        <v>1017.02</v>
      </c>
      <c r="GR555">
        <v>0</v>
      </c>
      <c r="GS555">
        <v>3</v>
      </c>
      <c r="GT555">
        <v>0</v>
      </c>
      <c r="GU555" t="s">
        <v>3</v>
      </c>
      <c r="GV555">
        <f t="shared" si="536"/>
        <v>0</v>
      </c>
      <c r="GW555">
        <v>1</v>
      </c>
      <c r="GX555">
        <f t="shared" si="537"/>
        <v>0</v>
      </c>
      <c r="HA555">
        <v>0</v>
      </c>
      <c r="HB555">
        <v>0</v>
      </c>
      <c r="HC555">
        <f t="shared" si="538"/>
        <v>0</v>
      </c>
      <c r="HE555" t="s">
        <v>3</v>
      </c>
      <c r="HF555" t="s">
        <v>3</v>
      </c>
      <c r="HM555" t="s">
        <v>3</v>
      </c>
      <c r="HN555" t="s">
        <v>3</v>
      </c>
      <c r="HO555" t="s">
        <v>3</v>
      </c>
      <c r="HP555" t="s">
        <v>3</v>
      </c>
      <c r="HQ555" t="s">
        <v>3</v>
      </c>
      <c r="IK555">
        <v>0</v>
      </c>
    </row>
    <row r="556" spans="1:245" x14ac:dyDescent="0.2">
      <c r="A556">
        <v>17</v>
      </c>
      <c r="B556">
        <v>1</v>
      </c>
      <c r="D556">
        <f>ROW(EtalonRes!A452)</f>
        <v>452</v>
      </c>
      <c r="E556" t="s">
        <v>3</v>
      </c>
      <c r="F556" t="s">
        <v>262</v>
      </c>
      <c r="G556" t="s">
        <v>263</v>
      </c>
      <c r="H556" t="s">
        <v>104</v>
      </c>
      <c r="I556">
        <f>ROUND(ROUND((84+27+49+141)/100,9),9)</f>
        <v>3.01</v>
      </c>
      <c r="J556">
        <v>0</v>
      </c>
      <c r="K556">
        <f>ROUND(ROUND((84+27+49+141)/100,9),9)</f>
        <v>3.01</v>
      </c>
      <c r="O556">
        <f t="shared" si="506"/>
        <v>23859.22</v>
      </c>
      <c r="P556">
        <f t="shared" si="507"/>
        <v>211.39</v>
      </c>
      <c r="Q556">
        <f t="shared" si="508"/>
        <v>152.61000000000001</v>
      </c>
      <c r="R556">
        <f t="shared" si="509"/>
        <v>2.44</v>
      </c>
      <c r="S556">
        <f t="shared" si="510"/>
        <v>23495.22</v>
      </c>
      <c r="T556">
        <f t="shared" si="511"/>
        <v>0</v>
      </c>
      <c r="U556">
        <f t="shared" si="512"/>
        <v>32.026400000000002</v>
      </c>
      <c r="V556">
        <f t="shared" si="513"/>
        <v>0</v>
      </c>
      <c r="W556">
        <f t="shared" si="514"/>
        <v>0</v>
      </c>
      <c r="X556">
        <f t="shared" si="515"/>
        <v>16446.650000000001</v>
      </c>
      <c r="Y556">
        <f t="shared" si="516"/>
        <v>2349.52</v>
      </c>
      <c r="AA556">
        <v>-1</v>
      </c>
      <c r="AB556">
        <f t="shared" si="517"/>
        <v>7926.65</v>
      </c>
      <c r="AC556">
        <f t="shared" si="539"/>
        <v>70.23</v>
      </c>
      <c r="AD556">
        <f t="shared" si="540"/>
        <v>50.7</v>
      </c>
      <c r="AE556">
        <f t="shared" si="541"/>
        <v>0.81</v>
      </c>
      <c r="AF556">
        <f t="shared" si="542"/>
        <v>7805.72</v>
      </c>
      <c r="AG556">
        <f t="shared" si="518"/>
        <v>0</v>
      </c>
      <c r="AH556">
        <f t="shared" si="543"/>
        <v>10.64</v>
      </c>
      <c r="AI556">
        <f t="shared" si="544"/>
        <v>0</v>
      </c>
      <c r="AJ556">
        <f t="shared" si="519"/>
        <v>0</v>
      </c>
      <c r="AK556">
        <v>7926.65</v>
      </c>
      <c r="AL556">
        <v>70.23</v>
      </c>
      <c r="AM556">
        <v>50.7</v>
      </c>
      <c r="AN556">
        <v>0.81</v>
      </c>
      <c r="AO556">
        <v>7805.72</v>
      </c>
      <c r="AP556">
        <v>0</v>
      </c>
      <c r="AQ556">
        <v>10.64</v>
      </c>
      <c r="AR556">
        <v>0</v>
      </c>
      <c r="AS556">
        <v>0</v>
      </c>
      <c r="AT556">
        <v>70</v>
      </c>
      <c r="AU556">
        <v>10</v>
      </c>
      <c r="AV556">
        <v>1</v>
      </c>
      <c r="AW556">
        <v>1</v>
      </c>
      <c r="AZ556">
        <v>1</v>
      </c>
      <c r="BA556">
        <v>1</v>
      </c>
      <c r="BB556">
        <v>1</v>
      </c>
      <c r="BC556">
        <v>1</v>
      </c>
      <c r="BD556" t="s">
        <v>3</v>
      </c>
      <c r="BE556" t="s">
        <v>3</v>
      </c>
      <c r="BF556" t="s">
        <v>3</v>
      </c>
      <c r="BG556" t="s">
        <v>3</v>
      </c>
      <c r="BH556">
        <v>0</v>
      </c>
      <c r="BI556">
        <v>4</v>
      </c>
      <c r="BJ556" t="s">
        <v>264</v>
      </c>
      <c r="BM556">
        <v>0</v>
      </c>
      <c r="BN556">
        <v>0</v>
      </c>
      <c r="BO556" t="s">
        <v>3</v>
      </c>
      <c r="BP556">
        <v>0</v>
      </c>
      <c r="BQ556">
        <v>1</v>
      </c>
      <c r="BR556">
        <v>0</v>
      </c>
      <c r="BS556">
        <v>1</v>
      </c>
      <c r="BT556">
        <v>1</v>
      </c>
      <c r="BU556">
        <v>1</v>
      </c>
      <c r="BV556">
        <v>1</v>
      </c>
      <c r="BW556">
        <v>1</v>
      </c>
      <c r="BX556">
        <v>1</v>
      </c>
      <c r="BY556" t="s">
        <v>3</v>
      </c>
      <c r="BZ556">
        <v>70</v>
      </c>
      <c r="CA556">
        <v>10</v>
      </c>
      <c r="CB556" t="s">
        <v>3</v>
      </c>
      <c r="CE556">
        <v>0</v>
      </c>
      <c r="CF556">
        <v>0</v>
      </c>
      <c r="CG556">
        <v>0</v>
      </c>
      <c r="CM556">
        <v>0</v>
      </c>
      <c r="CN556" t="s">
        <v>3</v>
      </c>
      <c r="CO556">
        <v>0</v>
      </c>
      <c r="CP556">
        <f t="shared" si="520"/>
        <v>23859.22</v>
      </c>
      <c r="CQ556">
        <f t="shared" si="521"/>
        <v>70.23</v>
      </c>
      <c r="CR556">
        <f t="shared" si="545"/>
        <v>50.7</v>
      </c>
      <c r="CS556">
        <f t="shared" si="522"/>
        <v>0.81</v>
      </c>
      <c r="CT556">
        <f t="shared" si="523"/>
        <v>7805.72</v>
      </c>
      <c r="CU556">
        <f t="shared" si="524"/>
        <v>0</v>
      </c>
      <c r="CV556">
        <f t="shared" si="525"/>
        <v>10.64</v>
      </c>
      <c r="CW556">
        <f t="shared" si="526"/>
        <v>0</v>
      </c>
      <c r="CX556">
        <f t="shared" si="527"/>
        <v>0</v>
      </c>
      <c r="CY556">
        <f t="shared" si="528"/>
        <v>16446.654000000002</v>
      </c>
      <c r="CZ556">
        <f t="shared" si="529"/>
        <v>2349.5219999999999</v>
      </c>
      <c r="DC556" t="s">
        <v>3</v>
      </c>
      <c r="DD556" t="s">
        <v>3</v>
      </c>
      <c r="DE556" t="s">
        <v>3</v>
      </c>
      <c r="DF556" t="s">
        <v>3</v>
      </c>
      <c r="DG556" t="s">
        <v>3</v>
      </c>
      <c r="DH556" t="s">
        <v>3</v>
      </c>
      <c r="DI556" t="s">
        <v>3</v>
      </c>
      <c r="DJ556" t="s">
        <v>3</v>
      </c>
      <c r="DK556" t="s">
        <v>3</v>
      </c>
      <c r="DL556" t="s">
        <v>3</v>
      </c>
      <c r="DM556" t="s">
        <v>3</v>
      </c>
      <c r="DN556">
        <v>0</v>
      </c>
      <c r="DO556">
        <v>0</v>
      </c>
      <c r="DP556">
        <v>1</v>
      </c>
      <c r="DQ556">
        <v>1</v>
      </c>
      <c r="DU556">
        <v>1003</v>
      </c>
      <c r="DV556" t="s">
        <v>104</v>
      </c>
      <c r="DW556" t="s">
        <v>104</v>
      </c>
      <c r="DX556">
        <v>100</v>
      </c>
      <c r="DZ556" t="s">
        <v>3</v>
      </c>
      <c r="EA556" t="s">
        <v>3</v>
      </c>
      <c r="EB556" t="s">
        <v>3</v>
      </c>
      <c r="EC556" t="s">
        <v>3</v>
      </c>
      <c r="EE556">
        <v>1441815344</v>
      </c>
      <c r="EF556">
        <v>1</v>
      </c>
      <c r="EG556" t="s">
        <v>22</v>
      </c>
      <c r="EH556">
        <v>0</v>
      </c>
      <c r="EI556" t="s">
        <v>3</v>
      </c>
      <c r="EJ556">
        <v>4</v>
      </c>
      <c r="EK556">
        <v>0</v>
      </c>
      <c r="EL556" t="s">
        <v>23</v>
      </c>
      <c r="EM556" t="s">
        <v>24</v>
      </c>
      <c r="EO556" t="s">
        <v>3</v>
      </c>
      <c r="EQ556">
        <v>1024</v>
      </c>
      <c r="ER556">
        <v>7926.65</v>
      </c>
      <c r="ES556">
        <v>70.23</v>
      </c>
      <c r="ET556">
        <v>50.7</v>
      </c>
      <c r="EU556">
        <v>0.81</v>
      </c>
      <c r="EV556">
        <v>7805.72</v>
      </c>
      <c r="EW556">
        <v>10.64</v>
      </c>
      <c r="EX556">
        <v>0</v>
      </c>
      <c r="EY556">
        <v>0</v>
      </c>
      <c r="FQ556">
        <v>0</v>
      </c>
      <c r="FR556">
        <f t="shared" si="530"/>
        <v>0</v>
      </c>
      <c r="FS556">
        <v>0</v>
      </c>
      <c r="FX556">
        <v>70</v>
      </c>
      <c r="FY556">
        <v>10</v>
      </c>
      <c r="GA556" t="s">
        <v>3</v>
      </c>
      <c r="GD556">
        <v>0</v>
      </c>
      <c r="GF556">
        <v>1087258960</v>
      </c>
      <c r="GG556">
        <v>2</v>
      </c>
      <c r="GH556">
        <v>1</v>
      </c>
      <c r="GI556">
        <v>-2</v>
      </c>
      <c r="GJ556">
        <v>0</v>
      </c>
      <c r="GK556">
        <f>ROUND(R556*(R12)/100,2)</f>
        <v>2.64</v>
      </c>
      <c r="GL556">
        <f t="shared" si="531"/>
        <v>0</v>
      </c>
      <c r="GM556">
        <f t="shared" si="532"/>
        <v>42658.03</v>
      </c>
      <c r="GN556">
        <f t="shared" si="533"/>
        <v>0</v>
      </c>
      <c r="GO556">
        <f t="shared" si="534"/>
        <v>0</v>
      </c>
      <c r="GP556">
        <f t="shared" si="535"/>
        <v>42658.03</v>
      </c>
      <c r="GR556">
        <v>0</v>
      </c>
      <c r="GS556">
        <v>3</v>
      </c>
      <c r="GT556">
        <v>0</v>
      </c>
      <c r="GU556" t="s">
        <v>3</v>
      </c>
      <c r="GV556">
        <f t="shared" si="536"/>
        <v>0</v>
      </c>
      <c r="GW556">
        <v>1</v>
      </c>
      <c r="GX556">
        <f t="shared" si="537"/>
        <v>0</v>
      </c>
      <c r="HA556">
        <v>0</v>
      </c>
      <c r="HB556">
        <v>0</v>
      </c>
      <c r="HC556">
        <f t="shared" si="538"/>
        <v>0</v>
      </c>
      <c r="HE556" t="s">
        <v>3</v>
      </c>
      <c r="HF556" t="s">
        <v>3</v>
      </c>
      <c r="HM556" t="s">
        <v>3</v>
      </c>
      <c r="HN556" t="s">
        <v>3</v>
      </c>
      <c r="HO556" t="s">
        <v>3</v>
      </c>
      <c r="HP556" t="s">
        <v>3</v>
      </c>
      <c r="HQ556" t="s">
        <v>3</v>
      </c>
      <c r="IK556">
        <v>0</v>
      </c>
    </row>
    <row r="557" spans="1:245" x14ac:dyDescent="0.2">
      <c r="A557">
        <v>17</v>
      </c>
      <c r="B557">
        <v>1</v>
      </c>
      <c r="D557">
        <f>ROW(EtalonRes!A458)</f>
        <v>458</v>
      </c>
      <c r="E557" t="s">
        <v>3</v>
      </c>
      <c r="F557" t="s">
        <v>265</v>
      </c>
      <c r="G557" t="s">
        <v>266</v>
      </c>
      <c r="H557" t="s">
        <v>104</v>
      </c>
      <c r="I557">
        <f>ROUND(ROUND((36+793+212)/100,9),9)</f>
        <v>10.41</v>
      </c>
      <c r="J557">
        <v>0</v>
      </c>
      <c r="K557">
        <f>ROUND(ROUND((36+793+212)/100,9),9)</f>
        <v>10.41</v>
      </c>
      <c r="O557">
        <f t="shared" si="506"/>
        <v>84113.95</v>
      </c>
      <c r="P557">
        <f t="shared" si="507"/>
        <v>2328.61</v>
      </c>
      <c r="Q557">
        <f t="shared" si="508"/>
        <v>527.79</v>
      </c>
      <c r="R557">
        <f t="shared" si="509"/>
        <v>8.43</v>
      </c>
      <c r="S557">
        <f t="shared" si="510"/>
        <v>81257.55</v>
      </c>
      <c r="T557">
        <f t="shared" si="511"/>
        <v>0</v>
      </c>
      <c r="U557">
        <f t="shared" si="512"/>
        <v>110.76240000000001</v>
      </c>
      <c r="V557">
        <f t="shared" si="513"/>
        <v>0</v>
      </c>
      <c r="W557">
        <f t="shared" si="514"/>
        <v>0</v>
      </c>
      <c r="X557">
        <f t="shared" si="515"/>
        <v>56880.29</v>
      </c>
      <c r="Y557">
        <f t="shared" si="516"/>
        <v>8125.76</v>
      </c>
      <c r="AA557">
        <v>-1</v>
      </c>
      <c r="AB557">
        <f t="shared" si="517"/>
        <v>8080.11</v>
      </c>
      <c r="AC557">
        <f t="shared" si="539"/>
        <v>223.69</v>
      </c>
      <c r="AD557">
        <f t="shared" si="540"/>
        <v>50.7</v>
      </c>
      <c r="AE557">
        <f t="shared" si="541"/>
        <v>0.81</v>
      </c>
      <c r="AF557">
        <f t="shared" si="542"/>
        <v>7805.72</v>
      </c>
      <c r="AG557">
        <f t="shared" si="518"/>
        <v>0</v>
      </c>
      <c r="AH557">
        <f t="shared" si="543"/>
        <v>10.64</v>
      </c>
      <c r="AI557">
        <f t="shared" si="544"/>
        <v>0</v>
      </c>
      <c r="AJ557">
        <f t="shared" si="519"/>
        <v>0</v>
      </c>
      <c r="AK557">
        <v>8080.11</v>
      </c>
      <c r="AL557">
        <v>223.69</v>
      </c>
      <c r="AM557">
        <v>50.7</v>
      </c>
      <c r="AN557">
        <v>0.81</v>
      </c>
      <c r="AO557">
        <v>7805.72</v>
      </c>
      <c r="AP557">
        <v>0</v>
      </c>
      <c r="AQ557">
        <v>10.64</v>
      </c>
      <c r="AR557">
        <v>0</v>
      </c>
      <c r="AS557">
        <v>0</v>
      </c>
      <c r="AT557">
        <v>70</v>
      </c>
      <c r="AU557">
        <v>10</v>
      </c>
      <c r="AV557">
        <v>1</v>
      </c>
      <c r="AW557">
        <v>1</v>
      </c>
      <c r="AZ557">
        <v>1</v>
      </c>
      <c r="BA557">
        <v>1</v>
      </c>
      <c r="BB557">
        <v>1</v>
      </c>
      <c r="BC557">
        <v>1</v>
      </c>
      <c r="BD557" t="s">
        <v>3</v>
      </c>
      <c r="BE557" t="s">
        <v>3</v>
      </c>
      <c r="BF557" t="s">
        <v>3</v>
      </c>
      <c r="BG557" t="s">
        <v>3</v>
      </c>
      <c r="BH557">
        <v>0</v>
      </c>
      <c r="BI557">
        <v>4</v>
      </c>
      <c r="BJ557" t="s">
        <v>267</v>
      </c>
      <c r="BM557">
        <v>0</v>
      </c>
      <c r="BN557">
        <v>0</v>
      </c>
      <c r="BO557" t="s">
        <v>3</v>
      </c>
      <c r="BP557">
        <v>0</v>
      </c>
      <c r="BQ557">
        <v>1</v>
      </c>
      <c r="BR557">
        <v>0</v>
      </c>
      <c r="BS557">
        <v>1</v>
      </c>
      <c r="BT557">
        <v>1</v>
      </c>
      <c r="BU557">
        <v>1</v>
      </c>
      <c r="BV557">
        <v>1</v>
      </c>
      <c r="BW557">
        <v>1</v>
      </c>
      <c r="BX557">
        <v>1</v>
      </c>
      <c r="BY557" t="s">
        <v>3</v>
      </c>
      <c r="BZ557">
        <v>70</v>
      </c>
      <c r="CA557">
        <v>10</v>
      </c>
      <c r="CB557" t="s">
        <v>3</v>
      </c>
      <c r="CE557">
        <v>0</v>
      </c>
      <c r="CF557">
        <v>0</v>
      </c>
      <c r="CG557">
        <v>0</v>
      </c>
      <c r="CM557">
        <v>0</v>
      </c>
      <c r="CN557" t="s">
        <v>3</v>
      </c>
      <c r="CO557">
        <v>0</v>
      </c>
      <c r="CP557">
        <f t="shared" si="520"/>
        <v>84113.95</v>
      </c>
      <c r="CQ557">
        <f t="shared" si="521"/>
        <v>223.69</v>
      </c>
      <c r="CR557">
        <f t="shared" si="545"/>
        <v>50.7</v>
      </c>
      <c r="CS557">
        <f t="shared" si="522"/>
        <v>0.81</v>
      </c>
      <c r="CT557">
        <f t="shared" si="523"/>
        <v>7805.72</v>
      </c>
      <c r="CU557">
        <f t="shared" si="524"/>
        <v>0</v>
      </c>
      <c r="CV557">
        <f t="shared" si="525"/>
        <v>10.64</v>
      </c>
      <c r="CW557">
        <f t="shared" si="526"/>
        <v>0</v>
      </c>
      <c r="CX557">
        <f t="shared" si="527"/>
        <v>0</v>
      </c>
      <c r="CY557">
        <f t="shared" si="528"/>
        <v>56880.285000000003</v>
      </c>
      <c r="CZ557">
        <f t="shared" si="529"/>
        <v>8125.7550000000001</v>
      </c>
      <c r="DC557" t="s">
        <v>3</v>
      </c>
      <c r="DD557" t="s">
        <v>3</v>
      </c>
      <c r="DE557" t="s">
        <v>3</v>
      </c>
      <c r="DF557" t="s">
        <v>3</v>
      </c>
      <c r="DG557" t="s">
        <v>3</v>
      </c>
      <c r="DH557" t="s">
        <v>3</v>
      </c>
      <c r="DI557" t="s">
        <v>3</v>
      </c>
      <c r="DJ557" t="s">
        <v>3</v>
      </c>
      <c r="DK557" t="s">
        <v>3</v>
      </c>
      <c r="DL557" t="s">
        <v>3</v>
      </c>
      <c r="DM557" t="s">
        <v>3</v>
      </c>
      <c r="DN557">
        <v>0</v>
      </c>
      <c r="DO557">
        <v>0</v>
      </c>
      <c r="DP557">
        <v>1</v>
      </c>
      <c r="DQ557">
        <v>1</v>
      </c>
      <c r="DU557">
        <v>1003</v>
      </c>
      <c r="DV557" t="s">
        <v>104</v>
      </c>
      <c r="DW557" t="s">
        <v>104</v>
      </c>
      <c r="DX557">
        <v>100</v>
      </c>
      <c r="DZ557" t="s">
        <v>3</v>
      </c>
      <c r="EA557" t="s">
        <v>3</v>
      </c>
      <c r="EB557" t="s">
        <v>3</v>
      </c>
      <c r="EC557" t="s">
        <v>3</v>
      </c>
      <c r="EE557">
        <v>1441815344</v>
      </c>
      <c r="EF557">
        <v>1</v>
      </c>
      <c r="EG557" t="s">
        <v>22</v>
      </c>
      <c r="EH557">
        <v>0</v>
      </c>
      <c r="EI557" t="s">
        <v>3</v>
      </c>
      <c r="EJ557">
        <v>4</v>
      </c>
      <c r="EK557">
        <v>0</v>
      </c>
      <c r="EL557" t="s">
        <v>23</v>
      </c>
      <c r="EM557" t="s">
        <v>24</v>
      </c>
      <c r="EO557" t="s">
        <v>3</v>
      </c>
      <c r="EQ557">
        <v>1024</v>
      </c>
      <c r="ER557">
        <v>8080.11</v>
      </c>
      <c r="ES557">
        <v>223.69</v>
      </c>
      <c r="ET557">
        <v>50.7</v>
      </c>
      <c r="EU557">
        <v>0.81</v>
      </c>
      <c r="EV557">
        <v>7805.72</v>
      </c>
      <c r="EW557">
        <v>10.64</v>
      </c>
      <c r="EX557">
        <v>0</v>
      </c>
      <c r="EY557">
        <v>0</v>
      </c>
      <c r="FQ557">
        <v>0</v>
      </c>
      <c r="FR557">
        <f t="shared" si="530"/>
        <v>0</v>
      </c>
      <c r="FS557">
        <v>0</v>
      </c>
      <c r="FX557">
        <v>70</v>
      </c>
      <c r="FY557">
        <v>10</v>
      </c>
      <c r="GA557" t="s">
        <v>3</v>
      </c>
      <c r="GD557">
        <v>0</v>
      </c>
      <c r="GF557">
        <v>279930794</v>
      </c>
      <c r="GG557">
        <v>2</v>
      </c>
      <c r="GH557">
        <v>1</v>
      </c>
      <c r="GI557">
        <v>-2</v>
      </c>
      <c r="GJ557">
        <v>0</v>
      </c>
      <c r="GK557">
        <f>ROUND(R557*(R12)/100,2)</f>
        <v>9.1</v>
      </c>
      <c r="GL557">
        <f t="shared" si="531"/>
        <v>0</v>
      </c>
      <c r="GM557">
        <f t="shared" si="532"/>
        <v>149129.1</v>
      </c>
      <c r="GN557">
        <f t="shared" si="533"/>
        <v>0</v>
      </c>
      <c r="GO557">
        <f t="shared" si="534"/>
        <v>0</v>
      </c>
      <c r="GP557">
        <f t="shared" si="535"/>
        <v>149129.1</v>
      </c>
      <c r="GR557">
        <v>0</v>
      </c>
      <c r="GS557">
        <v>3</v>
      </c>
      <c r="GT557">
        <v>0</v>
      </c>
      <c r="GU557" t="s">
        <v>3</v>
      </c>
      <c r="GV557">
        <f t="shared" si="536"/>
        <v>0</v>
      </c>
      <c r="GW557">
        <v>1</v>
      </c>
      <c r="GX557">
        <f t="shared" si="537"/>
        <v>0</v>
      </c>
      <c r="HA557">
        <v>0</v>
      </c>
      <c r="HB557">
        <v>0</v>
      </c>
      <c r="HC557">
        <f t="shared" si="538"/>
        <v>0</v>
      </c>
      <c r="HE557" t="s">
        <v>3</v>
      </c>
      <c r="HF557" t="s">
        <v>3</v>
      </c>
      <c r="HM557" t="s">
        <v>3</v>
      </c>
      <c r="HN557" t="s">
        <v>3</v>
      </c>
      <c r="HO557" t="s">
        <v>3</v>
      </c>
      <c r="HP557" t="s">
        <v>3</v>
      </c>
      <c r="HQ557" t="s">
        <v>3</v>
      </c>
      <c r="IK557">
        <v>0</v>
      </c>
    </row>
    <row r="558" spans="1:245" x14ac:dyDescent="0.2">
      <c r="A558">
        <v>17</v>
      </c>
      <c r="B558">
        <v>1</v>
      </c>
      <c r="D558">
        <f>ROW(EtalonRes!A461)</f>
        <v>461</v>
      </c>
      <c r="E558" t="s">
        <v>3</v>
      </c>
      <c r="F558" t="s">
        <v>268</v>
      </c>
      <c r="G558" t="s">
        <v>269</v>
      </c>
      <c r="H558" t="s">
        <v>104</v>
      </c>
      <c r="I558">
        <f>ROUND(ROUND((36+793+212)/100,9),9)</f>
        <v>10.41</v>
      </c>
      <c r="J558">
        <v>0</v>
      </c>
      <c r="K558">
        <f>ROUND(ROUND((36+793+212)/100,9),9)</f>
        <v>10.41</v>
      </c>
      <c r="O558">
        <f t="shared" si="506"/>
        <v>26118.799999999999</v>
      </c>
      <c r="P558">
        <f t="shared" si="507"/>
        <v>2111.15</v>
      </c>
      <c r="Q558">
        <f t="shared" si="508"/>
        <v>244.74</v>
      </c>
      <c r="R558">
        <f t="shared" si="509"/>
        <v>0.73</v>
      </c>
      <c r="S558">
        <f t="shared" si="510"/>
        <v>23762.91</v>
      </c>
      <c r="T558">
        <f t="shared" si="511"/>
        <v>0</v>
      </c>
      <c r="U558">
        <f t="shared" si="512"/>
        <v>35.810400000000001</v>
      </c>
      <c r="V558">
        <f t="shared" si="513"/>
        <v>0</v>
      </c>
      <c r="W558">
        <f t="shared" si="514"/>
        <v>0</v>
      </c>
      <c r="X558">
        <f t="shared" si="515"/>
        <v>16634.04</v>
      </c>
      <c r="Y558">
        <f t="shared" si="516"/>
        <v>2376.29</v>
      </c>
      <c r="AA558">
        <v>-1</v>
      </c>
      <c r="AB558">
        <f t="shared" si="517"/>
        <v>2509.0100000000002</v>
      </c>
      <c r="AC558">
        <f t="shared" si="539"/>
        <v>202.8</v>
      </c>
      <c r="AD558">
        <f t="shared" si="540"/>
        <v>23.51</v>
      </c>
      <c r="AE558">
        <f t="shared" si="541"/>
        <v>7.0000000000000007E-2</v>
      </c>
      <c r="AF558">
        <f t="shared" si="542"/>
        <v>2282.6999999999998</v>
      </c>
      <c r="AG558">
        <f t="shared" si="518"/>
        <v>0</v>
      </c>
      <c r="AH558">
        <f t="shared" si="543"/>
        <v>3.44</v>
      </c>
      <c r="AI558">
        <f t="shared" si="544"/>
        <v>0</v>
      </c>
      <c r="AJ558">
        <f t="shared" si="519"/>
        <v>0</v>
      </c>
      <c r="AK558">
        <v>2509.0100000000002</v>
      </c>
      <c r="AL558">
        <v>202.8</v>
      </c>
      <c r="AM558">
        <v>23.51</v>
      </c>
      <c r="AN558">
        <v>7.0000000000000007E-2</v>
      </c>
      <c r="AO558">
        <v>2282.6999999999998</v>
      </c>
      <c r="AP558">
        <v>0</v>
      </c>
      <c r="AQ558">
        <v>3.44</v>
      </c>
      <c r="AR558">
        <v>0</v>
      </c>
      <c r="AS558">
        <v>0</v>
      </c>
      <c r="AT558">
        <v>70</v>
      </c>
      <c r="AU558">
        <v>10</v>
      </c>
      <c r="AV558">
        <v>1</v>
      </c>
      <c r="AW558">
        <v>1</v>
      </c>
      <c r="AZ558">
        <v>1</v>
      </c>
      <c r="BA558">
        <v>1</v>
      </c>
      <c r="BB558">
        <v>1</v>
      </c>
      <c r="BC558">
        <v>1</v>
      </c>
      <c r="BD558" t="s">
        <v>3</v>
      </c>
      <c r="BE558" t="s">
        <v>3</v>
      </c>
      <c r="BF558" t="s">
        <v>3</v>
      </c>
      <c r="BG558" t="s">
        <v>3</v>
      </c>
      <c r="BH558">
        <v>0</v>
      </c>
      <c r="BI558">
        <v>4</v>
      </c>
      <c r="BJ558" t="s">
        <v>270</v>
      </c>
      <c r="BM558">
        <v>0</v>
      </c>
      <c r="BN558">
        <v>0</v>
      </c>
      <c r="BO558" t="s">
        <v>3</v>
      </c>
      <c r="BP558">
        <v>0</v>
      </c>
      <c r="BQ558">
        <v>1</v>
      </c>
      <c r="BR558">
        <v>0</v>
      </c>
      <c r="BS558">
        <v>1</v>
      </c>
      <c r="BT558">
        <v>1</v>
      </c>
      <c r="BU558">
        <v>1</v>
      </c>
      <c r="BV558">
        <v>1</v>
      </c>
      <c r="BW558">
        <v>1</v>
      </c>
      <c r="BX558">
        <v>1</v>
      </c>
      <c r="BY558" t="s">
        <v>3</v>
      </c>
      <c r="BZ558">
        <v>70</v>
      </c>
      <c r="CA558">
        <v>10</v>
      </c>
      <c r="CB558" t="s">
        <v>3</v>
      </c>
      <c r="CE558">
        <v>0</v>
      </c>
      <c r="CF558">
        <v>0</v>
      </c>
      <c r="CG558">
        <v>0</v>
      </c>
      <c r="CM558">
        <v>0</v>
      </c>
      <c r="CN558" t="s">
        <v>3</v>
      </c>
      <c r="CO558">
        <v>0</v>
      </c>
      <c r="CP558">
        <f t="shared" si="520"/>
        <v>26118.799999999999</v>
      </c>
      <c r="CQ558">
        <f t="shared" si="521"/>
        <v>202.8</v>
      </c>
      <c r="CR558">
        <f t="shared" si="545"/>
        <v>23.51</v>
      </c>
      <c r="CS558">
        <f t="shared" si="522"/>
        <v>7.0000000000000007E-2</v>
      </c>
      <c r="CT558">
        <f t="shared" si="523"/>
        <v>2282.6999999999998</v>
      </c>
      <c r="CU558">
        <f t="shared" si="524"/>
        <v>0</v>
      </c>
      <c r="CV558">
        <f t="shared" si="525"/>
        <v>3.44</v>
      </c>
      <c r="CW558">
        <f t="shared" si="526"/>
        <v>0</v>
      </c>
      <c r="CX558">
        <f t="shared" si="527"/>
        <v>0</v>
      </c>
      <c r="CY558">
        <f t="shared" si="528"/>
        <v>16634.037</v>
      </c>
      <c r="CZ558">
        <f t="shared" si="529"/>
        <v>2376.2910000000002</v>
      </c>
      <c r="DC558" t="s">
        <v>3</v>
      </c>
      <c r="DD558" t="s">
        <v>3</v>
      </c>
      <c r="DE558" t="s">
        <v>3</v>
      </c>
      <c r="DF558" t="s">
        <v>3</v>
      </c>
      <c r="DG558" t="s">
        <v>3</v>
      </c>
      <c r="DH558" t="s">
        <v>3</v>
      </c>
      <c r="DI558" t="s">
        <v>3</v>
      </c>
      <c r="DJ558" t="s">
        <v>3</v>
      </c>
      <c r="DK558" t="s">
        <v>3</v>
      </c>
      <c r="DL558" t="s">
        <v>3</v>
      </c>
      <c r="DM558" t="s">
        <v>3</v>
      </c>
      <c r="DN558">
        <v>0</v>
      </c>
      <c r="DO558">
        <v>0</v>
      </c>
      <c r="DP558">
        <v>1</v>
      </c>
      <c r="DQ558">
        <v>1</v>
      </c>
      <c r="DU558">
        <v>1003</v>
      </c>
      <c r="DV558" t="s">
        <v>104</v>
      </c>
      <c r="DW558" t="s">
        <v>104</v>
      </c>
      <c r="DX558">
        <v>100</v>
      </c>
      <c r="DZ558" t="s">
        <v>3</v>
      </c>
      <c r="EA558" t="s">
        <v>3</v>
      </c>
      <c r="EB558" t="s">
        <v>3</v>
      </c>
      <c r="EC558" t="s">
        <v>3</v>
      </c>
      <c r="EE558">
        <v>1441815344</v>
      </c>
      <c r="EF558">
        <v>1</v>
      </c>
      <c r="EG558" t="s">
        <v>22</v>
      </c>
      <c r="EH558">
        <v>0</v>
      </c>
      <c r="EI558" t="s">
        <v>3</v>
      </c>
      <c r="EJ558">
        <v>4</v>
      </c>
      <c r="EK558">
        <v>0</v>
      </c>
      <c r="EL558" t="s">
        <v>23</v>
      </c>
      <c r="EM558" t="s">
        <v>24</v>
      </c>
      <c r="EO558" t="s">
        <v>3</v>
      </c>
      <c r="EQ558">
        <v>1024</v>
      </c>
      <c r="ER558">
        <v>2509.0100000000002</v>
      </c>
      <c r="ES558">
        <v>202.8</v>
      </c>
      <c r="ET558">
        <v>23.51</v>
      </c>
      <c r="EU558">
        <v>7.0000000000000007E-2</v>
      </c>
      <c r="EV558">
        <v>2282.6999999999998</v>
      </c>
      <c r="EW558">
        <v>3.44</v>
      </c>
      <c r="EX558">
        <v>0</v>
      </c>
      <c r="EY558">
        <v>0</v>
      </c>
      <c r="FQ558">
        <v>0</v>
      </c>
      <c r="FR558">
        <f t="shared" si="530"/>
        <v>0</v>
      </c>
      <c r="FS558">
        <v>0</v>
      </c>
      <c r="FX558">
        <v>70</v>
      </c>
      <c r="FY558">
        <v>10</v>
      </c>
      <c r="GA558" t="s">
        <v>3</v>
      </c>
      <c r="GD558">
        <v>0</v>
      </c>
      <c r="GF558">
        <v>-1929809553</v>
      </c>
      <c r="GG558">
        <v>2</v>
      </c>
      <c r="GH558">
        <v>1</v>
      </c>
      <c r="GI558">
        <v>-2</v>
      </c>
      <c r="GJ558">
        <v>0</v>
      </c>
      <c r="GK558">
        <f>ROUND(R558*(R12)/100,2)</f>
        <v>0.79</v>
      </c>
      <c r="GL558">
        <f t="shared" si="531"/>
        <v>0</v>
      </c>
      <c r="GM558">
        <f t="shared" si="532"/>
        <v>45129.919999999998</v>
      </c>
      <c r="GN558">
        <f t="shared" si="533"/>
        <v>0</v>
      </c>
      <c r="GO558">
        <f t="shared" si="534"/>
        <v>0</v>
      </c>
      <c r="GP558">
        <f t="shared" si="535"/>
        <v>45129.919999999998</v>
      </c>
      <c r="GR558">
        <v>0</v>
      </c>
      <c r="GS558">
        <v>3</v>
      </c>
      <c r="GT558">
        <v>0</v>
      </c>
      <c r="GU558" t="s">
        <v>3</v>
      </c>
      <c r="GV558">
        <f t="shared" si="536"/>
        <v>0</v>
      </c>
      <c r="GW558">
        <v>1</v>
      </c>
      <c r="GX558">
        <f t="shared" si="537"/>
        <v>0</v>
      </c>
      <c r="HA558">
        <v>0</v>
      </c>
      <c r="HB558">
        <v>0</v>
      </c>
      <c r="HC558">
        <f t="shared" si="538"/>
        <v>0</v>
      </c>
      <c r="HE558" t="s">
        <v>3</v>
      </c>
      <c r="HF558" t="s">
        <v>3</v>
      </c>
      <c r="HM558" t="s">
        <v>3</v>
      </c>
      <c r="HN558" t="s">
        <v>3</v>
      </c>
      <c r="HO558" t="s">
        <v>3</v>
      </c>
      <c r="HP558" t="s">
        <v>3</v>
      </c>
      <c r="HQ558" t="s">
        <v>3</v>
      </c>
      <c r="IK558">
        <v>0</v>
      </c>
    </row>
    <row r="559" spans="1:245" x14ac:dyDescent="0.2">
      <c r="A559">
        <v>17</v>
      </c>
      <c r="B559">
        <v>1</v>
      </c>
      <c r="D559">
        <f>ROW(EtalonRes!A464)</f>
        <v>464</v>
      </c>
      <c r="E559" t="s">
        <v>3</v>
      </c>
      <c r="F559" t="s">
        <v>271</v>
      </c>
      <c r="G559" t="s">
        <v>381</v>
      </c>
      <c r="H559" t="s">
        <v>104</v>
      </c>
      <c r="I559">
        <f>ROUND(ROUND((84+27+49+141)/100,9),9)</f>
        <v>3.01</v>
      </c>
      <c r="J559">
        <v>0</v>
      </c>
      <c r="K559">
        <f>ROUND(ROUND((84+27+49+141)/100,9),9)</f>
        <v>3.01</v>
      </c>
      <c r="O559">
        <f t="shared" si="506"/>
        <v>5036.4799999999996</v>
      </c>
      <c r="P559">
        <f t="shared" si="507"/>
        <v>169.91</v>
      </c>
      <c r="Q559">
        <f t="shared" si="508"/>
        <v>32.96</v>
      </c>
      <c r="R559">
        <f t="shared" si="509"/>
        <v>0.09</v>
      </c>
      <c r="S559">
        <f t="shared" si="510"/>
        <v>4833.6099999999997</v>
      </c>
      <c r="T559">
        <f t="shared" si="511"/>
        <v>0</v>
      </c>
      <c r="U559">
        <f t="shared" si="512"/>
        <v>7.2841999999999993</v>
      </c>
      <c r="V559">
        <f t="shared" si="513"/>
        <v>0</v>
      </c>
      <c r="W559">
        <f t="shared" si="514"/>
        <v>0</v>
      </c>
      <c r="X559">
        <f t="shared" si="515"/>
        <v>3383.53</v>
      </c>
      <c r="Y559">
        <f t="shared" si="516"/>
        <v>483.36</v>
      </c>
      <c r="AA559">
        <v>-1</v>
      </c>
      <c r="AB559">
        <f t="shared" si="517"/>
        <v>1673.25</v>
      </c>
      <c r="AC559">
        <f t="shared" si="539"/>
        <v>56.45</v>
      </c>
      <c r="AD559">
        <f t="shared" si="540"/>
        <v>10.95</v>
      </c>
      <c r="AE559">
        <f t="shared" si="541"/>
        <v>0.03</v>
      </c>
      <c r="AF559">
        <f t="shared" si="542"/>
        <v>1605.85</v>
      </c>
      <c r="AG559">
        <f t="shared" si="518"/>
        <v>0</v>
      </c>
      <c r="AH559">
        <f t="shared" si="543"/>
        <v>2.42</v>
      </c>
      <c r="AI559">
        <f t="shared" si="544"/>
        <v>0</v>
      </c>
      <c r="AJ559">
        <f t="shared" si="519"/>
        <v>0</v>
      </c>
      <c r="AK559">
        <v>1673.25</v>
      </c>
      <c r="AL559">
        <v>56.45</v>
      </c>
      <c r="AM559">
        <v>10.95</v>
      </c>
      <c r="AN559">
        <v>0.03</v>
      </c>
      <c r="AO559">
        <v>1605.85</v>
      </c>
      <c r="AP559">
        <v>0</v>
      </c>
      <c r="AQ559">
        <v>2.42</v>
      </c>
      <c r="AR559">
        <v>0</v>
      </c>
      <c r="AS559">
        <v>0</v>
      </c>
      <c r="AT559">
        <v>70</v>
      </c>
      <c r="AU559">
        <v>10</v>
      </c>
      <c r="AV559">
        <v>1</v>
      </c>
      <c r="AW559">
        <v>1</v>
      </c>
      <c r="AZ559">
        <v>1</v>
      </c>
      <c r="BA559">
        <v>1</v>
      </c>
      <c r="BB559">
        <v>1</v>
      </c>
      <c r="BC559">
        <v>1</v>
      </c>
      <c r="BD559" t="s">
        <v>3</v>
      </c>
      <c r="BE559" t="s">
        <v>3</v>
      </c>
      <c r="BF559" t="s">
        <v>3</v>
      </c>
      <c r="BG559" t="s">
        <v>3</v>
      </c>
      <c r="BH559">
        <v>0</v>
      </c>
      <c r="BI559">
        <v>4</v>
      </c>
      <c r="BJ559" t="s">
        <v>272</v>
      </c>
      <c r="BM559">
        <v>0</v>
      </c>
      <c r="BN559">
        <v>0</v>
      </c>
      <c r="BO559" t="s">
        <v>3</v>
      </c>
      <c r="BP559">
        <v>0</v>
      </c>
      <c r="BQ559">
        <v>1</v>
      </c>
      <c r="BR559">
        <v>0</v>
      </c>
      <c r="BS559">
        <v>1</v>
      </c>
      <c r="BT559">
        <v>1</v>
      </c>
      <c r="BU559">
        <v>1</v>
      </c>
      <c r="BV559">
        <v>1</v>
      </c>
      <c r="BW559">
        <v>1</v>
      </c>
      <c r="BX559">
        <v>1</v>
      </c>
      <c r="BY559" t="s">
        <v>3</v>
      </c>
      <c r="BZ559">
        <v>70</v>
      </c>
      <c r="CA559">
        <v>10</v>
      </c>
      <c r="CB559" t="s">
        <v>3</v>
      </c>
      <c r="CE559">
        <v>0</v>
      </c>
      <c r="CF559">
        <v>0</v>
      </c>
      <c r="CG559">
        <v>0</v>
      </c>
      <c r="CM559">
        <v>0</v>
      </c>
      <c r="CN559" t="s">
        <v>3</v>
      </c>
      <c r="CO559">
        <v>0</v>
      </c>
      <c r="CP559">
        <f t="shared" si="520"/>
        <v>5036.4799999999996</v>
      </c>
      <c r="CQ559">
        <f t="shared" si="521"/>
        <v>56.45</v>
      </c>
      <c r="CR559">
        <f t="shared" si="545"/>
        <v>10.95</v>
      </c>
      <c r="CS559">
        <f t="shared" si="522"/>
        <v>0.03</v>
      </c>
      <c r="CT559">
        <f t="shared" si="523"/>
        <v>1605.85</v>
      </c>
      <c r="CU559">
        <f t="shared" si="524"/>
        <v>0</v>
      </c>
      <c r="CV559">
        <f t="shared" si="525"/>
        <v>2.42</v>
      </c>
      <c r="CW559">
        <f t="shared" si="526"/>
        <v>0</v>
      </c>
      <c r="CX559">
        <f t="shared" si="527"/>
        <v>0</v>
      </c>
      <c r="CY559">
        <f t="shared" si="528"/>
        <v>3383.5269999999996</v>
      </c>
      <c r="CZ559">
        <f t="shared" si="529"/>
        <v>483.36099999999999</v>
      </c>
      <c r="DC559" t="s">
        <v>3</v>
      </c>
      <c r="DD559" t="s">
        <v>3</v>
      </c>
      <c r="DE559" t="s">
        <v>3</v>
      </c>
      <c r="DF559" t="s">
        <v>3</v>
      </c>
      <c r="DG559" t="s">
        <v>3</v>
      </c>
      <c r="DH559" t="s">
        <v>3</v>
      </c>
      <c r="DI559" t="s">
        <v>3</v>
      </c>
      <c r="DJ559" t="s">
        <v>3</v>
      </c>
      <c r="DK559" t="s">
        <v>3</v>
      </c>
      <c r="DL559" t="s">
        <v>3</v>
      </c>
      <c r="DM559" t="s">
        <v>3</v>
      </c>
      <c r="DN559">
        <v>0</v>
      </c>
      <c r="DO559">
        <v>0</v>
      </c>
      <c r="DP559">
        <v>1</v>
      </c>
      <c r="DQ559">
        <v>1</v>
      </c>
      <c r="DU559">
        <v>1003</v>
      </c>
      <c r="DV559" t="s">
        <v>104</v>
      </c>
      <c r="DW559" t="s">
        <v>104</v>
      </c>
      <c r="DX559">
        <v>100</v>
      </c>
      <c r="DZ559" t="s">
        <v>3</v>
      </c>
      <c r="EA559" t="s">
        <v>3</v>
      </c>
      <c r="EB559" t="s">
        <v>3</v>
      </c>
      <c r="EC559" t="s">
        <v>3</v>
      </c>
      <c r="EE559">
        <v>1441815344</v>
      </c>
      <c r="EF559">
        <v>1</v>
      </c>
      <c r="EG559" t="s">
        <v>22</v>
      </c>
      <c r="EH559">
        <v>0</v>
      </c>
      <c r="EI559" t="s">
        <v>3</v>
      </c>
      <c r="EJ559">
        <v>4</v>
      </c>
      <c r="EK559">
        <v>0</v>
      </c>
      <c r="EL559" t="s">
        <v>23</v>
      </c>
      <c r="EM559" t="s">
        <v>24</v>
      </c>
      <c r="EO559" t="s">
        <v>3</v>
      </c>
      <c r="EQ559">
        <v>1024</v>
      </c>
      <c r="ER559">
        <v>1673.25</v>
      </c>
      <c r="ES559">
        <v>56.45</v>
      </c>
      <c r="ET559">
        <v>10.95</v>
      </c>
      <c r="EU559">
        <v>0.03</v>
      </c>
      <c r="EV559">
        <v>1605.85</v>
      </c>
      <c r="EW559">
        <v>2.42</v>
      </c>
      <c r="EX559">
        <v>0</v>
      </c>
      <c r="EY559">
        <v>0</v>
      </c>
      <c r="FQ559">
        <v>0</v>
      </c>
      <c r="FR559">
        <f t="shared" si="530"/>
        <v>0</v>
      </c>
      <c r="FS559">
        <v>0</v>
      </c>
      <c r="FX559">
        <v>70</v>
      </c>
      <c r="FY559">
        <v>10</v>
      </c>
      <c r="GA559" t="s">
        <v>3</v>
      </c>
      <c r="GD559">
        <v>0</v>
      </c>
      <c r="GF559">
        <v>1032671561</v>
      </c>
      <c r="GG559">
        <v>2</v>
      </c>
      <c r="GH559">
        <v>1</v>
      </c>
      <c r="GI559">
        <v>-2</v>
      </c>
      <c r="GJ559">
        <v>0</v>
      </c>
      <c r="GK559">
        <f>ROUND(R559*(R12)/100,2)</f>
        <v>0.1</v>
      </c>
      <c r="GL559">
        <f t="shared" si="531"/>
        <v>0</v>
      </c>
      <c r="GM559">
        <f t="shared" si="532"/>
        <v>8903.4699999999993</v>
      </c>
      <c r="GN559">
        <f t="shared" si="533"/>
        <v>0</v>
      </c>
      <c r="GO559">
        <f t="shared" si="534"/>
        <v>0</v>
      </c>
      <c r="GP559">
        <f t="shared" si="535"/>
        <v>8903.4699999999993</v>
      </c>
      <c r="GR559">
        <v>0</v>
      </c>
      <c r="GS559">
        <v>3</v>
      </c>
      <c r="GT559">
        <v>0</v>
      </c>
      <c r="GU559" t="s">
        <v>3</v>
      </c>
      <c r="GV559">
        <f t="shared" si="536"/>
        <v>0</v>
      </c>
      <c r="GW559">
        <v>1</v>
      </c>
      <c r="GX559">
        <f t="shared" si="537"/>
        <v>0</v>
      </c>
      <c r="HA559">
        <v>0</v>
      </c>
      <c r="HB559">
        <v>0</v>
      </c>
      <c r="HC559">
        <f t="shared" si="538"/>
        <v>0</v>
      </c>
      <c r="HE559" t="s">
        <v>3</v>
      </c>
      <c r="HF559" t="s">
        <v>3</v>
      </c>
      <c r="HM559" t="s">
        <v>3</v>
      </c>
      <c r="HN559" t="s">
        <v>3</v>
      </c>
      <c r="HO559" t="s">
        <v>3</v>
      </c>
      <c r="HP559" t="s">
        <v>3</v>
      </c>
      <c r="HQ559" t="s">
        <v>3</v>
      </c>
      <c r="IK559">
        <v>0</v>
      </c>
    </row>
    <row r="560" spans="1:245" x14ac:dyDescent="0.2">
      <c r="A560">
        <v>17</v>
      </c>
      <c r="B560">
        <v>1</v>
      </c>
      <c r="D560">
        <f>ROW(EtalonRes!A470)</f>
        <v>470</v>
      </c>
      <c r="E560" t="s">
        <v>3</v>
      </c>
      <c r="F560" t="s">
        <v>265</v>
      </c>
      <c r="G560" t="s">
        <v>266</v>
      </c>
      <c r="H560" t="s">
        <v>104</v>
      </c>
      <c r="I560">
        <f>ROUND(ROUND(50/100,9),9)</f>
        <v>0.5</v>
      </c>
      <c r="J560">
        <v>0</v>
      </c>
      <c r="K560">
        <f>ROUND(ROUND(50/100,9),9)</f>
        <v>0.5</v>
      </c>
      <c r="O560">
        <f t="shared" si="506"/>
        <v>4040.06</v>
      </c>
      <c r="P560">
        <f t="shared" si="507"/>
        <v>111.85</v>
      </c>
      <c r="Q560">
        <f t="shared" si="508"/>
        <v>25.35</v>
      </c>
      <c r="R560">
        <f t="shared" si="509"/>
        <v>0.41</v>
      </c>
      <c r="S560">
        <f t="shared" si="510"/>
        <v>3902.86</v>
      </c>
      <c r="T560">
        <f t="shared" si="511"/>
        <v>0</v>
      </c>
      <c r="U560">
        <f t="shared" si="512"/>
        <v>5.32</v>
      </c>
      <c r="V560">
        <f t="shared" si="513"/>
        <v>0</v>
      </c>
      <c r="W560">
        <f t="shared" si="514"/>
        <v>0</v>
      </c>
      <c r="X560">
        <f t="shared" si="515"/>
        <v>2732</v>
      </c>
      <c r="Y560">
        <f t="shared" si="516"/>
        <v>390.29</v>
      </c>
      <c r="AA560">
        <v>-1</v>
      </c>
      <c r="AB560">
        <f t="shared" si="517"/>
        <v>8080.11</v>
      </c>
      <c r="AC560">
        <f t="shared" si="539"/>
        <v>223.69</v>
      </c>
      <c r="AD560">
        <f t="shared" si="540"/>
        <v>50.7</v>
      </c>
      <c r="AE560">
        <f t="shared" si="541"/>
        <v>0.81</v>
      </c>
      <c r="AF560">
        <f t="shared" si="542"/>
        <v>7805.72</v>
      </c>
      <c r="AG560">
        <f t="shared" si="518"/>
        <v>0</v>
      </c>
      <c r="AH560">
        <f t="shared" si="543"/>
        <v>10.64</v>
      </c>
      <c r="AI560">
        <f t="shared" si="544"/>
        <v>0</v>
      </c>
      <c r="AJ560">
        <f t="shared" si="519"/>
        <v>0</v>
      </c>
      <c r="AK560">
        <v>8080.11</v>
      </c>
      <c r="AL560">
        <v>223.69</v>
      </c>
      <c r="AM560">
        <v>50.7</v>
      </c>
      <c r="AN560">
        <v>0.81</v>
      </c>
      <c r="AO560">
        <v>7805.72</v>
      </c>
      <c r="AP560">
        <v>0</v>
      </c>
      <c r="AQ560">
        <v>10.64</v>
      </c>
      <c r="AR560">
        <v>0</v>
      </c>
      <c r="AS560">
        <v>0</v>
      </c>
      <c r="AT560">
        <v>70</v>
      </c>
      <c r="AU560">
        <v>10</v>
      </c>
      <c r="AV560">
        <v>1</v>
      </c>
      <c r="AW560">
        <v>1</v>
      </c>
      <c r="AZ560">
        <v>1</v>
      </c>
      <c r="BA560">
        <v>1</v>
      </c>
      <c r="BB560">
        <v>1</v>
      </c>
      <c r="BC560">
        <v>1</v>
      </c>
      <c r="BD560" t="s">
        <v>3</v>
      </c>
      <c r="BE560" t="s">
        <v>3</v>
      </c>
      <c r="BF560" t="s">
        <v>3</v>
      </c>
      <c r="BG560" t="s">
        <v>3</v>
      </c>
      <c r="BH560">
        <v>0</v>
      </c>
      <c r="BI560">
        <v>4</v>
      </c>
      <c r="BJ560" t="s">
        <v>267</v>
      </c>
      <c r="BM560">
        <v>0</v>
      </c>
      <c r="BN560">
        <v>0</v>
      </c>
      <c r="BO560" t="s">
        <v>3</v>
      </c>
      <c r="BP560">
        <v>0</v>
      </c>
      <c r="BQ560">
        <v>1</v>
      </c>
      <c r="BR560">
        <v>0</v>
      </c>
      <c r="BS560">
        <v>1</v>
      </c>
      <c r="BT560">
        <v>1</v>
      </c>
      <c r="BU560">
        <v>1</v>
      </c>
      <c r="BV560">
        <v>1</v>
      </c>
      <c r="BW560">
        <v>1</v>
      </c>
      <c r="BX560">
        <v>1</v>
      </c>
      <c r="BY560" t="s">
        <v>3</v>
      </c>
      <c r="BZ560">
        <v>70</v>
      </c>
      <c r="CA560">
        <v>10</v>
      </c>
      <c r="CB560" t="s">
        <v>3</v>
      </c>
      <c r="CE560">
        <v>0</v>
      </c>
      <c r="CF560">
        <v>0</v>
      </c>
      <c r="CG560">
        <v>0</v>
      </c>
      <c r="CM560">
        <v>0</v>
      </c>
      <c r="CN560" t="s">
        <v>3</v>
      </c>
      <c r="CO560">
        <v>0</v>
      </c>
      <c r="CP560">
        <f t="shared" si="520"/>
        <v>4040.06</v>
      </c>
      <c r="CQ560">
        <f t="shared" si="521"/>
        <v>223.69</v>
      </c>
      <c r="CR560">
        <f t="shared" si="545"/>
        <v>50.7</v>
      </c>
      <c r="CS560">
        <f t="shared" si="522"/>
        <v>0.81</v>
      </c>
      <c r="CT560">
        <f t="shared" si="523"/>
        <v>7805.72</v>
      </c>
      <c r="CU560">
        <f t="shared" si="524"/>
        <v>0</v>
      </c>
      <c r="CV560">
        <f t="shared" si="525"/>
        <v>10.64</v>
      </c>
      <c r="CW560">
        <f t="shared" si="526"/>
        <v>0</v>
      </c>
      <c r="CX560">
        <f t="shared" si="527"/>
        <v>0</v>
      </c>
      <c r="CY560">
        <f t="shared" si="528"/>
        <v>2732.002</v>
      </c>
      <c r="CZ560">
        <f t="shared" si="529"/>
        <v>390.286</v>
      </c>
      <c r="DC560" t="s">
        <v>3</v>
      </c>
      <c r="DD560" t="s">
        <v>3</v>
      </c>
      <c r="DE560" t="s">
        <v>3</v>
      </c>
      <c r="DF560" t="s">
        <v>3</v>
      </c>
      <c r="DG560" t="s">
        <v>3</v>
      </c>
      <c r="DH560" t="s">
        <v>3</v>
      </c>
      <c r="DI560" t="s">
        <v>3</v>
      </c>
      <c r="DJ560" t="s">
        <v>3</v>
      </c>
      <c r="DK560" t="s">
        <v>3</v>
      </c>
      <c r="DL560" t="s">
        <v>3</v>
      </c>
      <c r="DM560" t="s">
        <v>3</v>
      </c>
      <c r="DN560">
        <v>0</v>
      </c>
      <c r="DO560">
        <v>0</v>
      </c>
      <c r="DP560">
        <v>1</v>
      </c>
      <c r="DQ560">
        <v>1</v>
      </c>
      <c r="DU560">
        <v>1003</v>
      </c>
      <c r="DV560" t="s">
        <v>104</v>
      </c>
      <c r="DW560" t="s">
        <v>104</v>
      </c>
      <c r="DX560">
        <v>100</v>
      </c>
      <c r="DZ560" t="s">
        <v>3</v>
      </c>
      <c r="EA560" t="s">
        <v>3</v>
      </c>
      <c r="EB560" t="s">
        <v>3</v>
      </c>
      <c r="EC560" t="s">
        <v>3</v>
      </c>
      <c r="EE560">
        <v>1441815344</v>
      </c>
      <c r="EF560">
        <v>1</v>
      </c>
      <c r="EG560" t="s">
        <v>22</v>
      </c>
      <c r="EH560">
        <v>0</v>
      </c>
      <c r="EI560" t="s">
        <v>3</v>
      </c>
      <c r="EJ560">
        <v>4</v>
      </c>
      <c r="EK560">
        <v>0</v>
      </c>
      <c r="EL560" t="s">
        <v>23</v>
      </c>
      <c r="EM560" t="s">
        <v>24</v>
      </c>
      <c r="EO560" t="s">
        <v>3</v>
      </c>
      <c r="EQ560">
        <v>1024</v>
      </c>
      <c r="ER560">
        <v>8080.11</v>
      </c>
      <c r="ES560">
        <v>223.69</v>
      </c>
      <c r="ET560">
        <v>50.7</v>
      </c>
      <c r="EU560">
        <v>0.81</v>
      </c>
      <c r="EV560">
        <v>7805.72</v>
      </c>
      <c r="EW560">
        <v>10.64</v>
      </c>
      <c r="EX560">
        <v>0</v>
      </c>
      <c r="EY560">
        <v>0</v>
      </c>
      <c r="FQ560">
        <v>0</v>
      </c>
      <c r="FR560">
        <f t="shared" si="530"/>
        <v>0</v>
      </c>
      <c r="FS560">
        <v>0</v>
      </c>
      <c r="FX560">
        <v>70</v>
      </c>
      <c r="FY560">
        <v>10</v>
      </c>
      <c r="GA560" t="s">
        <v>3</v>
      </c>
      <c r="GD560">
        <v>0</v>
      </c>
      <c r="GF560">
        <v>279930794</v>
      </c>
      <c r="GG560">
        <v>2</v>
      </c>
      <c r="GH560">
        <v>1</v>
      </c>
      <c r="GI560">
        <v>-2</v>
      </c>
      <c r="GJ560">
        <v>0</v>
      </c>
      <c r="GK560">
        <f>ROUND(R560*(R12)/100,2)</f>
        <v>0.44</v>
      </c>
      <c r="GL560">
        <f t="shared" si="531"/>
        <v>0</v>
      </c>
      <c r="GM560">
        <f t="shared" si="532"/>
        <v>7162.79</v>
      </c>
      <c r="GN560">
        <f t="shared" si="533"/>
        <v>0</v>
      </c>
      <c r="GO560">
        <f t="shared" si="534"/>
        <v>0</v>
      </c>
      <c r="GP560">
        <f t="shared" si="535"/>
        <v>7162.79</v>
      </c>
      <c r="GR560">
        <v>0</v>
      </c>
      <c r="GS560">
        <v>3</v>
      </c>
      <c r="GT560">
        <v>0</v>
      </c>
      <c r="GU560" t="s">
        <v>3</v>
      </c>
      <c r="GV560">
        <f t="shared" si="536"/>
        <v>0</v>
      </c>
      <c r="GW560">
        <v>1</v>
      </c>
      <c r="GX560">
        <f t="shared" si="537"/>
        <v>0</v>
      </c>
      <c r="HA560">
        <v>0</v>
      </c>
      <c r="HB560">
        <v>0</v>
      </c>
      <c r="HC560">
        <f t="shared" si="538"/>
        <v>0</v>
      </c>
      <c r="HE560" t="s">
        <v>3</v>
      </c>
      <c r="HF560" t="s">
        <v>3</v>
      </c>
      <c r="HM560" t="s">
        <v>3</v>
      </c>
      <c r="HN560" t="s">
        <v>3</v>
      </c>
      <c r="HO560" t="s">
        <v>3</v>
      </c>
      <c r="HP560" t="s">
        <v>3</v>
      </c>
      <c r="HQ560" t="s">
        <v>3</v>
      </c>
      <c r="IK560">
        <v>0</v>
      </c>
    </row>
    <row r="561" spans="1:245" x14ac:dyDescent="0.2">
      <c r="A561">
        <v>17</v>
      </c>
      <c r="B561">
        <v>1</v>
      </c>
      <c r="D561">
        <f>ROW(EtalonRes!A473)</f>
        <v>473</v>
      </c>
      <c r="E561" t="s">
        <v>3</v>
      </c>
      <c r="F561" t="s">
        <v>268</v>
      </c>
      <c r="G561" t="s">
        <v>269</v>
      </c>
      <c r="H561" t="s">
        <v>104</v>
      </c>
      <c r="I561">
        <f>ROUND(ROUND(50/100,9),9)</f>
        <v>0.5</v>
      </c>
      <c r="J561">
        <v>0</v>
      </c>
      <c r="K561">
        <f>ROUND(ROUND(50/100,9),9)</f>
        <v>0.5</v>
      </c>
      <c r="O561">
        <f t="shared" si="506"/>
        <v>1254.51</v>
      </c>
      <c r="P561">
        <f t="shared" si="507"/>
        <v>101.4</v>
      </c>
      <c r="Q561">
        <f t="shared" si="508"/>
        <v>11.76</v>
      </c>
      <c r="R561">
        <f t="shared" si="509"/>
        <v>0.04</v>
      </c>
      <c r="S561">
        <f t="shared" si="510"/>
        <v>1141.3499999999999</v>
      </c>
      <c r="T561">
        <f t="shared" si="511"/>
        <v>0</v>
      </c>
      <c r="U561">
        <f t="shared" si="512"/>
        <v>1.72</v>
      </c>
      <c r="V561">
        <f t="shared" si="513"/>
        <v>0</v>
      </c>
      <c r="W561">
        <f t="shared" si="514"/>
        <v>0</v>
      </c>
      <c r="X561">
        <f t="shared" si="515"/>
        <v>798.95</v>
      </c>
      <c r="Y561">
        <f t="shared" si="516"/>
        <v>114.14</v>
      </c>
      <c r="AA561">
        <v>-1</v>
      </c>
      <c r="AB561">
        <f t="shared" si="517"/>
        <v>2509.0100000000002</v>
      </c>
      <c r="AC561">
        <f t="shared" si="539"/>
        <v>202.8</v>
      </c>
      <c r="AD561">
        <f t="shared" si="540"/>
        <v>23.51</v>
      </c>
      <c r="AE561">
        <f t="shared" si="541"/>
        <v>7.0000000000000007E-2</v>
      </c>
      <c r="AF561">
        <f t="shared" si="542"/>
        <v>2282.6999999999998</v>
      </c>
      <c r="AG561">
        <f t="shared" si="518"/>
        <v>0</v>
      </c>
      <c r="AH561">
        <f t="shared" si="543"/>
        <v>3.44</v>
      </c>
      <c r="AI561">
        <f t="shared" si="544"/>
        <v>0</v>
      </c>
      <c r="AJ561">
        <f t="shared" si="519"/>
        <v>0</v>
      </c>
      <c r="AK561">
        <v>2509.0100000000002</v>
      </c>
      <c r="AL561">
        <v>202.8</v>
      </c>
      <c r="AM561">
        <v>23.51</v>
      </c>
      <c r="AN561">
        <v>7.0000000000000007E-2</v>
      </c>
      <c r="AO561">
        <v>2282.6999999999998</v>
      </c>
      <c r="AP561">
        <v>0</v>
      </c>
      <c r="AQ561">
        <v>3.44</v>
      </c>
      <c r="AR561">
        <v>0</v>
      </c>
      <c r="AS561">
        <v>0</v>
      </c>
      <c r="AT561">
        <v>70</v>
      </c>
      <c r="AU561">
        <v>10</v>
      </c>
      <c r="AV561">
        <v>1</v>
      </c>
      <c r="AW561">
        <v>1</v>
      </c>
      <c r="AZ561">
        <v>1</v>
      </c>
      <c r="BA561">
        <v>1</v>
      </c>
      <c r="BB561">
        <v>1</v>
      </c>
      <c r="BC561">
        <v>1</v>
      </c>
      <c r="BD561" t="s">
        <v>3</v>
      </c>
      <c r="BE561" t="s">
        <v>3</v>
      </c>
      <c r="BF561" t="s">
        <v>3</v>
      </c>
      <c r="BG561" t="s">
        <v>3</v>
      </c>
      <c r="BH561">
        <v>0</v>
      </c>
      <c r="BI561">
        <v>4</v>
      </c>
      <c r="BJ561" t="s">
        <v>270</v>
      </c>
      <c r="BM561">
        <v>0</v>
      </c>
      <c r="BN561">
        <v>0</v>
      </c>
      <c r="BO561" t="s">
        <v>3</v>
      </c>
      <c r="BP561">
        <v>0</v>
      </c>
      <c r="BQ561">
        <v>1</v>
      </c>
      <c r="BR561">
        <v>0</v>
      </c>
      <c r="BS561">
        <v>1</v>
      </c>
      <c r="BT561">
        <v>1</v>
      </c>
      <c r="BU561">
        <v>1</v>
      </c>
      <c r="BV561">
        <v>1</v>
      </c>
      <c r="BW561">
        <v>1</v>
      </c>
      <c r="BX561">
        <v>1</v>
      </c>
      <c r="BY561" t="s">
        <v>3</v>
      </c>
      <c r="BZ561">
        <v>70</v>
      </c>
      <c r="CA561">
        <v>10</v>
      </c>
      <c r="CB561" t="s">
        <v>3</v>
      </c>
      <c r="CE561">
        <v>0</v>
      </c>
      <c r="CF561">
        <v>0</v>
      </c>
      <c r="CG561">
        <v>0</v>
      </c>
      <c r="CM561">
        <v>0</v>
      </c>
      <c r="CN561" t="s">
        <v>3</v>
      </c>
      <c r="CO561">
        <v>0</v>
      </c>
      <c r="CP561">
        <f t="shared" si="520"/>
        <v>1254.51</v>
      </c>
      <c r="CQ561">
        <f t="shared" si="521"/>
        <v>202.8</v>
      </c>
      <c r="CR561">
        <f t="shared" si="545"/>
        <v>23.51</v>
      </c>
      <c r="CS561">
        <f t="shared" si="522"/>
        <v>7.0000000000000007E-2</v>
      </c>
      <c r="CT561">
        <f t="shared" si="523"/>
        <v>2282.6999999999998</v>
      </c>
      <c r="CU561">
        <f t="shared" si="524"/>
        <v>0</v>
      </c>
      <c r="CV561">
        <f t="shared" si="525"/>
        <v>3.44</v>
      </c>
      <c r="CW561">
        <f t="shared" si="526"/>
        <v>0</v>
      </c>
      <c r="CX561">
        <f t="shared" si="527"/>
        <v>0</v>
      </c>
      <c r="CY561">
        <f t="shared" si="528"/>
        <v>798.94500000000005</v>
      </c>
      <c r="CZ561">
        <f t="shared" si="529"/>
        <v>114.13500000000001</v>
      </c>
      <c r="DC561" t="s">
        <v>3</v>
      </c>
      <c r="DD561" t="s">
        <v>3</v>
      </c>
      <c r="DE561" t="s">
        <v>3</v>
      </c>
      <c r="DF561" t="s">
        <v>3</v>
      </c>
      <c r="DG561" t="s">
        <v>3</v>
      </c>
      <c r="DH561" t="s">
        <v>3</v>
      </c>
      <c r="DI561" t="s">
        <v>3</v>
      </c>
      <c r="DJ561" t="s">
        <v>3</v>
      </c>
      <c r="DK561" t="s">
        <v>3</v>
      </c>
      <c r="DL561" t="s">
        <v>3</v>
      </c>
      <c r="DM561" t="s">
        <v>3</v>
      </c>
      <c r="DN561">
        <v>0</v>
      </c>
      <c r="DO561">
        <v>0</v>
      </c>
      <c r="DP561">
        <v>1</v>
      </c>
      <c r="DQ561">
        <v>1</v>
      </c>
      <c r="DU561">
        <v>1003</v>
      </c>
      <c r="DV561" t="s">
        <v>104</v>
      </c>
      <c r="DW561" t="s">
        <v>104</v>
      </c>
      <c r="DX561">
        <v>100</v>
      </c>
      <c r="DZ561" t="s">
        <v>3</v>
      </c>
      <c r="EA561" t="s">
        <v>3</v>
      </c>
      <c r="EB561" t="s">
        <v>3</v>
      </c>
      <c r="EC561" t="s">
        <v>3</v>
      </c>
      <c r="EE561">
        <v>1441815344</v>
      </c>
      <c r="EF561">
        <v>1</v>
      </c>
      <c r="EG561" t="s">
        <v>22</v>
      </c>
      <c r="EH561">
        <v>0</v>
      </c>
      <c r="EI561" t="s">
        <v>3</v>
      </c>
      <c r="EJ561">
        <v>4</v>
      </c>
      <c r="EK561">
        <v>0</v>
      </c>
      <c r="EL561" t="s">
        <v>23</v>
      </c>
      <c r="EM561" t="s">
        <v>24</v>
      </c>
      <c r="EO561" t="s">
        <v>3</v>
      </c>
      <c r="EQ561">
        <v>1024</v>
      </c>
      <c r="ER561">
        <v>2509.0100000000002</v>
      </c>
      <c r="ES561">
        <v>202.8</v>
      </c>
      <c r="ET561">
        <v>23.51</v>
      </c>
      <c r="EU561">
        <v>7.0000000000000007E-2</v>
      </c>
      <c r="EV561">
        <v>2282.6999999999998</v>
      </c>
      <c r="EW561">
        <v>3.44</v>
      </c>
      <c r="EX561">
        <v>0</v>
      </c>
      <c r="EY561">
        <v>0</v>
      </c>
      <c r="FQ561">
        <v>0</v>
      </c>
      <c r="FR561">
        <f t="shared" si="530"/>
        <v>0</v>
      </c>
      <c r="FS561">
        <v>0</v>
      </c>
      <c r="FX561">
        <v>70</v>
      </c>
      <c r="FY561">
        <v>10</v>
      </c>
      <c r="GA561" t="s">
        <v>3</v>
      </c>
      <c r="GD561">
        <v>0</v>
      </c>
      <c r="GF561">
        <v>-1929809553</v>
      </c>
      <c r="GG561">
        <v>2</v>
      </c>
      <c r="GH561">
        <v>1</v>
      </c>
      <c r="GI561">
        <v>-2</v>
      </c>
      <c r="GJ561">
        <v>0</v>
      </c>
      <c r="GK561">
        <f>ROUND(R561*(R12)/100,2)</f>
        <v>0.04</v>
      </c>
      <c r="GL561">
        <f t="shared" si="531"/>
        <v>0</v>
      </c>
      <c r="GM561">
        <f t="shared" si="532"/>
        <v>2167.64</v>
      </c>
      <c r="GN561">
        <f t="shared" si="533"/>
        <v>0</v>
      </c>
      <c r="GO561">
        <f t="shared" si="534"/>
        <v>0</v>
      </c>
      <c r="GP561">
        <f t="shared" si="535"/>
        <v>2167.64</v>
      </c>
      <c r="GR561">
        <v>0</v>
      </c>
      <c r="GS561">
        <v>3</v>
      </c>
      <c r="GT561">
        <v>0</v>
      </c>
      <c r="GU561" t="s">
        <v>3</v>
      </c>
      <c r="GV561">
        <f t="shared" si="536"/>
        <v>0</v>
      </c>
      <c r="GW561">
        <v>1</v>
      </c>
      <c r="GX561">
        <f t="shared" si="537"/>
        <v>0</v>
      </c>
      <c r="HA561">
        <v>0</v>
      </c>
      <c r="HB561">
        <v>0</v>
      </c>
      <c r="HC561">
        <f t="shared" si="538"/>
        <v>0</v>
      </c>
      <c r="HE561" t="s">
        <v>3</v>
      </c>
      <c r="HF561" t="s">
        <v>3</v>
      </c>
      <c r="HM561" t="s">
        <v>3</v>
      </c>
      <c r="HN561" t="s">
        <v>3</v>
      </c>
      <c r="HO561" t="s">
        <v>3</v>
      </c>
      <c r="HP561" t="s">
        <v>3</v>
      </c>
      <c r="HQ561" t="s">
        <v>3</v>
      </c>
      <c r="IK561">
        <v>0</v>
      </c>
    </row>
    <row r="563" spans="1:245" x14ac:dyDescent="0.2">
      <c r="A563" s="2">
        <v>51</v>
      </c>
      <c r="B563" s="2">
        <f>B509</f>
        <v>1</v>
      </c>
      <c r="C563" s="2">
        <f>A509</f>
        <v>5</v>
      </c>
      <c r="D563" s="2">
        <f>ROW(A509)</f>
        <v>509</v>
      </c>
      <c r="E563" s="2"/>
      <c r="F563" s="2" t="str">
        <f>IF(F509&lt;&gt;"",F509,"")</f>
        <v>Новый подраздел</v>
      </c>
      <c r="G563" s="2" t="str">
        <f>IF(G509&lt;&gt;"",G509,"")</f>
        <v>Вентиляция</v>
      </c>
      <c r="H563" s="2">
        <v>0</v>
      </c>
      <c r="I563" s="2"/>
      <c r="J563" s="2"/>
      <c r="K563" s="2"/>
      <c r="L563" s="2"/>
      <c r="M563" s="2"/>
      <c r="N563" s="2"/>
      <c r="O563" s="2">
        <f t="shared" ref="O563:T563" si="546">ROUND(AB563,2)</f>
        <v>178785.94</v>
      </c>
      <c r="P563" s="2">
        <f t="shared" si="546"/>
        <v>5373.44</v>
      </c>
      <c r="Q563" s="2">
        <f t="shared" si="546"/>
        <v>9395.82</v>
      </c>
      <c r="R563" s="2">
        <f t="shared" si="546"/>
        <v>5803.25</v>
      </c>
      <c r="S563" s="2">
        <f t="shared" si="546"/>
        <v>164016.68</v>
      </c>
      <c r="T563" s="2">
        <f t="shared" si="546"/>
        <v>0</v>
      </c>
      <c r="U563" s="2">
        <f>AH563</f>
        <v>248.20500000000001</v>
      </c>
      <c r="V563" s="2">
        <f>AI563</f>
        <v>0</v>
      </c>
      <c r="W563" s="2">
        <f>ROUND(AJ563,2)</f>
        <v>0</v>
      </c>
      <c r="X563" s="2">
        <f>ROUND(AK563,2)</f>
        <v>114811.68</v>
      </c>
      <c r="Y563" s="2">
        <f>ROUND(AL563,2)</f>
        <v>16401.66</v>
      </c>
      <c r="Z563" s="2"/>
      <c r="AA563" s="2"/>
      <c r="AB563" s="2">
        <f>ROUND(SUMIF(AA513:AA561,"=1472506909",O513:O561),2)</f>
        <v>178785.94</v>
      </c>
      <c r="AC563" s="2">
        <f>ROUND(SUMIF(AA513:AA561,"=1472506909",P513:P561),2)</f>
        <v>5373.44</v>
      </c>
      <c r="AD563" s="2">
        <f>ROUND(SUMIF(AA513:AA561,"=1472506909",Q513:Q561),2)</f>
        <v>9395.82</v>
      </c>
      <c r="AE563" s="2">
        <f>ROUND(SUMIF(AA513:AA561,"=1472506909",R513:R561),2)</f>
        <v>5803.25</v>
      </c>
      <c r="AF563" s="2">
        <f>ROUND(SUMIF(AA513:AA561,"=1472506909",S513:S561),2)</f>
        <v>164016.68</v>
      </c>
      <c r="AG563" s="2">
        <f>ROUND(SUMIF(AA513:AA561,"=1472506909",T513:T561),2)</f>
        <v>0</v>
      </c>
      <c r="AH563" s="2">
        <f>SUMIF(AA513:AA561,"=1472506909",U513:U561)</f>
        <v>248.20500000000001</v>
      </c>
      <c r="AI563" s="2">
        <f>SUMIF(AA513:AA561,"=1472506909",V513:V561)</f>
        <v>0</v>
      </c>
      <c r="AJ563" s="2">
        <f>ROUND(SUMIF(AA513:AA561,"=1472506909",W513:W561),2)</f>
        <v>0</v>
      </c>
      <c r="AK563" s="2">
        <f>ROUND(SUMIF(AA513:AA561,"=1472506909",X513:X561),2)</f>
        <v>114811.68</v>
      </c>
      <c r="AL563" s="2">
        <f>ROUND(SUMIF(AA513:AA561,"=1472506909",Y513:Y561),2)</f>
        <v>16401.66</v>
      </c>
      <c r="AM563" s="2"/>
      <c r="AN563" s="2"/>
      <c r="AO563" s="2">
        <f t="shared" ref="AO563:BD563" si="547">ROUND(BX563,2)</f>
        <v>0</v>
      </c>
      <c r="AP563" s="2">
        <f t="shared" si="547"/>
        <v>0</v>
      </c>
      <c r="AQ563" s="2">
        <f t="shared" si="547"/>
        <v>0</v>
      </c>
      <c r="AR563" s="2">
        <f t="shared" si="547"/>
        <v>316266.78999999998</v>
      </c>
      <c r="AS563" s="2">
        <f t="shared" si="547"/>
        <v>0</v>
      </c>
      <c r="AT563" s="2">
        <f t="shared" si="547"/>
        <v>0</v>
      </c>
      <c r="AU563" s="2">
        <f t="shared" si="547"/>
        <v>316266.78999999998</v>
      </c>
      <c r="AV563" s="2">
        <f t="shared" si="547"/>
        <v>5373.44</v>
      </c>
      <c r="AW563" s="2">
        <f t="shared" si="547"/>
        <v>5373.44</v>
      </c>
      <c r="AX563" s="2">
        <f t="shared" si="547"/>
        <v>0</v>
      </c>
      <c r="AY563" s="2">
        <f t="shared" si="547"/>
        <v>5373.44</v>
      </c>
      <c r="AZ563" s="2">
        <f t="shared" si="547"/>
        <v>0</v>
      </c>
      <c r="BA563" s="2">
        <f t="shared" si="547"/>
        <v>0</v>
      </c>
      <c r="BB563" s="2">
        <f t="shared" si="547"/>
        <v>0</v>
      </c>
      <c r="BC563" s="2">
        <f t="shared" si="547"/>
        <v>0</v>
      </c>
      <c r="BD563" s="2">
        <f t="shared" si="547"/>
        <v>0</v>
      </c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>
        <f>ROUND(SUMIF(AA513:AA561,"=1472506909",FQ513:FQ561),2)</f>
        <v>0</v>
      </c>
      <c r="BY563" s="2">
        <f>ROUND(SUMIF(AA513:AA561,"=1472506909",FR513:FR561),2)</f>
        <v>0</v>
      </c>
      <c r="BZ563" s="2">
        <f>ROUND(SUMIF(AA513:AA561,"=1472506909",GL513:GL561),2)</f>
        <v>0</v>
      </c>
      <c r="CA563" s="2">
        <f>ROUND(SUMIF(AA513:AA561,"=1472506909",GM513:GM561),2)</f>
        <v>316266.78999999998</v>
      </c>
      <c r="CB563" s="2">
        <f>ROUND(SUMIF(AA513:AA561,"=1472506909",GN513:GN561),2)</f>
        <v>0</v>
      </c>
      <c r="CC563" s="2">
        <f>ROUND(SUMIF(AA513:AA561,"=1472506909",GO513:GO561),2)</f>
        <v>0</v>
      </c>
      <c r="CD563" s="2">
        <f>ROUND(SUMIF(AA513:AA561,"=1472506909",GP513:GP561),2)</f>
        <v>316266.78999999998</v>
      </c>
      <c r="CE563" s="2">
        <f>AC563-BX563</f>
        <v>5373.44</v>
      </c>
      <c r="CF563" s="2">
        <f>AC563-BY563</f>
        <v>5373.44</v>
      </c>
      <c r="CG563" s="2">
        <f>BX563-BZ563</f>
        <v>0</v>
      </c>
      <c r="CH563" s="2">
        <f>AC563-BX563-BY563+BZ563</f>
        <v>5373.44</v>
      </c>
      <c r="CI563" s="2">
        <f>BY563-BZ563</f>
        <v>0</v>
      </c>
      <c r="CJ563" s="2">
        <f>ROUND(SUMIF(AA513:AA561,"=1472506909",GX513:GX561),2)</f>
        <v>0</v>
      </c>
      <c r="CK563" s="2">
        <f>ROUND(SUMIF(AA513:AA561,"=1472506909",GY513:GY561),2)</f>
        <v>0</v>
      </c>
      <c r="CL563" s="2">
        <f>ROUND(SUMIF(AA513:AA561,"=1472506909",GZ513:GZ561),2)</f>
        <v>0</v>
      </c>
      <c r="CM563" s="2">
        <f>ROUND(SUMIF(AA513:AA561,"=1472506909",HD513:HD561),2)</f>
        <v>0</v>
      </c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Y563" s="2"/>
      <c r="CZ563" s="2"/>
      <c r="DA563" s="2"/>
      <c r="DB563" s="2"/>
      <c r="DC563" s="2"/>
      <c r="DD563" s="2"/>
      <c r="DE563" s="2"/>
      <c r="DF563" s="2"/>
      <c r="DG563" s="3"/>
      <c r="DH563" s="3"/>
      <c r="DI563" s="3"/>
      <c r="DJ563" s="3"/>
      <c r="DK563" s="3"/>
      <c r="DL563" s="3"/>
      <c r="DM563" s="3"/>
      <c r="DN563" s="3"/>
      <c r="DO563" s="3"/>
      <c r="DP563" s="3"/>
      <c r="DQ563" s="3"/>
      <c r="DR563" s="3"/>
      <c r="DS563" s="3"/>
      <c r="DT563" s="3"/>
      <c r="DU563" s="3"/>
      <c r="DV563" s="3"/>
      <c r="DW563" s="3"/>
      <c r="DX563" s="3"/>
      <c r="DY563" s="3"/>
      <c r="DZ563" s="3"/>
      <c r="EA563" s="3"/>
      <c r="EB563" s="3"/>
      <c r="EC563" s="3"/>
      <c r="ED563" s="3"/>
      <c r="EE563" s="3"/>
      <c r="EF563" s="3"/>
      <c r="EG563" s="3"/>
      <c r="EH563" s="3"/>
      <c r="EI563" s="3"/>
      <c r="EJ563" s="3"/>
      <c r="EK563" s="3"/>
      <c r="EL563" s="3"/>
      <c r="EM563" s="3"/>
      <c r="EN563" s="3"/>
      <c r="EO563" s="3"/>
      <c r="EP563" s="3"/>
      <c r="EQ563" s="3"/>
      <c r="ER563" s="3"/>
      <c r="ES563" s="3"/>
      <c r="ET563" s="3"/>
      <c r="EU563" s="3"/>
      <c r="EV563" s="3"/>
      <c r="EW563" s="3"/>
      <c r="EX563" s="3"/>
      <c r="EY563" s="3"/>
      <c r="EZ563" s="3"/>
      <c r="FA563" s="3"/>
      <c r="FB563" s="3"/>
      <c r="FC563" s="3"/>
      <c r="FD563" s="3"/>
      <c r="FE563" s="3"/>
      <c r="FF563" s="3"/>
      <c r="FG563" s="3"/>
      <c r="FH563" s="3"/>
      <c r="FI563" s="3"/>
      <c r="FJ563" s="3"/>
      <c r="FK563" s="3"/>
      <c r="FL563" s="3"/>
      <c r="FM563" s="3"/>
      <c r="FN563" s="3"/>
      <c r="FO563" s="3"/>
      <c r="FP563" s="3"/>
      <c r="FQ563" s="3"/>
      <c r="FR563" s="3"/>
      <c r="FS563" s="3"/>
      <c r="FT563" s="3"/>
      <c r="FU563" s="3"/>
      <c r="FV563" s="3"/>
      <c r="FW563" s="3"/>
      <c r="FX563" s="3"/>
      <c r="FY563" s="3"/>
      <c r="FZ563" s="3"/>
      <c r="GA563" s="3"/>
      <c r="GB563" s="3"/>
      <c r="GC563" s="3"/>
      <c r="GD563" s="3"/>
      <c r="GE563" s="3"/>
      <c r="GF563" s="3"/>
      <c r="GG563" s="3"/>
      <c r="GH563" s="3"/>
      <c r="GI563" s="3"/>
      <c r="GJ563" s="3"/>
      <c r="GK563" s="3"/>
      <c r="GL563" s="3"/>
      <c r="GM563" s="3"/>
      <c r="GN563" s="3"/>
      <c r="GO563" s="3"/>
      <c r="GP563" s="3"/>
      <c r="GQ563" s="3"/>
      <c r="GR563" s="3"/>
      <c r="GS563" s="3"/>
      <c r="GT563" s="3"/>
      <c r="GU563" s="3"/>
      <c r="GV563" s="3"/>
      <c r="GW563" s="3"/>
      <c r="GX563" s="3">
        <v>0</v>
      </c>
    </row>
    <row r="565" spans="1:245" x14ac:dyDescent="0.2">
      <c r="A565" s="4">
        <v>50</v>
      </c>
      <c r="B565" s="4">
        <v>0</v>
      </c>
      <c r="C565" s="4">
        <v>0</v>
      </c>
      <c r="D565" s="4">
        <v>1</v>
      </c>
      <c r="E565" s="4">
        <v>201</v>
      </c>
      <c r="F565" s="4">
        <f>ROUND(Source!O563,O565)</f>
        <v>178785.94</v>
      </c>
      <c r="G565" s="4" t="s">
        <v>36</v>
      </c>
      <c r="H565" s="4" t="s">
        <v>37</v>
      </c>
      <c r="I565" s="4"/>
      <c r="J565" s="4"/>
      <c r="K565" s="4">
        <v>201</v>
      </c>
      <c r="L565" s="4">
        <v>1</v>
      </c>
      <c r="M565" s="4">
        <v>3</v>
      </c>
      <c r="N565" s="4" t="s">
        <v>3</v>
      </c>
      <c r="O565" s="4">
        <v>2</v>
      </c>
      <c r="P565" s="4"/>
      <c r="Q565" s="4"/>
      <c r="R565" s="4"/>
      <c r="S565" s="4"/>
      <c r="T565" s="4"/>
      <c r="U565" s="4"/>
      <c r="V565" s="4"/>
      <c r="W565" s="4">
        <v>178785.94</v>
      </c>
      <c r="X565" s="4">
        <v>1</v>
      </c>
      <c r="Y565" s="4">
        <v>178785.94</v>
      </c>
      <c r="Z565" s="4"/>
      <c r="AA565" s="4"/>
      <c r="AB565" s="4"/>
    </row>
    <row r="566" spans="1:245" x14ac:dyDescent="0.2">
      <c r="A566" s="4">
        <v>50</v>
      </c>
      <c r="B566" s="4">
        <v>0</v>
      </c>
      <c r="C566" s="4">
        <v>0</v>
      </c>
      <c r="D566" s="4">
        <v>1</v>
      </c>
      <c r="E566" s="4">
        <v>202</v>
      </c>
      <c r="F566" s="4">
        <f>ROUND(Source!P563,O566)</f>
        <v>5373.44</v>
      </c>
      <c r="G566" s="4" t="s">
        <v>38</v>
      </c>
      <c r="H566" s="4" t="s">
        <v>39</v>
      </c>
      <c r="I566" s="4"/>
      <c r="J566" s="4"/>
      <c r="K566" s="4">
        <v>202</v>
      </c>
      <c r="L566" s="4">
        <v>2</v>
      </c>
      <c r="M566" s="4">
        <v>3</v>
      </c>
      <c r="N566" s="4" t="s">
        <v>3</v>
      </c>
      <c r="O566" s="4">
        <v>2</v>
      </c>
      <c r="P566" s="4"/>
      <c r="Q566" s="4"/>
      <c r="R566" s="4"/>
      <c r="S566" s="4"/>
      <c r="T566" s="4"/>
      <c r="U566" s="4"/>
      <c r="V566" s="4"/>
      <c r="W566" s="4">
        <v>5373.44</v>
      </c>
      <c r="X566" s="4">
        <v>1</v>
      </c>
      <c r="Y566" s="4">
        <v>5373.44</v>
      </c>
      <c r="Z566" s="4"/>
      <c r="AA566" s="4"/>
      <c r="AB566" s="4"/>
    </row>
    <row r="567" spans="1:245" x14ac:dyDescent="0.2">
      <c r="A567" s="4">
        <v>50</v>
      </c>
      <c r="B567" s="4">
        <v>0</v>
      </c>
      <c r="C567" s="4">
        <v>0</v>
      </c>
      <c r="D567" s="4">
        <v>1</v>
      </c>
      <c r="E567" s="4">
        <v>222</v>
      </c>
      <c r="F567" s="4">
        <f>ROUND(Source!AO563,O567)</f>
        <v>0</v>
      </c>
      <c r="G567" s="4" t="s">
        <v>40</v>
      </c>
      <c r="H567" s="4" t="s">
        <v>41</v>
      </c>
      <c r="I567" s="4"/>
      <c r="J567" s="4"/>
      <c r="K567" s="4">
        <v>222</v>
      </c>
      <c r="L567" s="4">
        <v>3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0</v>
      </c>
      <c r="X567" s="4">
        <v>1</v>
      </c>
      <c r="Y567" s="4">
        <v>0</v>
      </c>
      <c r="Z567" s="4"/>
      <c r="AA567" s="4"/>
      <c r="AB567" s="4"/>
    </row>
    <row r="568" spans="1:245" x14ac:dyDescent="0.2">
      <c r="A568" s="4">
        <v>50</v>
      </c>
      <c r="B568" s="4">
        <v>0</v>
      </c>
      <c r="C568" s="4">
        <v>0</v>
      </c>
      <c r="D568" s="4">
        <v>1</v>
      </c>
      <c r="E568" s="4">
        <v>225</v>
      </c>
      <c r="F568" s="4">
        <f>ROUND(Source!AV563,O568)</f>
        <v>5373.44</v>
      </c>
      <c r="G568" s="4" t="s">
        <v>42</v>
      </c>
      <c r="H568" s="4" t="s">
        <v>43</v>
      </c>
      <c r="I568" s="4"/>
      <c r="J568" s="4"/>
      <c r="K568" s="4">
        <v>225</v>
      </c>
      <c r="L568" s="4">
        <v>4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5373.44</v>
      </c>
      <c r="X568" s="4">
        <v>1</v>
      </c>
      <c r="Y568" s="4">
        <v>5373.44</v>
      </c>
      <c r="Z568" s="4"/>
      <c r="AA568" s="4"/>
      <c r="AB568" s="4"/>
    </row>
    <row r="569" spans="1:245" x14ac:dyDescent="0.2">
      <c r="A569" s="4">
        <v>50</v>
      </c>
      <c r="B569" s="4">
        <v>0</v>
      </c>
      <c r="C569" s="4">
        <v>0</v>
      </c>
      <c r="D569" s="4">
        <v>1</v>
      </c>
      <c r="E569" s="4">
        <v>226</v>
      </c>
      <c r="F569" s="4">
        <f>ROUND(Source!AW563,O569)</f>
        <v>5373.44</v>
      </c>
      <c r="G569" s="4" t="s">
        <v>44</v>
      </c>
      <c r="H569" s="4" t="s">
        <v>45</v>
      </c>
      <c r="I569" s="4"/>
      <c r="J569" s="4"/>
      <c r="K569" s="4">
        <v>226</v>
      </c>
      <c r="L569" s="4">
        <v>5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5373.44</v>
      </c>
      <c r="X569" s="4">
        <v>1</v>
      </c>
      <c r="Y569" s="4">
        <v>5373.44</v>
      </c>
      <c r="Z569" s="4"/>
      <c r="AA569" s="4"/>
      <c r="AB569" s="4"/>
    </row>
    <row r="570" spans="1:245" x14ac:dyDescent="0.2">
      <c r="A570" s="4">
        <v>50</v>
      </c>
      <c r="B570" s="4">
        <v>0</v>
      </c>
      <c r="C570" s="4">
        <v>0</v>
      </c>
      <c r="D570" s="4">
        <v>1</v>
      </c>
      <c r="E570" s="4">
        <v>227</v>
      </c>
      <c r="F570" s="4">
        <f>ROUND(Source!AX563,O570)</f>
        <v>0</v>
      </c>
      <c r="G570" s="4" t="s">
        <v>46</v>
      </c>
      <c r="H570" s="4" t="s">
        <v>47</v>
      </c>
      <c r="I570" s="4"/>
      <c r="J570" s="4"/>
      <c r="K570" s="4">
        <v>227</v>
      </c>
      <c r="L570" s="4">
        <v>6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0</v>
      </c>
      <c r="X570" s="4">
        <v>1</v>
      </c>
      <c r="Y570" s="4">
        <v>0</v>
      </c>
      <c r="Z570" s="4"/>
      <c r="AA570" s="4"/>
      <c r="AB570" s="4"/>
    </row>
    <row r="571" spans="1:245" x14ac:dyDescent="0.2">
      <c r="A571" s="4">
        <v>50</v>
      </c>
      <c r="B571" s="4">
        <v>0</v>
      </c>
      <c r="C571" s="4">
        <v>0</v>
      </c>
      <c r="D571" s="4">
        <v>1</v>
      </c>
      <c r="E571" s="4">
        <v>228</v>
      </c>
      <c r="F571" s="4">
        <f>ROUND(Source!AY563,O571)</f>
        <v>5373.44</v>
      </c>
      <c r="G571" s="4" t="s">
        <v>48</v>
      </c>
      <c r="H571" s="4" t="s">
        <v>49</v>
      </c>
      <c r="I571" s="4"/>
      <c r="J571" s="4"/>
      <c r="K571" s="4">
        <v>228</v>
      </c>
      <c r="L571" s="4">
        <v>7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5373.44</v>
      </c>
      <c r="X571" s="4">
        <v>1</v>
      </c>
      <c r="Y571" s="4">
        <v>5373.44</v>
      </c>
      <c r="Z571" s="4"/>
      <c r="AA571" s="4"/>
      <c r="AB571" s="4"/>
    </row>
    <row r="572" spans="1:245" x14ac:dyDescent="0.2">
      <c r="A572" s="4">
        <v>50</v>
      </c>
      <c r="B572" s="4">
        <v>0</v>
      </c>
      <c r="C572" s="4">
        <v>0</v>
      </c>
      <c r="D572" s="4">
        <v>1</v>
      </c>
      <c r="E572" s="4">
        <v>216</v>
      </c>
      <c r="F572" s="4">
        <f>ROUND(Source!AP563,O572)</f>
        <v>0</v>
      </c>
      <c r="G572" s="4" t="s">
        <v>50</v>
      </c>
      <c r="H572" s="4" t="s">
        <v>51</v>
      </c>
      <c r="I572" s="4"/>
      <c r="J572" s="4"/>
      <c r="K572" s="4">
        <v>216</v>
      </c>
      <c r="L572" s="4">
        <v>8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0</v>
      </c>
      <c r="X572" s="4">
        <v>1</v>
      </c>
      <c r="Y572" s="4">
        <v>0</v>
      </c>
      <c r="Z572" s="4"/>
      <c r="AA572" s="4"/>
      <c r="AB572" s="4"/>
    </row>
    <row r="573" spans="1:245" x14ac:dyDescent="0.2">
      <c r="A573" s="4">
        <v>50</v>
      </c>
      <c r="B573" s="4">
        <v>0</v>
      </c>
      <c r="C573" s="4">
        <v>0</v>
      </c>
      <c r="D573" s="4">
        <v>1</v>
      </c>
      <c r="E573" s="4">
        <v>223</v>
      </c>
      <c r="F573" s="4">
        <f>ROUND(Source!AQ563,O573)</f>
        <v>0</v>
      </c>
      <c r="G573" s="4" t="s">
        <v>52</v>
      </c>
      <c r="H573" s="4" t="s">
        <v>53</v>
      </c>
      <c r="I573" s="4"/>
      <c r="J573" s="4"/>
      <c r="K573" s="4">
        <v>223</v>
      </c>
      <c r="L573" s="4">
        <v>9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0</v>
      </c>
      <c r="X573" s="4">
        <v>1</v>
      </c>
      <c r="Y573" s="4">
        <v>0</v>
      </c>
      <c r="Z573" s="4"/>
      <c r="AA573" s="4"/>
      <c r="AB573" s="4"/>
    </row>
    <row r="574" spans="1:245" x14ac:dyDescent="0.2">
      <c r="A574" s="4">
        <v>50</v>
      </c>
      <c r="B574" s="4">
        <v>0</v>
      </c>
      <c r="C574" s="4">
        <v>0</v>
      </c>
      <c r="D574" s="4">
        <v>1</v>
      </c>
      <c r="E574" s="4">
        <v>229</v>
      </c>
      <c r="F574" s="4">
        <f>ROUND(Source!AZ563,O574)</f>
        <v>0</v>
      </c>
      <c r="G574" s="4" t="s">
        <v>54</v>
      </c>
      <c r="H574" s="4" t="s">
        <v>55</v>
      </c>
      <c r="I574" s="4"/>
      <c r="J574" s="4"/>
      <c r="K574" s="4">
        <v>229</v>
      </c>
      <c r="L574" s="4">
        <v>10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0</v>
      </c>
      <c r="X574" s="4">
        <v>1</v>
      </c>
      <c r="Y574" s="4">
        <v>0</v>
      </c>
      <c r="Z574" s="4"/>
      <c r="AA574" s="4"/>
      <c r="AB574" s="4"/>
    </row>
    <row r="575" spans="1:245" x14ac:dyDescent="0.2">
      <c r="A575" s="4">
        <v>50</v>
      </c>
      <c r="B575" s="4">
        <v>0</v>
      </c>
      <c r="C575" s="4">
        <v>0</v>
      </c>
      <c r="D575" s="4">
        <v>1</v>
      </c>
      <c r="E575" s="4">
        <v>203</v>
      </c>
      <c r="F575" s="4">
        <f>ROUND(Source!Q563,O575)</f>
        <v>9395.82</v>
      </c>
      <c r="G575" s="4" t="s">
        <v>56</v>
      </c>
      <c r="H575" s="4" t="s">
        <v>57</v>
      </c>
      <c r="I575" s="4"/>
      <c r="J575" s="4"/>
      <c r="K575" s="4">
        <v>203</v>
      </c>
      <c r="L575" s="4">
        <v>11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9395.82</v>
      </c>
      <c r="X575" s="4">
        <v>1</v>
      </c>
      <c r="Y575" s="4">
        <v>9395.82</v>
      </c>
      <c r="Z575" s="4"/>
      <c r="AA575" s="4"/>
      <c r="AB575" s="4"/>
    </row>
    <row r="576" spans="1:245" x14ac:dyDescent="0.2">
      <c r="A576" s="4">
        <v>50</v>
      </c>
      <c r="B576" s="4">
        <v>0</v>
      </c>
      <c r="C576" s="4">
        <v>0</v>
      </c>
      <c r="D576" s="4">
        <v>1</v>
      </c>
      <c r="E576" s="4">
        <v>231</v>
      </c>
      <c r="F576" s="4">
        <f>ROUND(Source!BB563,O576)</f>
        <v>0</v>
      </c>
      <c r="G576" s="4" t="s">
        <v>58</v>
      </c>
      <c r="H576" s="4" t="s">
        <v>59</v>
      </c>
      <c r="I576" s="4"/>
      <c r="J576" s="4"/>
      <c r="K576" s="4">
        <v>231</v>
      </c>
      <c r="L576" s="4">
        <v>12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8" x14ac:dyDescent="0.2">
      <c r="A577" s="4">
        <v>50</v>
      </c>
      <c r="B577" s="4">
        <v>0</v>
      </c>
      <c r="C577" s="4">
        <v>0</v>
      </c>
      <c r="D577" s="4">
        <v>1</v>
      </c>
      <c r="E577" s="4">
        <v>204</v>
      </c>
      <c r="F577" s="4">
        <f>ROUND(Source!R563,O577)</f>
        <v>5803.25</v>
      </c>
      <c r="G577" s="4" t="s">
        <v>60</v>
      </c>
      <c r="H577" s="4" t="s">
        <v>61</v>
      </c>
      <c r="I577" s="4"/>
      <c r="J577" s="4"/>
      <c r="K577" s="4">
        <v>204</v>
      </c>
      <c r="L577" s="4">
        <v>13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5803.25</v>
      </c>
      <c r="X577" s="4">
        <v>1</v>
      </c>
      <c r="Y577" s="4">
        <v>5803.25</v>
      </c>
      <c r="Z577" s="4"/>
      <c r="AA577" s="4"/>
      <c r="AB577" s="4"/>
    </row>
    <row r="578" spans="1:28" x14ac:dyDescent="0.2">
      <c r="A578" s="4">
        <v>50</v>
      </c>
      <c r="B578" s="4">
        <v>0</v>
      </c>
      <c r="C578" s="4">
        <v>0</v>
      </c>
      <c r="D578" s="4">
        <v>1</v>
      </c>
      <c r="E578" s="4">
        <v>205</v>
      </c>
      <c r="F578" s="4">
        <f>ROUND(Source!S563,O578)</f>
        <v>164016.68</v>
      </c>
      <c r="G578" s="4" t="s">
        <v>62</v>
      </c>
      <c r="H578" s="4" t="s">
        <v>63</v>
      </c>
      <c r="I578" s="4"/>
      <c r="J578" s="4"/>
      <c r="K578" s="4">
        <v>205</v>
      </c>
      <c r="L578" s="4">
        <v>14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164016.68</v>
      </c>
      <c r="X578" s="4">
        <v>1</v>
      </c>
      <c r="Y578" s="4">
        <v>164016.68</v>
      </c>
      <c r="Z578" s="4"/>
      <c r="AA578" s="4"/>
      <c r="AB578" s="4"/>
    </row>
    <row r="579" spans="1:28" x14ac:dyDescent="0.2">
      <c r="A579" s="4">
        <v>50</v>
      </c>
      <c r="B579" s="4">
        <v>0</v>
      </c>
      <c r="C579" s="4">
        <v>0</v>
      </c>
      <c r="D579" s="4">
        <v>1</v>
      </c>
      <c r="E579" s="4">
        <v>232</v>
      </c>
      <c r="F579" s="4">
        <f>ROUND(Source!BC563,O579)</f>
        <v>0</v>
      </c>
      <c r="G579" s="4" t="s">
        <v>64</v>
      </c>
      <c r="H579" s="4" t="s">
        <v>65</v>
      </c>
      <c r="I579" s="4"/>
      <c r="J579" s="4"/>
      <c r="K579" s="4">
        <v>232</v>
      </c>
      <c r="L579" s="4">
        <v>15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8" x14ac:dyDescent="0.2">
      <c r="A580" s="4">
        <v>50</v>
      </c>
      <c r="B580" s="4">
        <v>0</v>
      </c>
      <c r="C580" s="4">
        <v>0</v>
      </c>
      <c r="D580" s="4">
        <v>1</v>
      </c>
      <c r="E580" s="4">
        <v>214</v>
      </c>
      <c r="F580" s="4">
        <f>ROUND(Source!AS563,O580)</f>
        <v>0</v>
      </c>
      <c r="G580" s="4" t="s">
        <v>66</v>
      </c>
      <c r="H580" s="4" t="s">
        <v>67</v>
      </c>
      <c r="I580" s="4"/>
      <c r="J580" s="4"/>
      <c r="K580" s="4">
        <v>214</v>
      </c>
      <c r="L580" s="4">
        <v>16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0</v>
      </c>
      <c r="X580" s="4">
        <v>1</v>
      </c>
      <c r="Y580" s="4">
        <v>0</v>
      </c>
      <c r="Z580" s="4"/>
      <c r="AA580" s="4"/>
      <c r="AB580" s="4"/>
    </row>
    <row r="581" spans="1:28" x14ac:dyDescent="0.2">
      <c r="A581" s="4">
        <v>50</v>
      </c>
      <c r="B581" s="4">
        <v>0</v>
      </c>
      <c r="C581" s="4">
        <v>0</v>
      </c>
      <c r="D581" s="4">
        <v>1</v>
      </c>
      <c r="E581" s="4">
        <v>215</v>
      </c>
      <c r="F581" s="4">
        <f>ROUND(Source!AT563,O581)</f>
        <v>0</v>
      </c>
      <c r="G581" s="4" t="s">
        <v>68</v>
      </c>
      <c r="H581" s="4" t="s">
        <v>69</v>
      </c>
      <c r="I581" s="4"/>
      <c r="J581" s="4"/>
      <c r="K581" s="4">
        <v>215</v>
      </c>
      <c r="L581" s="4">
        <v>17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8" x14ac:dyDescent="0.2">
      <c r="A582" s="4">
        <v>50</v>
      </c>
      <c r="B582" s="4">
        <v>0</v>
      </c>
      <c r="C582" s="4">
        <v>0</v>
      </c>
      <c r="D582" s="4">
        <v>1</v>
      </c>
      <c r="E582" s="4">
        <v>217</v>
      </c>
      <c r="F582" s="4">
        <f>ROUND(Source!AU563,O582)</f>
        <v>316266.78999999998</v>
      </c>
      <c r="G582" s="4" t="s">
        <v>70</v>
      </c>
      <c r="H582" s="4" t="s">
        <v>71</v>
      </c>
      <c r="I582" s="4"/>
      <c r="J582" s="4"/>
      <c r="K582" s="4">
        <v>217</v>
      </c>
      <c r="L582" s="4">
        <v>18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316266.78999999998</v>
      </c>
      <c r="X582" s="4">
        <v>1</v>
      </c>
      <c r="Y582" s="4">
        <v>316266.78999999998</v>
      </c>
      <c r="Z582" s="4"/>
      <c r="AA582" s="4"/>
      <c r="AB582" s="4"/>
    </row>
    <row r="583" spans="1:28" x14ac:dyDescent="0.2">
      <c r="A583" s="4">
        <v>50</v>
      </c>
      <c r="B583" s="4">
        <v>0</v>
      </c>
      <c r="C583" s="4">
        <v>0</v>
      </c>
      <c r="D583" s="4">
        <v>1</v>
      </c>
      <c r="E583" s="4">
        <v>230</v>
      </c>
      <c r="F583" s="4">
        <f>ROUND(Source!BA563,O583)</f>
        <v>0</v>
      </c>
      <c r="G583" s="4" t="s">
        <v>72</v>
      </c>
      <c r="H583" s="4" t="s">
        <v>73</v>
      </c>
      <c r="I583" s="4"/>
      <c r="J583" s="4"/>
      <c r="K583" s="4">
        <v>230</v>
      </c>
      <c r="L583" s="4">
        <v>19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8" x14ac:dyDescent="0.2">
      <c r="A584" s="4">
        <v>50</v>
      </c>
      <c r="B584" s="4">
        <v>0</v>
      </c>
      <c r="C584" s="4">
        <v>0</v>
      </c>
      <c r="D584" s="4">
        <v>1</v>
      </c>
      <c r="E584" s="4">
        <v>206</v>
      </c>
      <c r="F584" s="4">
        <f>ROUND(Source!T563,O584)</f>
        <v>0</v>
      </c>
      <c r="G584" s="4" t="s">
        <v>74</v>
      </c>
      <c r="H584" s="4" t="s">
        <v>75</v>
      </c>
      <c r="I584" s="4"/>
      <c r="J584" s="4"/>
      <c r="K584" s="4">
        <v>206</v>
      </c>
      <c r="L584" s="4">
        <v>20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0</v>
      </c>
      <c r="X584" s="4">
        <v>1</v>
      </c>
      <c r="Y584" s="4">
        <v>0</v>
      </c>
      <c r="Z584" s="4"/>
      <c r="AA584" s="4"/>
      <c r="AB584" s="4"/>
    </row>
    <row r="585" spans="1:28" x14ac:dyDescent="0.2">
      <c r="A585" s="4">
        <v>50</v>
      </c>
      <c r="B585" s="4">
        <v>0</v>
      </c>
      <c r="C585" s="4">
        <v>0</v>
      </c>
      <c r="D585" s="4">
        <v>1</v>
      </c>
      <c r="E585" s="4">
        <v>207</v>
      </c>
      <c r="F585" s="4">
        <f>Source!U563</f>
        <v>248.20500000000001</v>
      </c>
      <c r="G585" s="4" t="s">
        <v>76</v>
      </c>
      <c r="H585" s="4" t="s">
        <v>77</v>
      </c>
      <c r="I585" s="4"/>
      <c r="J585" s="4"/>
      <c r="K585" s="4">
        <v>207</v>
      </c>
      <c r="L585" s="4">
        <v>21</v>
      </c>
      <c r="M585" s="4">
        <v>3</v>
      </c>
      <c r="N585" s="4" t="s">
        <v>3</v>
      </c>
      <c r="O585" s="4">
        <v>-1</v>
      </c>
      <c r="P585" s="4"/>
      <c r="Q585" s="4"/>
      <c r="R585" s="4"/>
      <c r="S585" s="4"/>
      <c r="T585" s="4"/>
      <c r="U585" s="4"/>
      <c r="V585" s="4"/>
      <c r="W585" s="4">
        <v>248.20500000000001</v>
      </c>
      <c r="X585" s="4">
        <v>1</v>
      </c>
      <c r="Y585" s="4">
        <v>248.20500000000001</v>
      </c>
      <c r="Z585" s="4"/>
      <c r="AA585" s="4"/>
      <c r="AB585" s="4"/>
    </row>
    <row r="586" spans="1:28" x14ac:dyDescent="0.2">
      <c r="A586" s="4">
        <v>50</v>
      </c>
      <c r="B586" s="4">
        <v>0</v>
      </c>
      <c r="C586" s="4">
        <v>0</v>
      </c>
      <c r="D586" s="4">
        <v>1</v>
      </c>
      <c r="E586" s="4">
        <v>208</v>
      </c>
      <c r="F586" s="4">
        <f>Source!V563</f>
        <v>0</v>
      </c>
      <c r="G586" s="4" t="s">
        <v>78</v>
      </c>
      <c r="H586" s="4" t="s">
        <v>79</v>
      </c>
      <c r="I586" s="4"/>
      <c r="J586" s="4"/>
      <c r="K586" s="4">
        <v>208</v>
      </c>
      <c r="L586" s="4">
        <v>22</v>
      </c>
      <c r="M586" s="4">
        <v>3</v>
      </c>
      <c r="N586" s="4" t="s">
        <v>3</v>
      </c>
      <c r="O586" s="4">
        <v>-1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8" x14ac:dyDescent="0.2">
      <c r="A587" s="4">
        <v>50</v>
      </c>
      <c r="B587" s="4">
        <v>0</v>
      </c>
      <c r="C587" s="4">
        <v>0</v>
      </c>
      <c r="D587" s="4">
        <v>1</v>
      </c>
      <c r="E587" s="4">
        <v>209</v>
      </c>
      <c r="F587" s="4">
        <f>ROUND(Source!W563,O587)</f>
        <v>0</v>
      </c>
      <c r="G587" s="4" t="s">
        <v>80</v>
      </c>
      <c r="H587" s="4" t="s">
        <v>81</v>
      </c>
      <c r="I587" s="4"/>
      <c r="J587" s="4"/>
      <c r="K587" s="4">
        <v>209</v>
      </c>
      <c r="L587" s="4">
        <v>23</v>
      </c>
      <c r="M587" s="4">
        <v>3</v>
      </c>
      <c r="N587" s="4" t="s">
        <v>3</v>
      </c>
      <c r="O587" s="4">
        <v>2</v>
      </c>
      <c r="P587" s="4"/>
      <c r="Q587" s="4"/>
      <c r="R587" s="4"/>
      <c r="S587" s="4"/>
      <c r="T587" s="4"/>
      <c r="U587" s="4"/>
      <c r="V587" s="4"/>
      <c r="W587" s="4">
        <v>0</v>
      </c>
      <c r="X587" s="4">
        <v>1</v>
      </c>
      <c r="Y587" s="4">
        <v>0</v>
      </c>
      <c r="Z587" s="4"/>
      <c r="AA587" s="4"/>
      <c r="AB587" s="4"/>
    </row>
    <row r="588" spans="1:28" x14ac:dyDescent="0.2">
      <c r="A588" s="4">
        <v>50</v>
      </c>
      <c r="B588" s="4">
        <v>0</v>
      </c>
      <c r="C588" s="4">
        <v>0</v>
      </c>
      <c r="D588" s="4">
        <v>1</v>
      </c>
      <c r="E588" s="4">
        <v>233</v>
      </c>
      <c r="F588" s="4">
        <f>ROUND(Source!BD563,O588)</f>
        <v>0</v>
      </c>
      <c r="G588" s="4" t="s">
        <v>82</v>
      </c>
      <c r="H588" s="4" t="s">
        <v>83</v>
      </c>
      <c r="I588" s="4"/>
      <c r="J588" s="4"/>
      <c r="K588" s="4">
        <v>233</v>
      </c>
      <c r="L588" s="4">
        <v>24</v>
      </c>
      <c r="M588" s="4">
        <v>3</v>
      </c>
      <c r="N588" s="4" t="s">
        <v>3</v>
      </c>
      <c r="O588" s="4">
        <v>2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8" x14ac:dyDescent="0.2">
      <c r="A589" s="4">
        <v>50</v>
      </c>
      <c r="B589" s="4">
        <v>0</v>
      </c>
      <c r="C589" s="4">
        <v>0</v>
      </c>
      <c r="D589" s="4">
        <v>1</v>
      </c>
      <c r="E589" s="4">
        <v>210</v>
      </c>
      <c r="F589" s="4">
        <f>ROUND(Source!X563,O589)</f>
        <v>114811.68</v>
      </c>
      <c r="G589" s="4" t="s">
        <v>84</v>
      </c>
      <c r="H589" s="4" t="s">
        <v>85</v>
      </c>
      <c r="I589" s="4"/>
      <c r="J589" s="4"/>
      <c r="K589" s="4">
        <v>210</v>
      </c>
      <c r="L589" s="4">
        <v>25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114811.68</v>
      </c>
      <c r="X589" s="4">
        <v>1</v>
      </c>
      <c r="Y589" s="4">
        <v>114811.68</v>
      </c>
      <c r="Z589" s="4"/>
      <c r="AA589" s="4"/>
      <c r="AB589" s="4"/>
    </row>
    <row r="590" spans="1:28" x14ac:dyDescent="0.2">
      <c r="A590" s="4">
        <v>50</v>
      </c>
      <c r="B590" s="4">
        <v>0</v>
      </c>
      <c r="C590" s="4">
        <v>0</v>
      </c>
      <c r="D590" s="4">
        <v>1</v>
      </c>
      <c r="E590" s="4">
        <v>211</v>
      </c>
      <c r="F590" s="4">
        <f>ROUND(Source!Y563,O590)</f>
        <v>16401.66</v>
      </c>
      <c r="G590" s="4" t="s">
        <v>86</v>
      </c>
      <c r="H590" s="4" t="s">
        <v>87</v>
      </c>
      <c r="I590" s="4"/>
      <c r="J590" s="4"/>
      <c r="K590" s="4">
        <v>211</v>
      </c>
      <c r="L590" s="4">
        <v>26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16401.66</v>
      </c>
      <c r="X590" s="4">
        <v>1</v>
      </c>
      <c r="Y590" s="4">
        <v>16401.66</v>
      </c>
      <c r="Z590" s="4"/>
      <c r="AA590" s="4"/>
      <c r="AB590" s="4"/>
    </row>
    <row r="591" spans="1:28" x14ac:dyDescent="0.2">
      <c r="A591" s="4">
        <v>50</v>
      </c>
      <c r="B591" s="4">
        <v>0</v>
      </c>
      <c r="C591" s="4">
        <v>0</v>
      </c>
      <c r="D591" s="4">
        <v>1</v>
      </c>
      <c r="E591" s="4">
        <v>224</v>
      </c>
      <c r="F591" s="4">
        <f>ROUND(Source!AR563,O591)</f>
        <v>316266.78999999998</v>
      </c>
      <c r="G591" s="4" t="s">
        <v>88</v>
      </c>
      <c r="H591" s="4" t="s">
        <v>89</v>
      </c>
      <c r="I591" s="4"/>
      <c r="J591" s="4"/>
      <c r="K591" s="4">
        <v>224</v>
      </c>
      <c r="L591" s="4">
        <v>27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316266.78999999998</v>
      </c>
      <c r="X591" s="4">
        <v>1</v>
      </c>
      <c r="Y591" s="4">
        <v>316266.78999999998</v>
      </c>
      <c r="Z591" s="4"/>
      <c r="AA591" s="4"/>
      <c r="AB591" s="4"/>
    </row>
    <row r="593" spans="1:245" x14ac:dyDescent="0.2">
      <c r="A593" s="1">
        <v>5</v>
      </c>
      <c r="B593" s="1">
        <v>1</v>
      </c>
      <c r="C593" s="1"/>
      <c r="D593" s="1">
        <f>ROW(A630)</f>
        <v>630</v>
      </c>
      <c r="E593" s="1"/>
      <c r="F593" s="1" t="s">
        <v>15</v>
      </c>
      <c r="G593" s="1" t="s">
        <v>503</v>
      </c>
      <c r="H593" s="1" t="s">
        <v>3</v>
      </c>
      <c r="I593" s="1">
        <v>0</v>
      </c>
      <c r="J593" s="1"/>
      <c r="K593" s="1">
        <v>-1</v>
      </c>
      <c r="L593" s="1"/>
      <c r="M593" s="1" t="s">
        <v>3</v>
      </c>
      <c r="N593" s="1"/>
      <c r="O593" s="1"/>
      <c r="P593" s="1"/>
      <c r="Q593" s="1"/>
      <c r="R593" s="1"/>
      <c r="S593" s="1">
        <v>0</v>
      </c>
      <c r="T593" s="1"/>
      <c r="U593" s="1" t="s">
        <v>3</v>
      </c>
      <c r="V593" s="1">
        <v>0</v>
      </c>
      <c r="W593" s="1"/>
      <c r="X593" s="1"/>
      <c r="Y593" s="1"/>
      <c r="Z593" s="1"/>
      <c r="AA593" s="1"/>
      <c r="AB593" s="1" t="s">
        <v>3</v>
      </c>
      <c r="AC593" s="1" t="s">
        <v>3</v>
      </c>
      <c r="AD593" s="1" t="s">
        <v>3</v>
      </c>
      <c r="AE593" s="1" t="s">
        <v>3</v>
      </c>
      <c r="AF593" s="1" t="s">
        <v>3</v>
      </c>
      <c r="AG593" s="1" t="s">
        <v>3</v>
      </c>
      <c r="AH593" s="1"/>
      <c r="AI593" s="1"/>
      <c r="AJ593" s="1"/>
      <c r="AK593" s="1"/>
      <c r="AL593" s="1"/>
      <c r="AM593" s="1"/>
      <c r="AN593" s="1"/>
      <c r="AO593" s="1"/>
      <c r="AP593" s="1" t="s">
        <v>3</v>
      </c>
      <c r="AQ593" s="1" t="s">
        <v>3</v>
      </c>
      <c r="AR593" s="1" t="s">
        <v>3</v>
      </c>
      <c r="AS593" s="1"/>
      <c r="AT593" s="1"/>
      <c r="AU593" s="1"/>
      <c r="AV593" s="1"/>
      <c r="AW593" s="1"/>
      <c r="AX593" s="1"/>
      <c r="AY593" s="1"/>
      <c r="AZ593" s="1" t="s">
        <v>3</v>
      </c>
      <c r="BA593" s="1"/>
      <c r="BB593" s="1" t="s">
        <v>3</v>
      </c>
      <c r="BC593" s="1" t="s">
        <v>3</v>
      </c>
      <c r="BD593" s="1" t="s">
        <v>3</v>
      </c>
      <c r="BE593" s="1" t="s">
        <v>3</v>
      </c>
      <c r="BF593" s="1" t="s">
        <v>3</v>
      </c>
      <c r="BG593" s="1" t="s">
        <v>3</v>
      </c>
      <c r="BH593" s="1" t="s">
        <v>3</v>
      </c>
      <c r="BI593" s="1" t="s">
        <v>3</v>
      </c>
      <c r="BJ593" s="1" t="s">
        <v>3</v>
      </c>
      <c r="BK593" s="1" t="s">
        <v>3</v>
      </c>
      <c r="BL593" s="1" t="s">
        <v>3</v>
      </c>
      <c r="BM593" s="1" t="s">
        <v>3</v>
      </c>
      <c r="BN593" s="1" t="s">
        <v>3</v>
      </c>
      <c r="BO593" s="1" t="s">
        <v>3</v>
      </c>
      <c r="BP593" s="1" t="s">
        <v>3</v>
      </c>
      <c r="BQ593" s="1"/>
      <c r="BR593" s="1"/>
      <c r="BS593" s="1"/>
      <c r="BT593" s="1"/>
      <c r="BU593" s="1"/>
      <c r="BV593" s="1"/>
      <c r="BW593" s="1"/>
      <c r="BX593" s="1">
        <v>0</v>
      </c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>
        <v>0</v>
      </c>
    </row>
    <row r="595" spans="1:245" x14ac:dyDescent="0.2">
      <c r="A595" s="2">
        <v>52</v>
      </c>
      <c r="B595" s="2">
        <f t="shared" ref="B595:G595" si="548">B630</f>
        <v>1</v>
      </c>
      <c r="C595" s="2">
        <f t="shared" si="548"/>
        <v>5</v>
      </c>
      <c r="D595" s="2">
        <f t="shared" si="548"/>
        <v>593</v>
      </c>
      <c r="E595" s="2">
        <f t="shared" si="548"/>
        <v>0</v>
      </c>
      <c r="F595" s="2" t="str">
        <f t="shared" si="548"/>
        <v>Новый подраздел</v>
      </c>
      <c r="G595" s="2" t="str">
        <f t="shared" si="548"/>
        <v>Кондиционирование</v>
      </c>
      <c r="H595" s="2"/>
      <c r="I595" s="2"/>
      <c r="J595" s="2"/>
      <c r="K595" s="2"/>
      <c r="L595" s="2"/>
      <c r="M595" s="2"/>
      <c r="N595" s="2"/>
      <c r="O595" s="2">
        <f t="shared" ref="O595:AT595" si="549">O630</f>
        <v>68343.679999999993</v>
      </c>
      <c r="P595" s="2">
        <f t="shared" si="549"/>
        <v>1488.96</v>
      </c>
      <c r="Q595" s="2">
        <f t="shared" si="549"/>
        <v>5384.92</v>
      </c>
      <c r="R595" s="2">
        <f t="shared" si="549"/>
        <v>3371.82</v>
      </c>
      <c r="S595" s="2">
        <f t="shared" si="549"/>
        <v>61469.8</v>
      </c>
      <c r="T595" s="2">
        <f t="shared" si="549"/>
        <v>0</v>
      </c>
      <c r="U595" s="2">
        <f t="shared" si="549"/>
        <v>94.96</v>
      </c>
      <c r="V595" s="2">
        <f t="shared" si="549"/>
        <v>0</v>
      </c>
      <c r="W595" s="2">
        <f t="shared" si="549"/>
        <v>0</v>
      </c>
      <c r="X595" s="2">
        <f t="shared" si="549"/>
        <v>43028.87</v>
      </c>
      <c r="Y595" s="2">
        <f t="shared" si="549"/>
        <v>6146.98</v>
      </c>
      <c r="Z595" s="2">
        <f t="shared" si="549"/>
        <v>0</v>
      </c>
      <c r="AA595" s="2">
        <f t="shared" si="549"/>
        <v>0</v>
      </c>
      <c r="AB595" s="2">
        <f t="shared" si="549"/>
        <v>68343.679999999993</v>
      </c>
      <c r="AC595" s="2">
        <f t="shared" si="549"/>
        <v>1488.96</v>
      </c>
      <c r="AD595" s="2">
        <f t="shared" si="549"/>
        <v>5384.92</v>
      </c>
      <c r="AE595" s="2">
        <f t="shared" si="549"/>
        <v>3371.82</v>
      </c>
      <c r="AF595" s="2">
        <f t="shared" si="549"/>
        <v>61469.8</v>
      </c>
      <c r="AG595" s="2">
        <f t="shared" si="549"/>
        <v>0</v>
      </c>
      <c r="AH595" s="2">
        <f t="shared" si="549"/>
        <v>94.96</v>
      </c>
      <c r="AI595" s="2">
        <f t="shared" si="549"/>
        <v>0</v>
      </c>
      <c r="AJ595" s="2">
        <f t="shared" si="549"/>
        <v>0</v>
      </c>
      <c r="AK595" s="2">
        <f t="shared" si="549"/>
        <v>43028.87</v>
      </c>
      <c r="AL595" s="2">
        <f t="shared" si="549"/>
        <v>6146.98</v>
      </c>
      <c r="AM595" s="2">
        <f t="shared" si="549"/>
        <v>0</v>
      </c>
      <c r="AN595" s="2">
        <f t="shared" si="549"/>
        <v>0</v>
      </c>
      <c r="AO595" s="2">
        <f t="shared" si="549"/>
        <v>0</v>
      </c>
      <c r="AP595" s="2">
        <f t="shared" si="549"/>
        <v>0</v>
      </c>
      <c r="AQ595" s="2">
        <f t="shared" si="549"/>
        <v>0</v>
      </c>
      <c r="AR595" s="2">
        <f t="shared" si="549"/>
        <v>121161.09</v>
      </c>
      <c r="AS595" s="2">
        <f t="shared" si="549"/>
        <v>0</v>
      </c>
      <c r="AT595" s="2">
        <f t="shared" si="549"/>
        <v>0</v>
      </c>
      <c r="AU595" s="2">
        <f t="shared" ref="AU595:BZ595" si="550">AU630</f>
        <v>121161.09</v>
      </c>
      <c r="AV595" s="2">
        <f t="shared" si="550"/>
        <v>1488.96</v>
      </c>
      <c r="AW595" s="2">
        <f t="shared" si="550"/>
        <v>1488.96</v>
      </c>
      <c r="AX595" s="2">
        <f t="shared" si="550"/>
        <v>0</v>
      </c>
      <c r="AY595" s="2">
        <f t="shared" si="550"/>
        <v>1488.96</v>
      </c>
      <c r="AZ595" s="2">
        <f t="shared" si="550"/>
        <v>0</v>
      </c>
      <c r="BA595" s="2">
        <f t="shared" si="550"/>
        <v>0</v>
      </c>
      <c r="BB595" s="2">
        <f t="shared" si="550"/>
        <v>0</v>
      </c>
      <c r="BC595" s="2">
        <f t="shared" si="550"/>
        <v>0</v>
      </c>
      <c r="BD595" s="2">
        <f t="shared" si="550"/>
        <v>0</v>
      </c>
      <c r="BE595" s="2">
        <f t="shared" si="550"/>
        <v>0</v>
      </c>
      <c r="BF595" s="2">
        <f t="shared" si="550"/>
        <v>0</v>
      </c>
      <c r="BG595" s="2">
        <f t="shared" si="550"/>
        <v>0</v>
      </c>
      <c r="BH595" s="2">
        <f t="shared" si="550"/>
        <v>0</v>
      </c>
      <c r="BI595" s="2">
        <f t="shared" si="550"/>
        <v>0</v>
      </c>
      <c r="BJ595" s="2">
        <f t="shared" si="550"/>
        <v>0</v>
      </c>
      <c r="BK595" s="2">
        <f t="shared" si="550"/>
        <v>0</v>
      </c>
      <c r="BL595" s="2">
        <f t="shared" si="550"/>
        <v>0</v>
      </c>
      <c r="BM595" s="2">
        <f t="shared" si="550"/>
        <v>0</v>
      </c>
      <c r="BN595" s="2">
        <f t="shared" si="550"/>
        <v>0</v>
      </c>
      <c r="BO595" s="2">
        <f t="shared" si="550"/>
        <v>0</v>
      </c>
      <c r="BP595" s="2">
        <f t="shared" si="550"/>
        <v>0</v>
      </c>
      <c r="BQ595" s="2">
        <f t="shared" si="550"/>
        <v>0</v>
      </c>
      <c r="BR595" s="2">
        <f t="shared" si="550"/>
        <v>0</v>
      </c>
      <c r="BS595" s="2">
        <f t="shared" si="550"/>
        <v>0</v>
      </c>
      <c r="BT595" s="2">
        <f t="shared" si="550"/>
        <v>0</v>
      </c>
      <c r="BU595" s="2">
        <f t="shared" si="550"/>
        <v>0</v>
      </c>
      <c r="BV595" s="2">
        <f t="shared" si="550"/>
        <v>0</v>
      </c>
      <c r="BW595" s="2">
        <f t="shared" si="550"/>
        <v>0</v>
      </c>
      <c r="BX595" s="2">
        <f t="shared" si="550"/>
        <v>0</v>
      </c>
      <c r="BY595" s="2">
        <f t="shared" si="550"/>
        <v>0</v>
      </c>
      <c r="BZ595" s="2">
        <f t="shared" si="550"/>
        <v>0</v>
      </c>
      <c r="CA595" s="2">
        <f t="shared" ref="CA595:DF595" si="551">CA630</f>
        <v>121161.09</v>
      </c>
      <c r="CB595" s="2">
        <f t="shared" si="551"/>
        <v>0</v>
      </c>
      <c r="CC595" s="2">
        <f t="shared" si="551"/>
        <v>0</v>
      </c>
      <c r="CD595" s="2">
        <f t="shared" si="551"/>
        <v>121161.09</v>
      </c>
      <c r="CE595" s="2">
        <f t="shared" si="551"/>
        <v>1488.96</v>
      </c>
      <c r="CF595" s="2">
        <f t="shared" si="551"/>
        <v>1488.96</v>
      </c>
      <c r="CG595" s="2">
        <f t="shared" si="551"/>
        <v>0</v>
      </c>
      <c r="CH595" s="2">
        <f t="shared" si="551"/>
        <v>1488.96</v>
      </c>
      <c r="CI595" s="2">
        <f t="shared" si="551"/>
        <v>0</v>
      </c>
      <c r="CJ595" s="2">
        <f t="shared" si="551"/>
        <v>0</v>
      </c>
      <c r="CK595" s="2">
        <f t="shared" si="551"/>
        <v>0</v>
      </c>
      <c r="CL595" s="2">
        <f t="shared" si="551"/>
        <v>0</v>
      </c>
      <c r="CM595" s="2">
        <f t="shared" si="551"/>
        <v>0</v>
      </c>
      <c r="CN595" s="2">
        <f t="shared" si="551"/>
        <v>0</v>
      </c>
      <c r="CO595" s="2">
        <f t="shared" si="551"/>
        <v>0</v>
      </c>
      <c r="CP595" s="2">
        <f t="shared" si="551"/>
        <v>0</v>
      </c>
      <c r="CQ595" s="2">
        <f t="shared" si="551"/>
        <v>0</v>
      </c>
      <c r="CR595" s="2">
        <f t="shared" si="551"/>
        <v>0</v>
      </c>
      <c r="CS595" s="2">
        <f t="shared" si="551"/>
        <v>0</v>
      </c>
      <c r="CT595" s="2">
        <f t="shared" si="551"/>
        <v>0</v>
      </c>
      <c r="CU595" s="2">
        <f t="shared" si="551"/>
        <v>0</v>
      </c>
      <c r="CV595" s="2">
        <f t="shared" si="551"/>
        <v>0</v>
      </c>
      <c r="CW595" s="2">
        <f t="shared" si="551"/>
        <v>0</v>
      </c>
      <c r="CX595" s="2">
        <f t="shared" si="551"/>
        <v>0</v>
      </c>
      <c r="CY595" s="2">
        <f t="shared" si="551"/>
        <v>0</v>
      </c>
      <c r="CZ595" s="2">
        <f t="shared" si="551"/>
        <v>0</v>
      </c>
      <c r="DA595" s="2">
        <f t="shared" si="551"/>
        <v>0</v>
      </c>
      <c r="DB595" s="2">
        <f t="shared" si="551"/>
        <v>0</v>
      </c>
      <c r="DC595" s="2">
        <f t="shared" si="551"/>
        <v>0</v>
      </c>
      <c r="DD595" s="2">
        <f t="shared" si="551"/>
        <v>0</v>
      </c>
      <c r="DE595" s="2">
        <f t="shared" si="551"/>
        <v>0</v>
      </c>
      <c r="DF595" s="2">
        <f t="shared" si="551"/>
        <v>0</v>
      </c>
      <c r="DG595" s="3">
        <f t="shared" ref="DG595:EL595" si="552">DG630</f>
        <v>0</v>
      </c>
      <c r="DH595" s="3">
        <f t="shared" si="552"/>
        <v>0</v>
      </c>
      <c r="DI595" s="3">
        <f t="shared" si="552"/>
        <v>0</v>
      </c>
      <c r="DJ595" s="3">
        <f t="shared" si="552"/>
        <v>0</v>
      </c>
      <c r="DK595" s="3">
        <f t="shared" si="552"/>
        <v>0</v>
      </c>
      <c r="DL595" s="3">
        <f t="shared" si="552"/>
        <v>0</v>
      </c>
      <c r="DM595" s="3">
        <f t="shared" si="552"/>
        <v>0</v>
      </c>
      <c r="DN595" s="3">
        <f t="shared" si="552"/>
        <v>0</v>
      </c>
      <c r="DO595" s="3">
        <f t="shared" si="552"/>
        <v>0</v>
      </c>
      <c r="DP595" s="3">
        <f t="shared" si="552"/>
        <v>0</v>
      </c>
      <c r="DQ595" s="3">
        <f t="shared" si="552"/>
        <v>0</v>
      </c>
      <c r="DR595" s="3">
        <f t="shared" si="552"/>
        <v>0</v>
      </c>
      <c r="DS595" s="3">
        <f t="shared" si="552"/>
        <v>0</v>
      </c>
      <c r="DT595" s="3">
        <f t="shared" si="552"/>
        <v>0</v>
      </c>
      <c r="DU595" s="3">
        <f t="shared" si="552"/>
        <v>0</v>
      </c>
      <c r="DV595" s="3">
        <f t="shared" si="552"/>
        <v>0</v>
      </c>
      <c r="DW595" s="3">
        <f t="shared" si="552"/>
        <v>0</v>
      </c>
      <c r="DX595" s="3">
        <f t="shared" si="552"/>
        <v>0</v>
      </c>
      <c r="DY595" s="3">
        <f t="shared" si="552"/>
        <v>0</v>
      </c>
      <c r="DZ595" s="3">
        <f t="shared" si="552"/>
        <v>0</v>
      </c>
      <c r="EA595" s="3">
        <f t="shared" si="552"/>
        <v>0</v>
      </c>
      <c r="EB595" s="3">
        <f t="shared" si="552"/>
        <v>0</v>
      </c>
      <c r="EC595" s="3">
        <f t="shared" si="552"/>
        <v>0</v>
      </c>
      <c r="ED595" s="3">
        <f t="shared" si="552"/>
        <v>0</v>
      </c>
      <c r="EE595" s="3">
        <f t="shared" si="552"/>
        <v>0</v>
      </c>
      <c r="EF595" s="3">
        <f t="shared" si="552"/>
        <v>0</v>
      </c>
      <c r="EG595" s="3">
        <f t="shared" si="552"/>
        <v>0</v>
      </c>
      <c r="EH595" s="3">
        <f t="shared" si="552"/>
        <v>0</v>
      </c>
      <c r="EI595" s="3">
        <f t="shared" si="552"/>
        <v>0</v>
      </c>
      <c r="EJ595" s="3">
        <f t="shared" si="552"/>
        <v>0</v>
      </c>
      <c r="EK595" s="3">
        <f t="shared" si="552"/>
        <v>0</v>
      </c>
      <c r="EL595" s="3">
        <f t="shared" si="552"/>
        <v>0</v>
      </c>
      <c r="EM595" s="3">
        <f t="shared" ref="EM595:FR595" si="553">EM630</f>
        <v>0</v>
      </c>
      <c r="EN595" s="3">
        <f t="shared" si="553"/>
        <v>0</v>
      </c>
      <c r="EO595" s="3">
        <f t="shared" si="553"/>
        <v>0</v>
      </c>
      <c r="EP595" s="3">
        <f t="shared" si="553"/>
        <v>0</v>
      </c>
      <c r="EQ595" s="3">
        <f t="shared" si="553"/>
        <v>0</v>
      </c>
      <c r="ER595" s="3">
        <f t="shared" si="553"/>
        <v>0</v>
      </c>
      <c r="ES595" s="3">
        <f t="shared" si="553"/>
        <v>0</v>
      </c>
      <c r="ET595" s="3">
        <f t="shared" si="553"/>
        <v>0</v>
      </c>
      <c r="EU595" s="3">
        <f t="shared" si="553"/>
        <v>0</v>
      </c>
      <c r="EV595" s="3">
        <f t="shared" si="553"/>
        <v>0</v>
      </c>
      <c r="EW595" s="3">
        <f t="shared" si="553"/>
        <v>0</v>
      </c>
      <c r="EX595" s="3">
        <f t="shared" si="553"/>
        <v>0</v>
      </c>
      <c r="EY595" s="3">
        <f t="shared" si="553"/>
        <v>0</v>
      </c>
      <c r="EZ595" s="3">
        <f t="shared" si="553"/>
        <v>0</v>
      </c>
      <c r="FA595" s="3">
        <f t="shared" si="553"/>
        <v>0</v>
      </c>
      <c r="FB595" s="3">
        <f t="shared" si="553"/>
        <v>0</v>
      </c>
      <c r="FC595" s="3">
        <f t="shared" si="553"/>
        <v>0</v>
      </c>
      <c r="FD595" s="3">
        <f t="shared" si="553"/>
        <v>0</v>
      </c>
      <c r="FE595" s="3">
        <f t="shared" si="553"/>
        <v>0</v>
      </c>
      <c r="FF595" s="3">
        <f t="shared" si="553"/>
        <v>0</v>
      </c>
      <c r="FG595" s="3">
        <f t="shared" si="553"/>
        <v>0</v>
      </c>
      <c r="FH595" s="3">
        <f t="shared" si="553"/>
        <v>0</v>
      </c>
      <c r="FI595" s="3">
        <f t="shared" si="553"/>
        <v>0</v>
      </c>
      <c r="FJ595" s="3">
        <f t="shared" si="553"/>
        <v>0</v>
      </c>
      <c r="FK595" s="3">
        <f t="shared" si="553"/>
        <v>0</v>
      </c>
      <c r="FL595" s="3">
        <f t="shared" si="553"/>
        <v>0</v>
      </c>
      <c r="FM595" s="3">
        <f t="shared" si="553"/>
        <v>0</v>
      </c>
      <c r="FN595" s="3">
        <f t="shared" si="553"/>
        <v>0</v>
      </c>
      <c r="FO595" s="3">
        <f t="shared" si="553"/>
        <v>0</v>
      </c>
      <c r="FP595" s="3">
        <f t="shared" si="553"/>
        <v>0</v>
      </c>
      <c r="FQ595" s="3">
        <f t="shared" si="553"/>
        <v>0</v>
      </c>
      <c r="FR595" s="3">
        <f t="shared" si="553"/>
        <v>0</v>
      </c>
      <c r="FS595" s="3">
        <f t="shared" ref="FS595:GX595" si="554">FS630</f>
        <v>0</v>
      </c>
      <c r="FT595" s="3">
        <f t="shared" si="554"/>
        <v>0</v>
      </c>
      <c r="FU595" s="3">
        <f t="shared" si="554"/>
        <v>0</v>
      </c>
      <c r="FV595" s="3">
        <f t="shared" si="554"/>
        <v>0</v>
      </c>
      <c r="FW595" s="3">
        <f t="shared" si="554"/>
        <v>0</v>
      </c>
      <c r="FX595" s="3">
        <f t="shared" si="554"/>
        <v>0</v>
      </c>
      <c r="FY595" s="3">
        <f t="shared" si="554"/>
        <v>0</v>
      </c>
      <c r="FZ595" s="3">
        <f t="shared" si="554"/>
        <v>0</v>
      </c>
      <c r="GA595" s="3">
        <f t="shared" si="554"/>
        <v>0</v>
      </c>
      <c r="GB595" s="3">
        <f t="shared" si="554"/>
        <v>0</v>
      </c>
      <c r="GC595" s="3">
        <f t="shared" si="554"/>
        <v>0</v>
      </c>
      <c r="GD595" s="3">
        <f t="shared" si="554"/>
        <v>0</v>
      </c>
      <c r="GE595" s="3">
        <f t="shared" si="554"/>
        <v>0</v>
      </c>
      <c r="GF595" s="3">
        <f t="shared" si="554"/>
        <v>0</v>
      </c>
      <c r="GG595" s="3">
        <f t="shared" si="554"/>
        <v>0</v>
      </c>
      <c r="GH595" s="3">
        <f t="shared" si="554"/>
        <v>0</v>
      </c>
      <c r="GI595" s="3">
        <f t="shared" si="554"/>
        <v>0</v>
      </c>
      <c r="GJ595" s="3">
        <f t="shared" si="554"/>
        <v>0</v>
      </c>
      <c r="GK595" s="3">
        <f t="shared" si="554"/>
        <v>0</v>
      </c>
      <c r="GL595" s="3">
        <f t="shared" si="554"/>
        <v>0</v>
      </c>
      <c r="GM595" s="3">
        <f t="shared" si="554"/>
        <v>0</v>
      </c>
      <c r="GN595" s="3">
        <f t="shared" si="554"/>
        <v>0</v>
      </c>
      <c r="GO595" s="3">
        <f t="shared" si="554"/>
        <v>0</v>
      </c>
      <c r="GP595" s="3">
        <f t="shared" si="554"/>
        <v>0</v>
      </c>
      <c r="GQ595" s="3">
        <f t="shared" si="554"/>
        <v>0</v>
      </c>
      <c r="GR595" s="3">
        <f t="shared" si="554"/>
        <v>0</v>
      </c>
      <c r="GS595" s="3">
        <f t="shared" si="554"/>
        <v>0</v>
      </c>
      <c r="GT595" s="3">
        <f t="shared" si="554"/>
        <v>0</v>
      </c>
      <c r="GU595" s="3">
        <f t="shared" si="554"/>
        <v>0</v>
      </c>
      <c r="GV595" s="3">
        <f t="shared" si="554"/>
        <v>0</v>
      </c>
      <c r="GW595" s="3">
        <f t="shared" si="554"/>
        <v>0</v>
      </c>
      <c r="GX595" s="3">
        <f t="shared" si="554"/>
        <v>0</v>
      </c>
    </row>
    <row r="597" spans="1:245" x14ac:dyDescent="0.2">
      <c r="A597">
        <v>17</v>
      </c>
      <c r="B597">
        <v>1</v>
      </c>
      <c r="D597">
        <f>ROW(EtalonRes!A483)</f>
        <v>483</v>
      </c>
      <c r="E597" t="s">
        <v>3</v>
      </c>
      <c r="F597" t="s">
        <v>442</v>
      </c>
      <c r="G597" t="s">
        <v>504</v>
      </c>
      <c r="H597" t="s">
        <v>386</v>
      </c>
      <c r="I597">
        <v>1</v>
      </c>
      <c r="J597">
        <v>0</v>
      </c>
      <c r="K597">
        <v>1</v>
      </c>
      <c r="O597">
        <f t="shared" ref="O597:O613" si="555">ROUND(CP597,2)</f>
        <v>133144.68</v>
      </c>
      <c r="P597">
        <f t="shared" ref="P597:P613" si="556">ROUND(CQ597*I597,2)</f>
        <v>4883.01</v>
      </c>
      <c r="Q597">
        <f t="shared" ref="Q597:Q613" si="557">ROUND(CR597*I597,2)</f>
        <v>0</v>
      </c>
      <c r="R597">
        <f t="shared" ref="R597:R613" si="558">ROUND(CS597*I597,2)</f>
        <v>0</v>
      </c>
      <c r="S597">
        <f t="shared" ref="S597:S613" si="559">ROUND(CT597*I597,2)</f>
        <v>128261.67</v>
      </c>
      <c r="T597">
        <f t="shared" ref="T597:T613" si="560">ROUND(CU597*I597,2)</f>
        <v>0</v>
      </c>
      <c r="U597">
        <f t="shared" ref="U597:U613" si="561">CV597*I597</f>
        <v>166.66666666666666</v>
      </c>
      <c r="V597">
        <f t="shared" ref="V597:V613" si="562">CW597*I597</f>
        <v>0</v>
      </c>
      <c r="W597">
        <f t="shared" ref="W597:W613" si="563">ROUND(CX597*I597,2)</f>
        <v>0</v>
      </c>
      <c r="X597">
        <f t="shared" ref="X597:X613" si="564">ROUND(CY597,2)</f>
        <v>89783.17</v>
      </c>
      <c r="Y597">
        <f t="shared" ref="Y597:Y613" si="565">ROUND(CZ597,2)</f>
        <v>12826.17</v>
      </c>
      <c r="AA597">
        <v>-1</v>
      </c>
      <c r="AB597">
        <f t="shared" ref="AB597:AB613" si="566">ROUND((AC597+AD597+AF597),6)</f>
        <v>133144.67333399999</v>
      </c>
      <c r="AC597">
        <f>ROUND((((ES597/12)*8)),6)</f>
        <v>4883.0066669999997</v>
      </c>
      <c r="AD597">
        <f>ROUND((((((ET597/12)*8))-(((EU597/12)*8)))+AE597),6)</f>
        <v>0</v>
      </c>
      <c r="AE597">
        <f>ROUND((((EU597/12)*8)),6)</f>
        <v>0</v>
      </c>
      <c r="AF597">
        <f>ROUND((((EV597/12)*8)),6)</f>
        <v>128261.666667</v>
      </c>
      <c r="AG597">
        <f t="shared" ref="AG597:AG613" si="567">ROUND((AP597),6)</f>
        <v>0</v>
      </c>
      <c r="AH597">
        <f>(((EW597/12)*8))</f>
        <v>166.66666666666666</v>
      </c>
      <c r="AI597">
        <f>(((EX597/12)*8))</f>
        <v>0</v>
      </c>
      <c r="AJ597">
        <f t="shared" ref="AJ597:AJ613" si="568">(AS597)</f>
        <v>0</v>
      </c>
      <c r="AK597">
        <v>199717.01</v>
      </c>
      <c r="AL597">
        <v>7324.51</v>
      </c>
      <c r="AM597">
        <v>0</v>
      </c>
      <c r="AN597">
        <v>0</v>
      </c>
      <c r="AO597">
        <v>192392.5</v>
      </c>
      <c r="AP597">
        <v>0</v>
      </c>
      <c r="AQ597">
        <v>250</v>
      </c>
      <c r="AR597">
        <v>0</v>
      </c>
      <c r="AS597">
        <v>0</v>
      </c>
      <c r="AT597">
        <v>70</v>
      </c>
      <c r="AU597">
        <v>10</v>
      </c>
      <c r="AV597">
        <v>1</v>
      </c>
      <c r="AW597">
        <v>1</v>
      </c>
      <c r="AZ597">
        <v>1</v>
      </c>
      <c r="BA597">
        <v>1</v>
      </c>
      <c r="BB597">
        <v>1</v>
      </c>
      <c r="BC597">
        <v>1</v>
      </c>
      <c r="BD597" t="s">
        <v>3</v>
      </c>
      <c r="BE597" t="s">
        <v>3</v>
      </c>
      <c r="BF597" t="s">
        <v>3</v>
      </c>
      <c r="BG597" t="s">
        <v>3</v>
      </c>
      <c r="BH597">
        <v>0</v>
      </c>
      <c r="BI597">
        <v>4</v>
      </c>
      <c r="BJ597" t="s">
        <v>444</v>
      </c>
      <c r="BM597">
        <v>0</v>
      </c>
      <c r="BN597">
        <v>0</v>
      </c>
      <c r="BO597" t="s">
        <v>3</v>
      </c>
      <c r="BP597">
        <v>0</v>
      </c>
      <c r="BQ597">
        <v>1</v>
      </c>
      <c r="BR597">
        <v>0</v>
      </c>
      <c r="BS597">
        <v>1</v>
      </c>
      <c r="BT597">
        <v>1</v>
      </c>
      <c r="BU597">
        <v>1</v>
      </c>
      <c r="BV597">
        <v>1</v>
      </c>
      <c r="BW597">
        <v>1</v>
      </c>
      <c r="BX597">
        <v>1</v>
      </c>
      <c r="BY597" t="s">
        <v>3</v>
      </c>
      <c r="BZ597">
        <v>70</v>
      </c>
      <c r="CA597">
        <v>10</v>
      </c>
      <c r="CB597" t="s">
        <v>3</v>
      </c>
      <c r="CE597">
        <v>0</v>
      </c>
      <c r="CF597">
        <v>0</v>
      </c>
      <c r="CG597">
        <v>0</v>
      </c>
      <c r="CM597">
        <v>0</v>
      </c>
      <c r="CN597" t="s">
        <v>3</v>
      </c>
      <c r="CO597">
        <v>0</v>
      </c>
      <c r="CP597">
        <f t="shared" ref="CP597:CP613" si="569">(P597+Q597+S597)</f>
        <v>133144.68</v>
      </c>
      <c r="CQ597">
        <f t="shared" ref="CQ597:CQ613" si="570">(AC597*BC597*AW597)</f>
        <v>4883.0066669999997</v>
      </c>
      <c r="CR597">
        <f>((((((ET597/12)*8))*BB597-(((EU597/12)*8))*BS597)+AE597*BS597)*AV597)</f>
        <v>0</v>
      </c>
      <c r="CS597">
        <f t="shared" ref="CS597:CS613" si="571">(AE597*BS597*AV597)</f>
        <v>0</v>
      </c>
      <c r="CT597">
        <f t="shared" ref="CT597:CT613" si="572">(AF597*BA597*AV597)</f>
        <v>128261.666667</v>
      </c>
      <c r="CU597">
        <f t="shared" ref="CU597:CU613" si="573">AG597</f>
        <v>0</v>
      </c>
      <c r="CV597">
        <f t="shared" ref="CV597:CV613" si="574">(AH597*AV597)</f>
        <v>166.66666666666666</v>
      </c>
      <c r="CW597">
        <f t="shared" ref="CW597:CW613" si="575">AI597</f>
        <v>0</v>
      </c>
      <c r="CX597">
        <f t="shared" ref="CX597:CX613" si="576">AJ597</f>
        <v>0</v>
      </c>
      <c r="CY597">
        <f t="shared" ref="CY597:CY613" si="577">((S597*BZ597)/100)</f>
        <v>89783.169000000009</v>
      </c>
      <c r="CZ597">
        <f t="shared" ref="CZ597:CZ613" si="578">((S597*CA597)/100)</f>
        <v>12826.166999999999</v>
      </c>
      <c r="DC597" t="s">
        <v>3</v>
      </c>
      <c r="DD597" t="s">
        <v>388</v>
      </c>
      <c r="DE597" t="s">
        <v>388</v>
      </c>
      <c r="DF597" t="s">
        <v>388</v>
      </c>
      <c r="DG597" t="s">
        <v>388</v>
      </c>
      <c r="DH597" t="s">
        <v>3</v>
      </c>
      <c r="DI597" t="s">
        <v>388</v>
      </c>
      <c r="DJ597" t="s">
        <v>388</v>
      </c>
      <c r="DK597" t="s">
        <v>3</v>
      </c>
      <c r="DL597" t="s">
        <v>3</v>
      </c>
      <c r="DM597" t="s">
        <v>3</v>
      </c>
      <c r="DN597">
        <v>0</v>
      </c>
      <c r="DO597">
        <v>0</v>
      </c>
      <c r="DP597">
        <v>1</v>
      </c>
      <c r="DQ597">
        <v>1</v>
      </c>
      <c r="DU597">
        <v>1013</v>
      </c>
      <c r="DV597" t="s">
        <v>386</v>
      </c>
      <c r="DW597" t="s">
        <v>386</v>
      </c>
      <c r="DX597">
        <v>1</v>
      </c>
      <c r="DZ597" t="s">
        <v>3</v>
      </c>
      <c r="EA597" t="s">
        <v>3</v>
      </c>
      <c r="EB597" t="s">
        <v>3</v>
      </c>
      <c r="EC597" t="s">
        <v>3</v>
      </c>
      <c r="EE597">
        <v>1441815344</v>
      </c>
      <c r="EF597">
        <v>1</v>
      </c>
      <c r="EG597" t="s">
        <v>22</v>
      </c>
      <c r="EH597">
        <v>0</v>
      </c>
      <c r="EI597" t="s">
        <v>3</v>
      </c>
      <c r="EJ597">
        <v>4</v>
      </c>
      <c r="EK597">
        <v>0</v>
      </c>
      <c r="EL597" t="s">
        <v>23</v>
      </c>
      <c r="EM597" t="s">
        <v>24</v>
      </c>
      <c r="EO597" t="s">
        <v>3</v>
      </c>
      <c r="EQ597">
        <v>1024</v>
      </c>
      <c r="ER597">
        <v>199717.01</v>
      </c>
      <c r="ES597">
        <v>7324.51</v>
      </c>
      <c r="ET597">
        <v>0</v>
      </c>
      <c r="EU597">
        <v>0</v>
      </c>
      <c r="EV597">
        <v>192392.5</v>
      </c>
      <c r="EW597">
        <v>250</v>
      </c>
      <c r="EX597">
        <v>0</v>
      </c>
      <c r="EY597">
        <v>0</v>
      </c>
      <c r="FQ597">
        <v>0</v>
      </c>
      <c r="FR597">
        <f t="shared" ref="FR597:FR613" si="579">ROUND(IF(BI597=3,GM597,0),2)</f>
        <v>0</v>
      </c>
      <c r="FS597">
        <v>0</v>
      </c>
      <c r="FX597">
        <v>70</v>
      </c>
      <c r="FY597">
        <v>10</v>
      </c>
      <c r="GA597" t="s">
        <v>3</v>
      </c>
      <c r="GD597">
        <v>0</v>
      </c>
      <c r="GF597">
        <v>-313622519</v>
      </c>
      <c r="GG597">
        <v>2</v>
      </c>
      <c r="GH597">
        <v>1</v>
      </c>
      <c r="GI597">
        <v>-2</v>
      </c>
      <c r="GJ597">
        <v>0</v>
      </c>
      <c r="GK597">
        <f>ROUND(R597*(R12)/100,2)</f>
        <v>0</v>
      </c>
      <c r="GL597">
        <f t="shared" ref="GL597:GL613" si="580">ROUND(IF(AND(BH597=3,BI597=3,FS597&lt;&gt;0),P597,0),2)</f>
        <v>0</v>
      </c>
      <c r="GM597">
        <f t="shared" ref="GM597:GM613" si="581">ROUND(O597+X597+Y597+GK597,2)+GX597</f>
        <v>235754.02</v>
      </c>
      <c r="GN597">
        <f t="shared" ref="GN597:GN613" si="582">IF(OR(BI597=0,BI597=1),GM597-GX597,0)</f>
        <v>0</v>
      </c>
      <c r="GO597">
        <f t="shared" ref="GO597:GO613" si="583">IF(BI597=2,GM597-GX597,0)</f>
        <v>0</v>
      </c>
      <c r="GP597">
        <f t="shared" ref="GP597:GP613" si="584">IF(BI597=4,GM597-GX597,0)</f>
        <v>235754.02</v>
      </c>
      <c r="GR597">
        <v>0</v>
      </c>
      <c r="GS597">
        <v>3</v>
      </c>
      <c r="GT597">
        <v>0</v>
      </c>
      <c r="GU597" t="s">
        <v>3</v>
      </c>
      <c r="GV597">
        <f t="shared" ref="GV597:GV613" si="585">ROUND((GT597),6)</f>
        <v>0</v>
      </c>
      <c r="GW597">
        <v>1</v>
      </c>
      <c r="GX597">
        <f t="shared" ref="GX597:GX613" si="586">ROUND(HC597*I597,2)</f>
        <v>0</v>
      </c>
      <c r="HA597">
        <v>0</v>
      </c>
      <c r="HB597">
        <v>0</v>
      </c>
      <c r="HC597">
        <f t="shared" ref="HC597:HC613" si="587">GV597*GW597</f>
        <v>0</v>
      </c>
      <c r="HE597" t="s">
        <v>3</v>
      </c>
      <c r="HF597" t="s">
        <v>3</v>
      </c>
      <c r="HM597" t="s">
        <v>3</v>
      </c>
      <c r="HN597" t="s">
        <v>3</v>
      </c>
      <c r="HO597" t="s">
        <v>3</v>
      </c>
      <c r="HP597" t="s">
        <v>3</v>
      </c>
      <c r="HQ597" t="s">
        <v>3</v>
      </c>
      <c r="IK597">
        <v>0</v>
      </c>
    </row>
    <row r="598" spans="1:245" x14ac:dyDescent="0.2">
      <c r="A598">
        <v>17</v>
      </c>
      <c r="B598">
        <v>1</v>
      </c>
      <c r="D598">
        <f>ROW(EtalonRes!A487)</f>
        <v>487</v>
      </c>
      <c r="E598" t="s">
        <v>505</v>
      </c>
      <c r="F598" t="s">
        <v>436</v>
      </c>
      <c r="G598" t="s">
        <v>506</v>
      </c>
      <c r="H598" t="s">
        <v>386</v>
      </c>
      <c r="I598">
        <v>1</v>
      </c>
      <c r="J598">
        <v>0</v>
      </c>
      <c r="K598">
        <v>1</v>
      </c>
      <c r="O598">
        <f t="shared" si="555"/>
        <v>10840.52</v>
      </c>
      <c r="P598">
        <f t="shared" si="556"/>
        <v>710.32</v>
      </c>
      <c r="Q598">
        <f t="shared" si="557"/>
        <v>1094.52</v>
      </c>
      <c r="R598">
        <f t="shared" si="558"/>
        <v>694</v>
      </c>
      <c r="S598">
        <f t="shared" si="559"/>
        <v>9035.68</v>
      </c>
      <c r="T598">
        <f t="shared" si="560"/>
        <v>0</v>
      </c>
      <c r="U598">
        <f t="shared" si="561"/>
        <v>13.6</v>
      </c>
      <c r="V598">
        <f t="shared" si="562"/>
        <v>0</v>
      </c>
      <c r="W598">
        <f t="shared" si="563"/>
        <v>0</v>
      </c>
      <c r="X598">
        <f t="shared" si="564"/>
        <v>6324.98</v>
      </c>
      <c r="Y598">
        <f t="shared" si="565"/>
        <v>903.57</v>
      </c>
      <c r="AA598">
        <v>1472506909</v>
      </c>
      <c r="AB598">
        <f t="shared" si="566"/>
        <v>10840.52</v>
      </c>
      <c r="AC598">
        <f>ROUND(((ES598*2)),6)</f>
        <v>710.32</v>
      </c>
      <c r="AD598">
        <f>ROUND(((((ET598*2))-((EU598*2)))+AE598),6)</f>
        <v>1094.52</v>
      </c>
      <c r="AE598">
        <f>ROUND(((EU598*2)),6)</f>
        <v>694</v>
      </c>
      <c r="AF598">
        <f>ROUND(((EV598*2)),6)</f>
        <v>9035.68</v>
      </c>
      <c r="AG598">
        <f t="shared" si="567"/>
        <v>0</v>
      </c>
      <c r="AH598">
        <f>((EW598*2))</f>
        <v>13.6</v>
      </c>
      <c r="AI598">
        <f>((EX598*2))</f>
        <v>0</v>
      </c>
      <c r="AJ598">
        <f t="shared" si="568"/>
        <v>0</v>
      </c>
      <c r="AK598">
        <v>5420.26</v>
      </c>
      <c r="AL598">
        <v>355.16</v>
      </c>
      <c r="AM598">
        <v>547.26</v>
      </c>
      <c r="AN598">
        <v>347</v>
      </c>
      <c r="AO598">
        <v>4517.84</v>
      </c>
      <c r="AP598">
        <v>0</v>
      </c>
      <c r="AQ598">
        <v>6.8</v>
      </c>
      <c r="AR598">
        <v>0</v>
      </c>
      <c r="AS598">
        <v>0</v>
      </c>
      <c r="AT598">
        <v>70</v>
      </c>
      <c r="AU598">
        <v>10</v>
      </c>
      <c r="AV598">
        <v>1</v>
      </c>
      <c r="AW598">
        <v>1</v>
      </c>
      <c r="AZ598">
        <v>1</v>
      </c>
      <c r="BA598">
        <v>1</v>
      </c>
      <c r="BB598">
        <v>1</v>
      </c>
      <c r="BC598">
        <v>1</v>
      </c>
      <c r="BD598" t="s">
        <v>3</v>
      </c>
      <c r="BE598" t="s">
        <v>3</v>
      </c>
      <c r="BF598" t="s">
        <v>3</v>
      </c>
      <c r="BG598" t="s">
        <v>3</v>
      </c>
      <c r="BH598">
        <v>0</v>
      </c>
      <c r="BI598">
        <v>4</v>
      </c>
      <c r="BJ598" t="s">
        <v>438</v>
      </c>
      <c r="BM598">
        <v>0</v>
      </c>
      <c r="BN598">
        <v>0</v>
      </c>
      <c r="BO598" t="s">
        <v>3</v>
      </c>
      <c r="BP598">
        <v>0</v>
      </c>
      <c r="BQ598">
        <v>1</v>
      </c>
      <c r="BR598">
        <v>0</v>
      </c>
      <c r="BS598">
        <v>1</v>
      </c>
      <c r="BT598">
        <v>1</v>
      </c>
      <c r="BU598">
        <v>1</v>
      </c>
      <c r="BV598">
        <v>1</v>
      </c>
      <c r="BW598">
        <v>1</v>
      </c>
      <c r="BX598">
        <v>1</v>
      </c>
      <c r="BY598" t="s">
        <v>3</v>
      </c>
      <c r="BZ598">
        <v>70</v>
      </c>
      <c r="CA598">
        <v>10</v>
      </c>
      <c r="CB598" t="s">
        <v>3</v>
      </c>
      <c r="CE598">
        <v>0</v>
      </c>
      <c r="CF598">
        <v>0</v>
      </c>
      <c r="CG598">
        <v>0</v>
      </c>
      <c r="CM598">
        <v>0</v>
      </c>
      <c r="CN598" t="s">
        <v>3</v>
      </c>
      <c r="CO598">
        <v>0</v>
      </c>
      <c r="CP598">
        <f t="shared" si="569"/>
        <v>10840.52</v>
      </c>
      <c r="CQ598">
        <f t="shared" si="570"/>
        <v>710.32</v>
      </c>
      <c r="CR598">
        <f>(((((ET598*2))*BB598-((EU598*2))*BS598)+AE598*BS598)*AV598)</f>
        <v>1094.52</v>
      </c>
      <c r="CS598">
        <f t="shared" si="571"/>
        <v>694</v>
      </c>
      <c r="CT598">
        <f t="shared" si="572"/>
        <v>9035.68</v>
      </c>
      <c r="CU598">
        <f t="shared" si="573"/>
        <v>0</v>
      </c>
      <c r="CV598">
        <f t="shared" si="574"/>
        <v>13.6</v>
      </c>
      <c r="CW598">
        <f t="shared" si="575"/>
        <v>0</v>
      </c>
      <c r="CX598">
        <f t="shared" si="576"/>
        <v>0</v>
      </c>
      <c r="CY598">
        <f t="shared" si="577"/>
        <v>6324.9759999999997</v>
      </c>
      <c r="CZ598">
        <f t="shared" si="578"/>
        <v>903.56799999999998</v>
      </c>
      <c r="DC598" t="s">
        <v>3</v>
      </c>
      <c r="DD598" t="s">
        <v>28</v>
      </c>
      <c r="DE598" t="s">
        <v>28</v>
      </c>
      <c r="DF598" t="s">
        <v>28</v>
      </c>
      <c r="DG598" t="s">
        <v>28</v>
      </c>
      <c r="DH598" t="s">
        <v>3</v>
      </c>
      <c r="DI598" t="s">
        <v>28</v>
      </c>
      <c r="DJ598" t="s">
        <v>28</v>
      </c>
      <c r="DK598" t="s">
        <v>3</v>
      </c>
      <c r="DL598" t="s">
        <v>3</v>
      </c>
      <c r="DM598" t="s">
        <v>3</v>
      </c>
      <c r="DN598">
        <v>0</v>
      </c>
      <c r="DO598">
        <v>0</v>
      </c>
      <c r="DP598">
        <v>1</v>
      </c>
      <c r="DQ598">
        <v>1</v>
      </c>
      <c r="DU598">
        <v>1013</v>
      </c>
      <c r="DV598" t="s">
        <v>386</v>
      </c>
      <c r="DW598" t="s">
        <v>386</v>
      </c>
      <c r="DX598">
        <v>1</v>
      </c>
      <c r="DZ598" t="s">
        <v>3</v>
      </c>
      <c r="EA598" t="s">
        <v>3</v>
      </c>
      <c r="EB598" t="s">
        <v>3</v>
      </c>
      <c r="EC598" t="s">
        <v>3</v>
      </c>
      <c r="EE598">
        <v>1441815344</v>
      </c>
      <c r="EF598">
        <v>1</v>
      </c>
      <c r="EG598" t="s">
        <v>22</v>
      </c>
      <c r="EH598">
        <v>0</v>
      </c>
      <c r="EI598" t="s">
        <v>3</v>
      </c>
      <c r="EJ598">
        <v>4</v>
      </c>
      <c r="EK598">
        <v>0</v>
      </c>
      <c r="EL598" t="s">
        <v>23</v>
      </c>
      <c r="EM598" t="s">
        <v>24</v>
      </c>
      <c r="EO598" t="s">
        <v>3</v>
      </c>
      <c r="EQ598">
        <v>0</v>
      </c>
      <c r="ER598">
        <v>5420.26</v>
      </c>
      <c r="ES598">
        <v>355.16</v>
      </c>
      <c r="ET598">
        <v>547.26</v>
      </c>
      <c r="EU598">
        <v>347</v>
      </c>
      <c r="EV598">
        <v>4517.84</v>
      </c>
      <c r="EW598">
        <v>6.8</v>
      </c>
      <c r="EX598">
        <v>0</v>
      </c>
      <c r="EY598">
        <v>0</v>
      </c>
      <c r="FQ598">
        <v>0</v>
      </c>
      <c r="FR598">
        <f t="shared" si="579"/>
        <v>0</v>
      </c>
      <c r="FS598">
        <v>0</v>
      </c>
      <c r="FX598">
        <v>70</v>
      </c>
      <c r="FY598">
        <v>10</v>
      </c>
      <c r="GA598" t="s">
        <v>3</v>
      </c>
      <c r="GD598">
        <v>0</v>
      </c>
      <c r="GF598">
        <v>-900488910</v>
      </c>
      <c r="GG598">
        <v>2</v>
      </c>
      <c r="GH598">
        <v>1</v>
      </c>
      <c r="GI598">
        <v>-2</v>
      </c>
      <c r="GJ598">
        <v>0</v>
      </c>
      <c r="GK598">
        <f>ROUND(R598*(R12)/100,2)</f>
        <v>749.52</v>
      </c>
      <c r="GL598">
        <f t="shared" si="580"/>
        <v>0</v>
      </c>
      <c r="GM598">
        <f t="shared" si="581"/>
        <v>18818.59</v>
      </c>
      <c r="GN598">
        <f t="shared" si="582"/>
        <v>0</v>
      </c>
      <c r="GO598">
        <f t="shared" si="583"/>
        <v>0</v>
      </c>
      <c r="GP598">
        <f t="shared" si="584"/>
        <v>18818.59</v>
      </c>
      <c r="GR598">
        <v>0</v>
      </c>
      <c r="GS598">
        <v>3</v>
      </c>
      <c r="GT598">
        <v>0</v>
      </c>
      <c r="GU598" t="s">
        <v>3</v>
      </c>
      <c r="GV598">
        <f t="shared" si="585"/>
        <v>0</v>
      </c>
      <c r="GW598">
        <v>1</v>
      </c>
      <c r="GX598">
        <f t="shared" si="586"/>
        <v>0</v>
      </c>
      <c r="HA598">
        <v>0</v>
      </c>
      <c r="HB598">
        <v>0</v>
      </c>
      <c r="HC598">
        <f t="shared" si="587"/>
        <v>0</v>
      </c>
      <c r="HE598" t="s">
        <v>3</v>
      </c>
      <c r="HF598" t="s">
        <v>3</v>
      </c>
      <c r="HM598" t="s">
        <v>3</v>
      </c>
      <c r="HN598" t="s">
        <v>3</v>
      </c>
      <c r="HO598" t="s">
        <v>3</v>
      </c>
      <c r="HP598" t="s">
        <v>3</v>
      </c>
      <c r="HQ598" t="s">
        <v>3</v>
      </c>
      <c r="IK598">
        <v>0</v>
      </c>
    </row>
    <row r="599" spans="1:245" x14ac:dyDescent="0.2">
      <c r="A599">
        <v>17</v>
      </c>
      <c r="B599">
        <v>1</v>
      </c>
      <c r="D599">
        <f>ROW(EtalonRes!A490)</f>
        <v>490</v>
      </c>
      <c r="E599" t="s">
        <v>3</v>
      </c>
      <c r="F599" t="s">
        <v>439</v>
      </c>
      <c r="G599" t="s">
        <v>507</v>
      </c>
      <c r="H599" t="s">
        <v>386</v>
      </c>
      <c r="I599">
        <v>1</v>
      </c>
      <c r="J599">
        <v>0</v>
      </c>
      <c r="K599">
        <v>1</v>
      </c>
      <c r="O599">
        <f t="shared" si="555"/>
        <v>9343.7999999999993</v>
      </c>
      <c r="P599">
        <f t="shared" si="556"/>
        <v>62.98</v>
      </c>
      <c r="Q599">
        <f t="shared" si="557"/>
        <v>1094.52</v>
      </c>
      <c r="R599">
        <f t="shared" si="558"/>
        <v>694</v>
      </c>
      <c r="S599">
        <f t="shared" si="559"/>
        <v>8186.3</v>
      </c>
      <c r="T599">
        <f t="shared" si="560"/>
        <v>0</v>
      </c>
      <c r="U599">
        <f t="shared" si="561"/>
        <v>12.32</v>
      </c>
      <c r="V599">
        <f t="shared" si="562"/>
        <v>0</v>
      </c>
      <c r="W599">
        <f t="shared" si="563"/>
        <v>0</v>
      </c>
      <c r="X599">
        <f t="shared" si="564"/>
        <v>5730.41</v>
      </c>
      <c r="Y599">
        <f t="shared" si="565"/>
        <v>818.63</v>
      </c>
      <c r="AA599">
        <v>-1</v>
      </c>
      <c r="AB599">
        <f t="shared" si="566"/>
        <v>9343.7999999999993</v>
      </c>
      <c r="AC599">
        <f>ROUND(((ES599*2)),6)</f>
        <v>62.98</v>
      </c>
      <c r="AD599">
        <f>ROUND(((((ET599*2))-((EU599*2)))+AE599),6)</f>
        <v>1094.52</v>
      </c>
      <c r="AE599">
        <f>ROUND(((EU599*2)),6)</f>
        <v>694</v>
      </c>
      <c r="AF599">
        <f>ROUND(((EV599*2)),6)</f>
        <v>8186.3</v>
      </c>
      <c r="AG599">
        <f t="shared" si="567"/>
        <v>0</v>
      </c>
      <c r="AH599">
        <f>((EW599*2))</f>
        <v>12.32</v>
      </c>
      <c r="AI599">
        <f>((EX599*2))</f>
        <v>0</v>
      </c>
      <c r="AJ599">
        <f t="shared" si="568"/>
        <v>0</v>
      </c>
      <c r="AK599">
        <v>4671.8999999999996</v>
      </c>
      <c r="AL599">
        <v>31.49</v>
      </c>
      <c r="AM599">
        <v>547.26</v>
      </c>
      <c r="AN599">
        <v>347</v>
      </c>
      <c r="AO599">
        <v>4093.15</v>
      </c>
      <c r="AP599">
        <v>0</v>
      </c>
      <c r="AQ599">
        <v>6.16</v>
      </c>
      <c r="AR599">
        <v>0</v>
      </c>
      <c r="AS599">
        <v>0</v>
      </c>
      <c r="AT599">
        <v>70</v>
      </c>
      <c r="AU599">
        <v>10</v>
      </c>
      <c r="AV599">
        <v>1</v>
      </c>
      <c r="AW599">
        <v>1</v>
      </c>
      <c r="AZ599">
        <v>1</v>
      </c>
      <c r="BA599">
        <v>1</v>
      </c>
      <c r="BB599">
        <v>1</v>
      </c>
      <c r="BC599">
        <v>1</v>
      </c>
      <c r="BD599" t="s">
        <v>3</v>
      </c>
      <c r="BE599" t="s">
        <v>3</v>
      </c>
      <c r="BF599" t="s">
        <v>3</v>
      </c>
      <c r="BG599" t="s">
        <v>3</v>
      </c>
      <c r="BH599">
        <v>0</v>
      </c>
      <c r="BI599">
        <v>4</v>
      </c>
      <c r="BJ599" t="s">
        <v>441</v>
      </c>
      <c r="BM599">
        <v>0</v>
      </c>
      <c r="BN599">
        <v>0</v>
      </c>
      <c r="BO599" t="s">
        <v>3</v>
      </c>
      <c r="BP599">
        <v>0</v>
      </c>
      <c r="BQ599">
        <v>1</v>
      </c>
      <c r="BR599">
        <v>0</v>
      </c>
      <c r="BS599">
        <v>1</v>
      </c>
      <c r="BT599">
        <v>1</v>
      </c>
      <c r="BU599">
        <v>1</v>
      </c>
      <c r="BV599">
        <v>1</v>
      </c>
      <c r="BW599">
        <v>1</v>
      </c>
      <c r="BX599">
        <v>1</v>
      </c>
      <c r="BY599" t="s">
        <v>3</v>
      </c>
      <c r="BZ599">
        <v>70</v>
      </c>
      <c r="CA599">
        <v>10</v>
      </c>
      <c r="CB599" t="s">
        <v>3</v>
      </c>
      <c r="CE599">
        <v>0</v>
      </c>
      <c r="CF599">
        <v>0</v>
      </c>
      <c r="CG599">
        <v>0</v>
      </c>
      <c r="CM599">
        <v>0</v>
      </c>
      <c r="CN599" t="s">
        <v>3</v>
      </c>
      <c r="CO599">
        <v>0</v>
      </c>
      <c r="CP599">
        <f t="shared" si="569"/>
        <v>9343.7999999999993</v>
      </c>
      <c r="CQ599">
        <f t="shared" si="570"/>
        <v>62.98</v>
      </c>
      <c r="CR599">
        <f>(((((ET599*2))*BB599-((EU599*2))*BS599)+AE599*BS599)*AV599)</f>
        <v>1094.52</v>
      </c>
      <c r="CS599">
        <f t="shared" si="571"/>
        <v>694</v>
      </c>
      <c r="CT599">
        <f t="shared" si="572"/>
        <v>8186.3</v>
      </c>
      <c r="CU599">
        <f t="shared" si="573"/>
        <v>0</v>
      </c>
      <c r="CV599">
        <f t="shared" si="574"/>
        <v>12.32</v>
      </c>
      <c r="CW599">
        <f t="shared" si="575"/>
        <v>0</v>
      </c>
      <c r="CX599">
        <f t="shared" si="576"/>
        <v>0</v>
      </c>
      <c r="CY599">
        <f t="shared" si="577"/>
        <v>5730.41</v>
      </c>
      <c r="CZ599">
        <f t="shared" si="578"/>
        <v>818.63</v>
      </c>
      <c r="DC599" t="s">
        <v>3</v>
      </c>
      <c r="DD599" t="s">
        <v>28</v>
      </c>
      <c r="DE599" t="s">
        <v>28</v>
      </c>
      <c r="DF599" t="s">
        <v>28</v>
      </c>
      <c r="DG599" t="s">
        <v>28</v>
      </c>
      <c r="DH599" t="s">
        <v>3</v>
      </c>
      <c r="DI599" t="s">
        <v>28</v>
      </c>
      <c r="DJ599" t="s">
        <v>28</v>
      </c>
      <c r="DK599" t="s">
        <v>3</v>
      </c>
      <c r="DL599" t="s">
        <v>3</v>
      </c>
      <c r="DM599" t="s">
        <v>3</v>
      </c>
      <c r="DN599">
        <v>0</v>
      </c>
      <c r="DO599">
        <v>0</v>
      </c>
      <c r="DP599">
        <v>1</v>
      </c>
      <c r="DQ599">
        <v>1</v>
      </c>
      <c r="DU599">
        <v>1013</v>
      </c>
      <c r="DV599" t="s">
        <v>386</v>
      </c>
      <c r="DW599" t="s">
        <v>386</v>
      </c>
      <c r="DX599">
        <v>1</v>
      </c>
      <c r="DZ599" t="s">
        <v>3</v>
      </c>
      <c r="EA599" t="s">
        <v>3</v>
      </c>
      <c r="EB599" t="s">
        <v>3</v>
      </c>
      <c r="EC599" t="s">
        <v>3</v>
      </c>
      <c r="EE599">
        <v>1441815344</v>
      </c>
      <c r="EF599">
        <v>1</v>
      </c>
      <c r="EG599" t="s">
        <v>22</v>
      </c>
      <c r="EH599">
        <v>0</v>
      </c>
      <c r="EI599" t="s">
        <v>3</v>
      </c>
      <c r="EJ599">
        <v>4</v>
      </c>
      <c r="EK599">
        <v>0</v>
      </c>
      <c r="EL599" t="s">
        <v>23</v>
      </c>
      <c r="EM599" t="s">
        <v>24</v>
      </c>
      <c r="EO599" t="s">
        <v>3</v>
      </c>
      <c r="EQ599">
        <v>1024</v>
      </c>
      <c r="ER599">
        <v>4671.8999999999996</v>
      </c>
      <c r="ES599">
        <v>31.49</v>
      </c>
      <c r="ET599">
        <v>547.26</v>
      </c>
      <c r="EU599">
        <v>347</v>
      </c>
      <c r="EV599">
        <v>4093.15</v>
      </c>
      <c r="EW599">
        <v>6.16</v>
      </c>
      <c r="EX599">
        <v>0</v>
      </c>
      <c r="EY599">
        <v>0</v>
      </c>
      <c r="FQ599">
        <v>0</v>
      </c>
      <c r="FR599">
        <f t="shared" si="579"/>
        <v>0</v>
      </c>
      <c r="FS599">
        <v>0</v>
      </c>
      <c r="FX599">
        <v>70</v>
      </c>
      <c r="FY599">
        <v>10</v>
      </c>
      <c r="GA599" t="s">
        <v>3</v>
      </c>
      <c r="GD599">
        <v>0</v>
      </c>
      <c r="GF599">
        <v>-2095272939</v>
      </c>
      <c r="GG599">
        <v>2</v>
      </c>
      <c r="GH599">
        <v>1</v>
      </c>
      <c r="GI599">
        <v>-2</v>
      </c>
      <c r="GJ599">
        <v>0</v>
      </c>
      <c r="GK599">
        <f>ROUND(R599*(R12)/100,2)</f>
        <v>749.52</v>
      </c>
      <c r="GL599">
        <f t="shared" si="580"/>
        <v>0</v>
      </c>
      <c r="GM599">
        <f t="shared" si="581"/>
        <v>16642.36</v>
      </c>
      <c r="GN599">
        <f t="shared" si="582"/>
        <v>0</v>
      </c>
      <c r="GO599">
        <f t="shared" si="583"/>
        <v>0</v>
      </c>
      <c r="GP599">
        <f t="shared" si="584"/>
        <v>16642.36</v>
      </c>
      <c r="GR599">
        <v>0</v>
      </c>
      <c r="GS599">
        <v>3</v>
      </c>
      <c r="GT599">
        <v>0</v>
      </c>
      <c r="GU599" t="s">
        <v>3</v>
      </c>
      <c r="GV599">
        <f t="shared" si="585"/>
        <v>0</v>
      </c>
      <c r="GW599">
        <v>1</v>
      </c>
      <c r="GX599">
        <f t="shared" si="586"/>
        <v>0</v>
      </c>
      <c r="HA599">
        <v>0</v>
      </c>
      <c r="HB599">
        <v>0</v>
      </c>
      <c r="HC599">
        <f t="shared" si="587"/>
        <v>0</v>
      </c>
      <c r="HE599" t="s">
        <v>3</v>
      </c>
      <c r="HF599" t="s">
        <v>3</v>
      </c>
      <c r="HM599" t="s">
        <v>3</v>
      </c>
      <c r="HN599" t="s">
        <v>3</v>
      </c>
      <c r="HO599" t="s">
        <v>3</v>
      </c>
      <c r="HP599" t="s">
        <v>3</v>
      </c>
      <c r="HQ599" t="s">
        <v>3</v>
      </c>
      <c r="IK599">
        <v>0</v>
      </c>
    </row>
    <row r="600" spans="1:245" x14ac:dyDescent="0.2">
      <c r="A600">
        <v>17</v>
      </c>
      <c r="B600">
        <v>1</v>
      </c>
      <c r="D600">
        <f>ROW(EtalonRes!A494)</f>
        <v>494</v>
      </c>
      <c r="E600" t="s">
        <v>508</v>
      </c>
      <c r="F600" t="s">
        <v>509</v>
      </c>
      <c r="G600" t="s">
        <v>510</v>
      </c>
      <c r="H600" t="s">
        <v>511</v>
      </c>
      <c r="I600">
        <f>ROUND(ROUND(15+5,9),9)</f>
        <v>20</v>
      </c>
      <c r="J600">
        <v>0</v>
      </c>
      <c r="K600">
        <f>ROUND(ROUND(15+5,9),9)</f>
        <v>20</v>
      </c>
      <c r="O600">
        <f t="shared" si="555"/>
        <v>17865.2</v>
      </c>
      <c r="P600">
        <f t="shared" si="556"/>
        <v>44.4</v>
      </c>
      <c r="Q600">
        <f t="shared" si="557"/>
        <v>37</v>
      </c>
      <c r="R600">
        <f t="shared" si="558"/>
        <v>0.6</v>
      </c>
      <c r="S600">
        <f t="shared" si="559"/>
        <v>17783.8</v>
      </c>
      <c r="T600">
        <f t="shared" si="560"/>
        <v>0</v>
      </c>
      <c r="U600">
        <f t="shared" si="561"/>
        <v>26.8</v>
      </c>
      <c r="V600">
        <f t="shared" si="562"/>
        <v>0</v>
      </c>
      <c r="W600">
        <f t="shared" si="563"/>
        <v>0</v>
      </c>
      <c r="X600">
        <f t="shared" si="564"/>
        <v>12448.66</v>
      </c>
      <c r="Y600">
        <f t="shared" si="565"/>
        <v>1778.38</v>
      </c>
      <c r="AA600">
        <v>1472506909</v>
      </c>
      <c r="AB600">
        <f t="shared" si="566"/>
        <v>893.26</v>
      </c>
      <c r="AC600">
        <f>ROUND((ES600),6)</f>
        <v>2.2200000000000002</v>
      </c>
      <c r="AD600">
        <f>ROUND((((ET600)-(EU600))+AE600),6)</f>
        <v>1.85</v>
      </c>
      <c r="AE600">
        <f>ROUND((EU600),6)</f>
        <v>0.03</v>
      </c>
      <c r="AF600">
        <f>ROUND((EV600),6)</f>
        <v>889.19</v>
      </c>
      <c r="AG600">
        <f t="shared" si="567"/>
        <v>0</v>
      </c>
      <c r="AH600">
        <f>(EW600)</f>
        <v>1.34</v>
      </c>
      <c r="AI600">
        <f>(EX600)</f>
        <v>0</v>
      </c>
      <c r="AJ600">
        <f t="shared" si="568"/>
        <v>0</v>
      </c>
      <c r="AK600">
        <v>893.26</v>
      </c>
      <c r="AL600">
        <v>2.2200000000000002</v>
      </c>
      <c r="AM600">
        <v>1.85</v>
      </c>
      <c r="AN600">
        <v>0.03</v>
      </c>
      <c r="AO600">
        <v>889.19</v>
      </c>
      <c r="AP600">
        <v>0</v>
      </c>
      <c r="AQ600">
        <v>1.34</v>
      </c>
      <c r="AR600">
        <v>0</v>
      </c>
      <c r="AS600">
        <v>0</v>
      </c>
      <c r="AT600">
        <v>70</v>
      </c>
      <c r="AU600">
        <v>10</v>
      </c>
      <c r="AV600">
        <v>1</v>
      </c>
      <c r="AW600">
        <v>1</v>
      </c>
      <c r="AZ600">
        <v>1</v>
      </c>
      <c r="BA600">
        <v>1</v>
      </c>
      <c r="BB600">
        <v>1</v>
      </c>
      <c r="BC600">
        <v>1</v>
      </c>
      <c r="BD600" t="s">
        <v>3</v>
      </c>
      <c r="BE600" t="s">
        <v>3</v>
      </c>
      <c r="BF600" t="s">
        <v>3</v>
      </c>
      <c r="BG600" t="s">
        <v>3</v>
      </c>
      <c r="BH600">
        <v>0</v>
      </c>
      <c r="BI600">
        <v>4</v>
      </c>
      <c r="BJ600" t="s">
        <v>512</v>
      </c>
      <c r="BM600">
        <v>0</v>
      </c>
      <c r="BN600">
        <v>0</v>
      </c>
      <c r="BO600" t="s">
        <v>3</v>
      </c>
      <c r="BP600">
        <v>0</v>
      </c>
      <c r="BQ600">
        <v>1</v>
      </c>
      <c r="BR600">
        <v>0</v>
      </c>
      <c r="BS600">
        <v>1</v>
      </c>
      <c r="BT600">
        <v>1</v>
      </c>
      <c r="BU600">
        <v>1</v>
      </c>
      <c r="BV600">
        <v>1</v>
      </c>
      <c r="BW600">
        <v>1</v>
      </c>
      <c r="BX600">
        <v>1</v>
      </c>
      <c r="BY600" t="s">
        <v>3</v>
      </c>
      <c r="BZ600">
        <v>70</v>
      </c>
      <c r="CA600">
        <v>10</v>
      </c>
      <c r="CB600" t="s">
        <v>3</v>
      </c>
      <c r="CE600">
        <v>0</v>
      </c>
      <c r="CF600">
        <v>0</v>
      </c>
      <c r="CG600">
        <v>0</v>
      </c>
      <c r="CM600">
        <v>0</v>
      </c>
      <c r="CN600" t="s">
        <v>3</v>
      </c>
      <c r="CO600">
        <v>0</v>
      </c>
      <c r="CP600">
        <f t="shared" si="569"/>
        <v>17865.2</v>
      </c>
      <c r="CQ600">
        <f t="shared" si="570"/>
        <v>2.2200000000000002</v>
      </c>
      <c r="CR600">
        <f>((((ET600)*BB600-(EU600)*BS600)+AE600*BS600)*AV600)</f>
        <v>1.85</v>
      </c>
      <c r="CS600">
        <f t="shared" si="571"/>
        <v>0.03</v>
      </c>
      <c r="CT600">
        <f t="shared" si="572"/>
        <v>889.19</v>
      </c>
      <c r="CU600">
        <f t="shared" si="573"/>
        <v>0</v>
      </c>
      <c r="CV600">
        <f t="shared" si="574"/>
        <v>1.34</v>
      </c>
      <c r="CW600">
        <f t="shared" si="575"/>
        <v>0</v>
      </c>
      <c r="CX600">
        <f t="shared" si="576"/>
        <v>0</v>
      </c>
      <c r="CY600">
        <f t="shared" si="577"/>
        <v>12448.66</v>
      </c>
      <c r="CZ600">
        <f t="shared" si="578"/>
        <v>1778.38</v>
      </c>
      <c r="DC600" t="s">
        <v>3</v>
      </c>
      <c r="DD600" t="s">
        <v>3</v>
      </c>
      <c r="DE600" t="s">
        <v>3</v>
      </c>
      <c r="DF600" t="s">
        <v>3</v>
      </c>
      <c r="DG600" t="s">
        <v>3</v>
      </c>
      <c r="DH600" t="s">
        <v>3</v>
      </c>
      <c r="DI600" t="s">
        <v>3</v>
      </c>
      <c r="DJ600" t="s">
        <v>3</v>
      </c>
      <c r="DK600" t="s">
        <v>3</v>
      </c>
      <c r="DL600" t="s">
        <v>3</v>
      </c>
      <c r="DM600" t="s">
        <v>3</v>
      </c>
      <c r="DN600">
        <v>0</v>
      </c>
      <c r="DO600">
        <v>0</v>
      </c>
      <c r="DP600">
        <v>1</v>
      </c>
      <c r="DQ600">
        <v>1</v>
      </c>
      <c r="DU600">
        <v>1013</v>
      </c>
      <c r="DV600" t="s">
        <v>511</v>
      </c>
      <c r="DW600" t="s">
        <v>511</v>
      </c>
      <c r="DX600">
        <v>1</v>
      </c>
      <c r="DZ600" t="s">
        <v>3</v>
      </c>
      <c r="EA600" t="s">
        <v>3</v>
      </c>
      <c r="EB600" t="s">
        <v>3</v>
      </c>
      <c r="EC600" t="s">
        <v>3</v>
      </c>
      <c r="EE600">
        <v>1441815344</v>
      </c>
      <c r="EF600">
        <v>1</v>
      </c>
      <c r="EG600" t="s">
        <v>22</v>
      </c>
      <c r="EH600">
        <v>0</v>
      </c>
      <c r="EI600" t="s">
        <v>3</v>
      </c>
      <c r="EJ600">
        <v>4</v>
      </c>
      <c r="EK600">
        <v>0</v>
      </c>
      <c r="EL600" t="s">
        <v>23</v>
      </c>
      <c r="EM600" t="s">
        <v>24</v>
      </c>
      <c r="EO600" t="s">
        <v>3</v>
      </c>
      <c r="EQ600">
        <v>0</v>
      </c>
      <c r="ER600">
        <v>893.26</v>
      </c>
      <c r="ES600">
        <v>2.2200000000000002</v>
      </c>
      <c r="ET600">
        <v>1.85</v>
      </c>
      <c r="EU600">
        <v>0.03</v>
      </c>
      <c r="EV600">
        <v>889.19</v>
      </c>
      <c r="EW600">
        <v>1.34</v>
      </c>
      <c r="EX600">
        <v>0</v>
      </c>
      <c r="EY600">
        <v>0</v>
      </c>
      <c r="FQ600">
        <v>0</v>
      </c>
      <c r="FR600">
        <f t="shared" si="579"/>
        <v>0</v>
      </c>
      <c r="FS600">
        <v>0</v>
      </c>
      <c r="FX600">
        <v>70</v>
      </c>
      <c r="FY600">
        <v>10</v>
      </c>
      <c r="GA600" t="s">
        <v>3</v>
      </c>
      <c r="GD600">
        <v>0</v>
      </c>
      <c r="GF600">
        <v>211604864</v>
      </c>
      <c r="GG600">
        <v>2</v>
      </c>
      <c r="GH600">
        <v>1</v>
      </c>
      <c r="GI600">
        <v>-2</v>
      </c>
      <c r="GJ600">
        <v>0</v>
      </c>
      <c r="GK600">
        <f>ROUND(R600*(R12)/100,2)</f>
        <v>0.65</v>
      </c>
      <c r="GL600">
        <f t="shared" si="580"/>
        <v>0</v>
      </c>
      <c r="GM600">
        <f t="shared" si="581"/>
        <v>32092.89</v>
      </c>
      <c r="GN600">
        <f t="shared" si="582"/>
        <v>0</v>
      </c>
      <c r="GO600">
        <f t="shared" si="583"/>
        <v>0</v>
      </c>
      <c r="GP600">
        <f t="shared" si="584"/>
        <v>32092.89</v>
      </c>
      <c r="GR600">
        <v>0</v>
      </c>
      <c r="GS600">
        <v>3</v>
      </c>
      <c r="GT600">
        <v>0</v>
      </c>
      <c r="GU600" t="s">
        <v>3</v>
      </c>
      <c r="GV600">
        <f t="shared" si="585"/>
        <v>0</v>
      </c>
      <c r="GW600">
        <v>1</v>
      </c>
      <c r="GX600">
        <f t="shared" si="586"/>
        <v>0</v>
      </c>
      <c r="HA600">
        <v>0</v>
      </c>
      <c r="HB600">
        <v>0</v>
      </c>
      <c r="HC600">
        <f t="shared" si="587"/>
        <v>0</v>
      </c>
      <c r="HE600" t="s">
        <v>3</v>
      </c>
      <c r="HF600" t="s">
        <v>3</v>
      </c>
      <c r="HM600" t="s">
        <v>3</v>
      </c>
      <c r="HN600" t="s">
        <v>3</v>
      </c>
      <c r="HO600" t="s">
        <v>3</v>
      </c>
      <c r="HP600" t="s">
        <v>3</v>
      </c>
      <c r="HQ600" t="s">
        <v>3</v>
      </c>
      <c r="IK600">
        <v>0</v>
      </c>
    </row>
    <row r="601" spans="1:245" x14ac:dyDescent="0.2">
      <c r="A601">
        <v>17</v>
      </c>
      <c r="B601">
        <v>1</v>
      </c>
      <c r="D601">
        <f>ROW(EtalonRes!A496)</f>
        <v>496</v>
      </c>
      <c r="E601" t="s">
        <v>3</v>
      </c>
      <c r="F601" t="s">
        <v>513</v>
      </c>
      <c r="G601" t="s">
        <v>514</v>
      </c>
      <c r="H601" t="s">
        <v>511</v>
      </c>
      <c r="I601">
        <f>ROUND(ROUND(15+5,9),9)</f>
        <v>20</v>
      </c>
      <c r="J601">
        <v>0</v>
      </c>
      <c r="K601">
        <f>ROUND(ROUND(15+5,9),9)</f>
        <v>20</v>
      </c>
      <c r="O601">
        <f t="shared" si="555"/>
        <v>29481</v>
      </c>
      <c r="P601">
        <f t="shared" si="556"/>
        <v>18.600000000000001</v>
      </c>
      <c r="Q601">
        <f t="shared" si="557"/>
        <v>0</v>
      </c>
      <c r="R601">
        <f t="shared" si="558"/>
        <v>0</v>
      </c>
      <c r="S601">
        <f t="shared" si="559"/>
        <v>29462.400000000001</v>
      </c>
      <c r="T601">
        <f t="shared" si="560"/>
        <v>0</v>
      </c>
      <c r="U601">
        <f t="shared" si="561"/>
        <v>44.399999999999991</v>
      </c>
      <c r="V601">
        <f t="shared" si="562"/>
        <v>0</v>
      </c>
      <c r="W601">
        <f t="shared" si="563"/>
        <v>0</v>
      </c>
      <c r="X601">
        <f t="shared" si="564"/>
        <v>20623.68</v>
      </c>
      <c r="Y601">
        <f t="shared" si="565"/>
        <v>2946.24</v>
      </c>
      <c r="AA601">
        <v>-1</v>
      </c>
      <c r="AB601">
        <f t="shared" si="566"/>
        <v>1474.05</v>
      </c>
      <c r="AC601">
        <f>ROUND(((ES601*3)),6)</f>
        <v>0.93</v>
      </c>
      <c r="AD601">
        <f>ROUND(((((ET601*3))-((EU601*3)))+AE601),6)</f>
        <v>0</v>
      </c>
      <c r="AE601">
        <f>ROUND(((EU601*3)),6)</f>
        <v>0</v>
      </c>
      <c r="AF601">
        <f>ROUND(((EV601*3)),6)</f>
        <v>1473.12</v>
      </c>
      <c r="AG601">
        <f t="shared" si="567"/>
        <v>0</v>
      </c>
      <c r="AH601">
        <f>((EW601*3))</f>
        <v>2.2199999999999998</v>
      </c>
      <c r="AI601">
        <f>((EX601*3))</f>
        <v>0</v>
      </c>
      <c r="AJ601">
        <f t="shared" si="568"/>
        <v>0</v>
      </c>
      <c r="AK601">
        <v>491.35</v>
      </c>
      <c r="AL601">
        <v>0.31</v>
      </c>
      <c r="AM601">
        <v>0</v>
      </c>
      <c r="AN601">
        <v>0</v>
      </c>
      <c r="AO601">
        <v>491.04</v>
      </c>
      <c r="AP601">
        <v>0</v>
      </c>
      <c r="AQ601">
        <v>0.74</v>
      </c>
      <c r="AR601">
        <v>0</v>
      </c>
      <c r="AS601">
        <v>0</v>
      </c>
      <c r="AT601">
        <v>70</v>
      </c>
      <c r="AU601">
        <v>10</v>
      </c>
      <c r="AV601">
        <v>1</v>
      </c>
      <c r="AW601">
        <v>1</v>
      </c>
      <c r="AZ601">
        <v>1</v>
      </c>
      <c r="BA601">
        <v>1</v>
      </c>
      <c r="BB601">
        <v>1</v>
      </c>
      <c r="BC601">
        <v>1</v>
      </c>
      <c r="BD601" t="s">
        <v>3</v>
      </c>
      <c r="BE601" t="s">
        <v>3</v>
      </c>
      <c r="BF601" t="s">
        <v>3</v>
      </c>
      <c r="BG601" t="s">
        <v>3</v>
      </c>
      <c r="BH601">
        <v>0</v>
      </c>
      <c r="BI601">
        <v>4</v>
      </c>
      <c r="BJ601" t="s">
        <v>515</v>
      </c>
      <c r="BM601">
        <v>0</v>
      </c>
      <c r="BN601">
        <v>0</v>
      </c>
      <c r="BO601" t="s">
        <v>3</v>
      </c>
      <c r="BP601">
        <v>0</v>
      </c>
      <c r="BQ601">
        <v>1</v>
      </c>
      <c r="BR601">
        <v>0</v>
      </c>
      <c r="BS601">
        <v>1</v>
      </c>
      <c r="BT601">
        <v>1</v>
      </c>
      <c r="BU601">
        <v>1</v>
      </c>
      <c r="BV601">
        <v>1</v>
      </c>
      <c r="BW601">
        <v>1</v>
      </c>
      <c r="BX601">
        <v>1</v>
      </c>
      <c r="BY601" t="s">
        <v>3</v>
      </c>
      <c r="BZ601">
        <v>70</v>
      </c>
      <c r="CA601">
        <v>10</v>
      </c>
      <c r="CB601" t="s">
        <v>3</v>
      </c>
      <c r="CE601">
        <v>0</v>
      </c>
      <c r="CF601">
        <v>0</v>
      </c>
      <c r="CG601">
        <v>0</v>
      </c>
      <c r="CM601">
        <v>0</v>
      </c>
      <c r="CN601" t="s">
        <v>3</v>
      </c>
      <c r="CO601">
        <v>0</v>
      </c>
      <c r="CP601">
        <f t="shared" si="569"/>
        <v>29481</v>
      </c>
      <c r="CQ601">
        <f t="shared" si="570"/>
        <v>0.93</v>
      </c>
      <c r="CR601">
        <f>(((((ET601*3))*BB601-((EU601*3))*BS601)+AE601*BS601)*AV601)</f>
        <v>0</v>
      </c>
      <c r="CS601">
        <f t="shared" si="571"/>
        <v>0</v>
      </c>
      <c r="CT601">
        <f t="shared" si="572"/>
        <v>1473.12</v>
      </c>
      <c r="CU601">
        <f t="shared" si="573"/>
        <v>0</v>
      </c>
      <c r="CV601">
        <f t="shared" si="574"/>
        <v>2.2199999999999998</v>
      </c>
      <c r="CW601">
        <f t="shared" si="575"/>
        <v>0</v>
      </c>
      <c r="CX601">
        <f t="shared" si="576"/>
        <v>0</v>
      </c>
      <c r="CY601">
        <f t="shared" si="577"/>
        <v>20623.68</v>
      </c>
      <c r="CZ601">
        <f t="shared" si="578"/>
        <v>2946.24</v>
      </c>
      <c r="DC601" t="s">
        <v>3</v>
      </c>
      <c r="DD601" t="s">
        <v>516</v>
      </c>
      <c r="DE601" t="s">
        <v>516</v>
      </c>
      <c r="DF601" t="s">
        <v>516</v>
      </c>
      <c r="DG601" t="s">
        <v>516</v>
      </c>
      <c r="DH601" t="s">
        <v>3</v>
      </c>
      <c r="DI601" t="s">
        <v>516</v>
      </c>
      <c r="DJ601" t="s">
        <v>516</v>
      </c>
      <c r="DK601" t="s">
        <v>3</v>
      </c>
      <c r="DL601" t="s">
        <v>3</v>
      </c>
      <c r="DM601" t="s">
        <v>3</v>
      </c>
      <c r="DN601">
        <v>0</v>
      </c>
      <c r="DO601">
        <v>0</v>
      </c>
      <c r="DP601">
        <v>1</v>
      </c>
      <c r="DQ601">
        <v>1</v>
      </c>
      <c r="DU601">
        <v>1013</v>
      </c>
      <c r="DV601" t="s">
        <v>511</v>
      </c>
      <c r="DW601" t="s">
        <v>511</v>
      </c>
      <c r="DX601">
        <v>1</v>
      </c>
      <c r="DZ601" t="s">
        <v>3</v>
      </c>
      <c r="EA601" t="s">
        <v>3</v>
      </c>
      <c r="EB601" t="s">
        <v>3</v>
      </c>
      <c r="EC601" t="s">
        <v>3</v>
      </c>
      <c r="EE601">
        <v>1441815344</v>
      </c>
      <c r="EF601">
        <v>1</v>
      </c>
      <c r="EG601" t="s">
        <v>22</v>
      </c>
      <c r="EH601">
        <v>0</v>
      </c>
      <c r="EI601" t="s">
        <v>3</v>
      </c>
      <c r="EJ601">
        <v>4</v>
      </c>
      <c r="EK601">
        <v>0</v>
      </c>
      <c r="EL601" t="s">
        <v>23</v>
      </c>
      <c r="EM601" t="s">
        <v>24</v>
      </c>
      <c r="EO601" t="s">
        <v>3</v>
      </c>
      <c r="EQ601">
        <v>1024</v>
      </c>
      <c r="ER601">
        <v>491.35</v>
      </c>
      <c r="ES601">
        <v>0.31</v>
      </c>
      <c r="ET601">
        <v>0</v>
      </c>
      <c r="EU601">
        <v>0</v>
      </c>
      <c r="EV601">
        <v>491.04</v>
      </c>
      <c r="EW601">
        <v>0.74</v>
      </c>
      <c r="EX601">
        <v>0</v>
      </c>
      <c r="EY601">
        <v>0</v>
      </c>
      <c r="FQ601">
        <v>0</v>
      </c>
      <c r="FR601">
        <f t="shared" si="579"/>
        <v>0</v>
      </c>
      <c r="FS601">
        <v>0</v>
      </c>
      <c r="FX601">
        <v>70</v>
      </c>
      <c r="FY601">
        <v>10</v>
      </c>
      <c r="GA601" t="s">
        <v>3</v>
      </c>
      <c r="GD601">
        <v>0</v>
      </c>
      <c r="GF601">
        <v>1972185064</v>
      </c>
      <c r="GG601">
        <v>2</v>
      </c>
      <c r="GH601">
        <v>1</v>
      </c>
      <c r="GI601">
        <v>-2</v>
      </c>
      <c r="GJ601">
        <v>0</v>
      </c>
      <c r="GK601">
        <f>ROUND(R601*(R12)/100,2)</f>
        <v>0</v>
      </c>
      <c r="GL601">
        <f t="shared" si="580"/>
        <v>0</v>
      </c>
      <c r="GM601">
        <f t="shared" si="581"/>
        <v>53050.92</v>
      </c>
      <c r="GN601">
        <f t="shared" si="582"/>
        <v>0</v>
      </c>
      <c r="GO601">
        <f t="shared" si="583"/>
        <v>0</v>
      </c>
      <c r="GP601">
        <f t="shared" si="584"/>
        <v>53050.92</v>
      </c>
      <c r="GR601">
        <v>0</v>
      </c>
      <c r="GS601">
        <v>3</v>
      </c>
      <c r="GT601">
        <v>0</v>
      </c>
      <c r="GU601" t="s">
        <v>3</v>
      </c>
      <c r="GV601">
        <f t="shared" si="585"/>
        <v>0</v>
      </c>
      <c r="GW601">
        <v>1</v>
      </c>
      <c r="GX601">
        <f t="shared" si="586"/>
        <v>0</v>
      </c>
      <c r="HA601">
        <v>0</v>
      </c>
      <c r="HB601">
        <v>0</v>
      </c>
      <c r="HC601">
        <f t="shared" si="587"/>
        <v>0</v>
      </c>
      <c r="HE601" t="s">
        <v>3</v>
      </c>
      <c r="HF601" t="s">
        <v>3</v>
      </c>
      <c r="HM601" t="s">
        <v>3</v>
      </c>
      <c r="HN601" t="s">
        <v>3</v>
      </c>
      <c r="HO601" t="s">
        <v>3</v>
      </c>
      <c r="HP601" t="s">
        <v>3</v>
      </c>
      <c r="HQ601" t="s">
        <v>3</v>
      </c>
      <c r="IK601">
        <v>0</v>
      </c>
    </row>
    <row r="602" spans="1:245" x14ac:dyDescent="0.2">
      <c r="A602">
        <v>17</v>
      </c>
      <c r="B602">
        <v>1</v>
      </c>
      <c r="D602">
        <f>ROW(EtalonRes!A498)</f>
        <v>498</v>
      </c>
      <c r="E602" t="s">
        <v>517</v>
      </c>
      <c r="F602" t="s">
        <v>30</v>
      </c>
      <c r="G602" t="s">
        <v>518</v>
      </c>
      <c r="H602" t="s">
        <v>20</v>
      </c>
      <c r="I602">
        <f>ROUND(20,9)</f>
        <v>20</v>
      </c>
      <c r="J602">
        <v>0</v>
      </c>
      <c r="K602">
        <f>ROUND(20,9)</f>
        <v>20</v>
      </c>
      <c r="O602">
        <f t="shared" si="555"/>
        <v>11447.2</v>
      </c>
      <c r="P602">
        <f t="shared" si="556"/>
        <v>0</v>
      </c>
      <c r="Q602">
        <f t="shared" si="557"/>
        <v>3127.2</v>
      </c>
      <c r="R602">
        <f t="shared" si="558"/>
        <v>1982.8</v>
      </c>
      <c r="S602">
        <f t="shared" si="559"/>
        <v>8320</v>
      </c>
      <c r="T602">
        <f t="shared" si="560"/>
        <v>0</v>
      </c>
      <c r="U602">
        <f t="shared" si="561"/>
        <v>14.8</v>
      </c>
      <c r="V602">
        <f t="shared" si="562"/>
        <v>0</v>
      </c>
      <c r="W602">
        <f t="shared" si="563"/>
        <v>0</v>
      </c>
      <c r="X602">
        <f t="shared" si="564"/>
        <v>5824</v>
      </c>
      <c r="Y602">
        <f t="shared" si="565"/>
        <v>832</v>
      </c>
      <c r="AA602">
        <v>1472506909</v>
      </c>
      <c r="AB602">
        <f t="shared" si="566"/>
        <v>572.36</v>
      </c>
      <c r="AC602">
        <f>ROUND(((ES602*2)),6)</f>
        <v>0</v>
      </c>
      <c r="AD602">
        <f>ROUND(((((ET602*2))-((EU602*2)))+AE602),6)</f>
        <v>156.36000000000001</v>
      </c>
      <c r="AE602">
        <f>ROUND(((EU602*2)),6)</f>
        <v>99.14</v>
      </c>
      <c r="AF602">
        <f>ROUND(((EV602*2)),6)</f>
        <v>416</v>
      </c>
      <c r="AG602">
        <f t="shared" si="567"/>
        <v>0</v>
      </c>
      <c r="AH602">
        <f>((EW602*2))</f>
        <v>0.74</v>
      </c>
      <c r="AI602">
        <f>((EX602*2))</f>
        <v>0</v>
      </c>
      <c r="AJ602">
        <f t="shared" si="568"/>
        <v>0</v>
      </c>
      <c r="AK602">
        <v>286.18</v>
      </c>
      <c r="AL602">
        <v>0</v>
      </c>
      <c r="AM602">
        <v>78.180000000000007</v>
      </c>
      <c r="AN602">
        <v>49.57</v>
      </c>
      <c r="AO602">
        <v>208</v>
      </c>
      <c r="AP602">
        <v>0</v>
      </c>
      <c r="AQ602">
        <v>0.37</v>
      </c>
      <c r="AR602">
        <v>0</v>
      </c>
      <c r="AS602">
        <v>0</v>
      </c>
      <c r="AT602">
        <v>70</v>
      </c>
      <c r="AU602">
        <v>10</v>
      </c>
      <c r="AV602">
        <v>1</v>
      </c>
      <c r="AW602">
        <v>1</v>
      </c>
      <c r="AZ602">
        <v>1</v>
      </c>
      <c r="BA602">
        <v>1</v>
      </c>
      <c r="BB602">
        <v>1</v>
      </c>
      <c r="BC602">
        <v>1</v>
      </c>
      <c r="BD602" t="s">
        <v>3</v>
      </c>
      <c r="BE602" t="s">
        <v>3</v>
      </c>
      <c r="BF602" t="s">
        <v>3</v>
      </c>
      <c r="BG602" t="s">
        <v>3</v>
      </c>
      <c r="BH602">
        <v>0</v>
      </c>
      <c r="BI602">
        <v>4</v>
      </c>
      <c r="BJ602" t="s">
        <v>32</v>
      </c>
      <c r="BM602">
        <v>0</v>
      </c>
      <c r="BN602">
        <v>0</v>
      </c>
      <c r="BO602" t="s">
        <v>3</v>
      </c>
      <c r="BP602">
        <v>0</v>
      </c>
      <c r="BQ602">
        <v>1</v>
      </c>
      <c r="BR602">
        <v>0</v>
      </c>
      <c r="BS602">
        <v>1</v>
      </c>
      <c r="BT602">
        <v>1</v>
      </c>
      <c r="BU602">
        <v>1</v>
      </c>
      <c r="BV602">
        <v>1</v>
      </c>
      <c r="BW602">
        <v>1</v>
      </c>
      <c r="BX602">
        <v>1</v>
      </c>
      <c r="BY602" t="s">
        <v>3</v>
      </c>
      <c r="BZ602">
        <v>70</v>
      </c>
      <c r="CA602">
        <v>10</v>
      </c>
      <c r="CB602" t="s">
        <v>3</v>
      </c>
      <c r="CE602">
        <v>0</v>
      </c>
      <c r="CF602">
        <v>0</v>
      </c>
      <c r="CG602">
        <v>0</v>
      </c>
      <c r="CM602">
        <v>0</v>
      </c>
      <c r="CN602" t="s">
        <v>3</v>
      </c>
      <c r="CO602">
        <v>0</v>
      </c>
      <c r="CP602">
        <f t="shared" si="569"/>
        <v>11447.2</v>
      </c>
      <c r="CQ602">
        <f t="shared" si="570"/>
        <v>0</v>
      </c>
      <c r="CR602">
        <f>(((((ET602*2))*BB602-((EU602*2))*BS602)+AE602*BS602)*AV602)</f>
        <v>156.36000000000001</v>
      </c>
      <c r="CS602">
        <f t="shared" si="571"/>
        <v>99.14</v>
      </c>
      <c r="CT602">
        <f t="shared" si="572"/>
        <v>416</v>
      </c>
      <c r="CU602">
        <f t="shared" si="573"/>
        <v>0</v>
      </c>
      <c r="CV602">
        <f t="shared" si="574"/>
        <v>0.74</v>
      </c>
      <c r="CW602">
        <f t="shared" si="575"/>
        <v>0</v>
      </c>
      <c r="CX602">
        <f t="shared" si="576"/>
        <v>0</v>
      </c>
      <c r="CY602">
        <f t="shared" si="577"/>
        <v>5824</v>
      </c>
      <c r="CZ602">
        <f t="shared" si="578"/>
        <v>832</v>
      </c>
      <c r="DC602" t="s">
        <v>3</v>
      </c>
      <c r="DD602" t="s">
        <v>28</v>
      </c>
      <c r="DE602" t="s">
        <v>28</v>
      </c>
      <c r="DF602" t="s">
        <v>28</v>
      </c>
      <c r="DG602" t="s">
        <v>28</v>
      </c>
      <c r="DH602" t="s">
        <v>3</v>
      </c>
      <c r="DI602" t="s">
        <v>28</v>
      </c>
      <c r="DJ602" t="s">
        <v>28</v>
      </c>
      <c r="DK602" t="s">
        <v>3</v>
      </c>
      <c r="DL602" t="s">
        <v>3</v>
      </c>
      <c r="DM602" t="s">
        <v>3</v>
      </c>
      <c r="DN602">
        <v>0</v>
      </c>
      <c r="DO602">
        <v>0</v>
      </c>
      <c r="DP602">
        <v>1</v>
      </c>
      <c r="DQ602">
        <v>1</v>
      </c>
      <c r="DU602">
        <v>16987630</v>
      </c>
      <c r="DV602" t="s">
        <v>20</v>
      </c>
      <c r="DW602" t="s">
        <v>20</v>
      </c>
      <c r="DX602">
        <v>1</v>
      </c>
      <c r="DZ602" t="s">
        <v>3</v>
      </c>
      <c r="EA602" t="s">
        <v>3</v>
      </c>
      <c r="EB602" t="s">
        <v>3</v>
      </c>
      <c r="EC602" t="s">
        <v>3</v>
      </c>
      <c r="EE602">
        <v>1441815344</v>
      </c>
      <c r="EF602">
        <v>1</v>
      </c>
      <c r="EG602" t="s">
        <v>22</v>
      </c>
      <c r="EH602">
        <v>0</v>
      </c>
      <c r="EI602" t="s">
        <v>3</v>
      </c>
      <c r="EJ602">
        <v>4</v>
      </c>
      <c r="EK602">
        <v>0</v>
      </c>
      <c r="EL602" t="s">
        <v>23</v>
      </c>
      <c r="EM602" t="s">
        <v>24</v>
      </c>
      <c r="EO602" t="s">
        <v>3</v>
      </c>
      <c r="EQ602">
        <v>0</v>
      </c>
      <c r="ER602">
        <v>286.18</v>
      </c>
      <c r="ES602">
        <v>0</v>
      </c>
      <c r="ET602">
        <v>78.180000000000007</v>
      </c>
      <c r="EU602">
        <v>49.57</v>
      </c>
      <c r="EV602">
        <v>208</v>
      </c>
      <c r="EW602">
        <v>0.37</v>
      </c>
      <c r="EX602">
        <v>0</v>
      </c>
      <c r="EY602">
        <v>0</v>
      </c>
      <c r="FQ602">
        <v>0</v>
      </c>
      <c r="FR602">
        <f t="shared" si="579"/>
        <v>0</v>
      </c>
      <c r="FS602">
        <v>0</v>
      </c>
      <c r="FX602">
        <v>70</v>
      </c>
      <c r="FY602">
        <v>10</v>
      </c>
      <c r="GA602" t="s">
        <v>3</v>
      </c>
      <c r="GD602">
        <v>0</v>
      </c>
      <c r="GF602">
        <v>-1648492859</v>
      </c>
      <c r="GG602">
        <v>2</v>
      </c>
      <c r="GH602">
        <v>1</v>
      </c>
      <c r="GI602">
        <v>-2</v>
      </c>
      <c r="GJ602">
        <v>0</v>
      </c>
      <c r="GK602">
        <f>ROUND(R602*(R12)/100,2)</f>
        <v>2141.42</v>
      </c>
      <c r="GL602">
        <f t="shared" si="580"/>
        <v>0</v>
      </c>
      <c r="GM602">
        <f t="shared" si="581"/>
        <v>20244.62</v>
      </c>
      <c r="GN602">
        <f t="shared" si="582"/>
        <v>0</v>
      </c>
      <c r="GO602">
        <f t="shared" si="583"/>
        <v>0</v>
      </c>
      <c r="GP602">
        <f t="shared" si="584"/>
        <v>20244.62</v>
      </c>
      <c r="GR602">
        <v>0</v>
      </c>
      <c r="GS602">
        <v>3</v>
      </c>
      <c r="GT602">
        <v>0</v>
      </c>
      <c r="GU602" t="s">
        <v>3</v>
      </c>
      <c r="GV602">
        <f t="shared" si="585"/>
        <v>0</v>
      </c>
      <c r="GW602">
        <v>1</v>
      </c>
      <c r="GX602">
        <f t="shared" si="586"/>
        <v>0</v>
      </c>
      <c r="HA602">
        <v>0</v>
      </c>
      <c r="HB602">
        <v>0</v>
      </c>
      <c r="HC602">
        <f t="shared" si="587"/>
        <v>0</v>
      </c>
      <c r="HE602" t="s">
        <v>3</v>
      </c>
      <c r="HF602" t="s">
        <v>3</v>
      </c>
      <c r="HM602" t="s">
        <v>3</v>
      </c>
      <c r="HN602" t="s">
        <v>3</v>
      </c>
      <c r="HO602" t="s">
        <v>3</v>
      </c>
      <c r="HP602" t="s">
        <v>3</v>
      </c>
      <c r="HQ602" t="s">
        <v>3</v>
      </c>
      <c r="IK602">
        <v>0</v>
      </c>
    </row>
    <row r="603" spans="1:245" x14ac:dyDescent="0.2">
      <c r="A603">
        <v>17</v>
      </c>
      <c r="B603">
        <v>1</v>
      </c>
      <c r="D603">
        <f>ROW(EtalonRes!A508)</f>
        <v>508</v>
      </c>
      <c r="E603" t="s">
        <v>3</v>
      </c>
      <c r="F603" t="s">
        <v>519</v>
      </c>
      <c r="G603" t="s">
        <v>520</v>
      </c>
      <c r="H603" t="s">
        <v>386</v>
      </c>
      <c r="I603">
        <v>1</v>
      </c>
      <c r="J603">
        <v>0</v>
      </c>
      <c r="K603">
        <v>1</v>
      </c>
      <c r="O603">
        <f t="shared" si="555"/>
        <v>192106.79</v>
      </c>
      <c r="P603">
        <f t="shared" si="556"/>
        <v>7409.99</v>
      </c>
      <c r="Q603">
        <f t="shared" si="557"/>
        <v>0</v>
      </c>
      <c r="R603">
        <f t="shared" si="558"/>
        <v>0</v>
      </c>
      <c r="S603">
        <f t="shared" si="559"/>
        <v>184696.8</v>
      </c>
      <c r="T603">
        <f t="shared" si="560"/>
        <v>0</v>
      </c>
      <c r="U603">
        <f t="shared" si="561"/>
        <v>240</v>
      </c>
      <c r="V603">
        <f t="shared" si="562"/>
        <v>0</v>
      </c>
      <c r="W603">
        <f t="shared" si="563"/>
        <v>0</v>
      </c>
      <c r="X603">
        <f t="shared" si="564"/>
        <v>129287.76</v>
      </c>
      <c r="Y603">
        <f t="shared" si="565"/>
        <v>18469.68</v>
      </c>
      <c r="AA603">
        <v>-1</v>
      </c>
      <c r="AB603">
        <f t="shared" si="566"/>
        <v>192106.79333300001</v>
      </c>
      <c r="AC603">
        <f>ROUND((((ES603/12)*8)),6)</f>
        <v>7409.9933330000003</v>
      </c>
      <c r="AD603">
        <f>ROUND((((((ET603/12)*8))-(((EU603/12)*8)))+AE603),6)</f>
        <v>0</v>
      </c>
      <c r="AE603">
        <f>ROUND((((EU603/12)*8)),6)</f>
        <v>0</v>
      </c>
      <c r="AF603">
        <f>ROUND((((EV603/12)*8)),6)</f>
        <v>184696.8</v>
      </c>
      <c r="AG603">
        <f t="shared" si="567"/>
        <v>0</v>
      </c>
      <c r="AH603">
        <f>(((EW603/12)*8))</f>
        <v>240</v>
      </c>
      <c r="AI603">
        <f>(((EX603/12)*8))</f>
        <v>0</v>
      </c>
      <c r="AJ603">
        <f t="shared" si="568"/>
        <v>0</v>
      </c>
      <c r="AK603">
        <v>288160.19</v>
      </c>
      <c r="AL603">
        <v>11114.99</v>
      </c>
      <c r="AM603">
        <v>0</v>
      </c>
      <c r="AN603">
        <v>0</v>
      </c>
      <c r="AO603">
        <v>277045.2</v>
      </c>
      <c r="AP603">
        <v>0</v>
      </c>
      <c r="AQ603">
        <v>360</v>
      </c>
      <c r="AR603">
        <v>0</v>
      </c>
      <c r="AS603">
        <v>0</v>
      </c>
      <c r="AT603">
        <v>70</v>
      </c>
      <c r="AU603">
        <v>10</v>
      </c>
      <c r="AV603">
        <v>1</v>
      </c>
      <c r="AW603">
        <v>1</v>
      </c>
      <c r="AZ603">
        <v>1</v>
      </c>
      <c r="BA603">
        <v>1</v>
      </c>
      <c r="BB603">
        <v>1</v>
      </c>
      <c r="BC603">
        <v>1</v>
      </c>
      <c r="BD603" t="s">
        <v>3</v>
      </c>
      <c r="BE603" t="s">
        <v>3</v>
      </c>
      <c r="BF603" t="s">
        <v>3</v>
      </c>
      <c r="BG603" t="s">
        <v>3</v>
      </c>
      <c r="BH603">
        <v>0</v>
      </c>
      <c r="BI603">
        <v>4</v>
      </c>
      <c r="BJ603" t="s">
        <v>521</v>
      </c>
      <c r="BM603">
        <v>0</v>
      </c>
      <c r="BN603">
        <v>0</v>
      </c>
      <c r="BO603" t="s">
        <v>3</v>
      </c>
      <c r="BP603">
        <v>0</v>
      </c>
      <c r="BQ603">
        <v>1</v>
      </c>
      <c r="BR603">
        <v>0</v>
      </c>
      <c r="BS603">
        <v>1</v>
      </c>
      <c r="BT603">
        <v>1</v>
      </c>
      <c r="BU603">
        <v>1</v>
      </c>
      <c r="BV603">
        <v>1</v>
      </c>
      <c r="BW603">
        <v>1</v>
      </c>
      <c r="BX603">
        <v>1</v>
      </c>
      <c r="BY603" t="s">
        <v>3</v>
      </c>
      <c r="BZ603">
        <v>70</v>
      </c>
      <c r="CA603">
        <v>10</v>
      </c>
      <c r="CB603" t="s">
        <v>3</v>
      </c>
      <c r="CE603">
        <v>0</v>
      </c>
      <c r="CF603">
        <v>0</v>
      </c>
      <c r="CG603">
        <v>0</v>
      </c>
      <c r="CM603">
        <v>0</v>
      </c>
      <c r="CN603" t="s">
        <v>3</v>
      </c>
      <c r="CO603">
        <v>0</v>
      </c>
      <c r="CP603">
        <f t="shared" si="569"/>
        <v>192106.78999999998</v>
      </c>
      <c r="CQ603">
        <f t="shared" si="570"/>
        <v>7409.9933330000003</v>
      </c>
      <c r="CR603">
        <f>((((((ET603/12)*8))*BB603-(((EU603/12)*8))*BS603)+AE603*BS603)*AV603)</f>
        <v>0</v>
      </c>
      <c r="CS603">
        <f t="shared" si="571"/>
        <v>0</v>
      </c>
      <c r="CT603">
        <f t="shared" si="572"/>
        <v>184696.8</v>
      </c>
      <c r="CU603">
        <f t="shared" si="573"/>
        <v>0</v>
      </c>
      <c r="CV603">
        <f t="shared" si="574"/>
        <v>240</v>
      </c>
      <c r="CW603">
        <f t="shared" si="575"/>
        <v>0</v>
      </c>
      <c r="CX603">
        <f t="shared" si="576"/>
        <v>0</v>
      </c>
      <c r="CY603">
        <f t="shared" si="577"/>
        <v>129287.76</v>
      </c>
      <c r="CZ603">
        <f t="shared" si="578"/>
        <v>18469.68</v>
      </c>
      <c r="DC603" t="s">
        <v>3</v>
      </c>
      <c r="DD603" t="s">
        <v>388</v>
      </c>
      <c r="DE603" t="s">
        <v>388</v>
      </c>
      <c r="DF603" t="s">
        <v>388</v>
      </c>
      <c r="DG603" t="s">
        <v>388</v>
      </c>
      <c r="DH603" t="s">
        <v>3</v>
      </c>
      <c r="DI603" t="s">
        <v>388</v>
      </c>
      <c r="DJ603" t="s">
        <v>388</v>
      </c>
      <c r="DK603" t="s">
        <v>3</v>
      </c>
      <c r="DL603" t="s">
        <v>3</v>
      </c>
      <c r="DM603" t="s">
        <v>3</v>
      </c>
      <c r="DN603">
        <v>0</v>
      </c>
      <c r="DO603">
        <v>0</v>
      </c>
      <c r="DP603">
        <v>1</v>
      </c>
      <c r="DQ603">
        <v>1</v>
      </c>
      <c r="DU603">
        <v>1013</v>
      </c>
      <c r="DV603" t="s">
        <v>386</v>
      </c>
      <c r="DW603" t="s">
        <v>386</v>
      </c>
      <c r="DX603">
        <v>1</v>
      </c>
      <c r="DZ603" t="s">
        <v>3</v>
      </c>
      <c r="EA603" t="s">
        <v>3</v>
      </c>
      <c r="EB603" t="s">
        <v>3</v>
      </c>
      <c r="EC603" t="s">
        <v>3</v>
      </c>
      <c r="EE603">
        <v>1441815344</v>
      </c>
      <c r="EF603">
        <v>1</v>
      </c>
      <c r="EG603" t="s">
        <v>22</v>
      </c>
      <c r="EH603">
        <v>0</v>
      </c>
      <c r="EI603" t="s">
        <v>3</v>
      </c>
      <c r="EJ603">
        <v>4</v>
      </c>
      <c r="EK603">
        <v>0</v>
      </c>
      <c r="EL603" t="s">
        <v>23</v>
      </c>
      <c r="EM603" t="s">
        <v>24</v>
      </c>
      <c r="EO603" t="s">
        <v>3</v>
      </c>
      <c r="EQ603">
        <v>1024</v>
      </c>
      <c r="ER603">
        <v>288160.19</v>
      </c>
      <c r="ES603">
        <v>11114.99</v>
      </c>
      <c r="ET603">
        <v>0</v>
      </c>
      <c r="EU603">
        <v>0</v>
      </c>
      <c r="EV603">
        <v>277045.2</v>
      </c>
      <c r="EW603">
        <v>360</v>
      </c>
      <c r="EX603">
        <v>0</v>
      </c>
      <c r="EY603">
        <v>0</v>
      </c>
      <c r="FQ603">
        <v>0</v>
      </c>
      <c r="FR603">
        <f t="shared" si="579"/>
        <v>0</v>
      </c>
      <c r="FS603">
        <v>0</v>
      </c>
      <c r="FX603">
        <v>70</v>
      </c>
      <c r="FY603">
        <v>10</v>
      </c>
      <c r="GA603" t="s">
        <v>3</v>
      </c>
      <c r="GD603">
        <v>0</v>
      </c>
      <c r="GF603">
        <v>-470123784</v>
      </c>
      <c r="GG603">
        <v>2</v>
      </c>
      <c r="GH603">
        <v>1</v>
      </c>
      <c r="GI603">
        <v>-2</v>
      </c>
      <c r="GJ603">
        <v>0</v>
      </c>
      <c r="GK603">
        <f>ROUND(R603*(R12)/100,2)</f>
        <v>0</v>
      </c>
      <c r="GL603">
        <f t="shared" si="580"/>
        <v>0</v>
      </c>
      <c r="GM603">
        <f t="shared" si="581"/>
        <v>339864.23</v>
      </c>
      <c r="GN603">
        <f t="shared" si="582"/>
        <v>0</v>
      </c>
      <c r="GO603">
        <f t="shared" si="583"/>
        <v>0</v>
      </c>
      <c r="GP603">
        <f t="shared" si="584"/>
        <v>339864.23</v>
      </c>
      <c r="GR603">
        <v>0</v>
      </c>
      <c r="GS603">
        <v>3</v>
      </c>
      <c r="GT603">
        <v>0</v>
      </c>
      <c r="GU603" t="s">
        <v>3</v>
      </c>
      <c r="GV603">
        <f t="shared" si="585"/>
        <v>0</v>
      </c>
      <c r="GW603">
        <v>1</v>
      </c>
      <c r="GX603">
        <f t="shared" si="586"/>
        <v>0</v>
      </c>
      <c r="HA603">
        <v>0</v>
      </c>
      <c r="HB603">
        <v>0</v>
      </c>
      <c r="HC603">
        <f t="shared" si="587"/>
        <v>0</v>
      </c>
      <c r="HE603" t="s">
        <v>3</v>
      </c>
      <c r="HF603" t="s">
        <v>3</v>
      </c>
      <c r="HM603" t="s">
        <v>3</v>
      </c>
      <c r="HN603" t="s">
        <v>3</v>
      </c>
      <c r="HO603" t="s">
        <v>3</v>
      </c>
      <c r="HP603" t="s">
        <v>3</v>
      </c>
      <c r="HQ603" t="s">
        <v>3</v>
      </c>
      <c r="IK603">
        <v>0</v>
      </c>
    </row>
    <row r="604" spans="1:245" x14ac:dyDescent="0.2">
      <c r="A604">
        <v>17</v>
      </c>
      <c r="B604">
        <v>1</v>
      </c>
      <c r="D604">
        <f>ROW(EtalonRes!A512)</f>
        <v>512</v>
      </c>
      <c r="E604" t="s">
        <v>522</v>
      </c>
      <c r="F604" t="s">
        <v>523</v>
      </c>
      <c r="G604" t="s">
        <v>524</v>
      </c>
      <c r="H604" t="s">
        <v>386</v>
      </c>
      <c r="I604">
        <v>1</v>
      </c>
      <c r="J604">
        <v>0</v>
      </c>
      <c r="K604">
        <v>1</v>
      </c>
      <c r="O604">
        <f t="shared" si="555"/>
        <v>11903.76</v>
      </c>
      <c r="P604">
        <f t="shared" si="556"/>
        <v>722.9</v>
      </c>
      <c r="Q604">
        <f t="shared" si="557"/>
        <v>1094.52</v>
      </c>
      <c r="R604">
        <f t="shared" si="558"/>
        <v>694</v>
      </c>
      <c r="S604">
        <f t="shared" si="559"/>
        <v>10086.34</v>
      </c>
      <c r="T604">
        <f t="shared" si="560"/>
        <v>0</v>
      </c>
      <c r="U604">
        <f t="shared" si="561"/>
        <v>15.2</v>
      </c>
      <c r="V604">
        <f t="shared" si="562"/>
        <v>0</v>
      </c>
      <c r="W604">
        <f t="shared" si="563"/>
        <v>0</v>
      </c>
      <c r="X604">
        <f t="shared" si="564"/>
        <v>7060.44</v>
      </c>
      <c r="Y604">
        <f t="shared" si="565"/>
        <v>1008.63</v>
      </c>
      <c r="AA604">
        <v>1472506909</v>
      </c>
      <c r="AB604">
        <f t="shared" si="566"/>
        <v>11903.76</v>
      </c>
      <c r="AC604">
        <f>ROUND(((ES604*2)),6)</f>
        <v>722.9</v>
      </c>
      <c r="AD604">
        <f>ROUND(((((ET604*2))-((EU604*2)))+AE604),6)</f>
        <v>1094.52</v>
      </c>
      <c r="AE604">
        <f>ROUND(((EU604*2)),6)</f>
        <v>694</v>
      </c>
      <c r="AF604">
        <f>ROUND(((EV604*2)),6)</f>
        <v>10086.34</v>
      </c>
      <c r="AG604">
        <f t="shared" si="567"/>
        <v>0</v>
      </c>
      <c r="AH604">
        <f>((EW604*2))</f>
        <v>15.2</v>
      </c>
      <c r="AI604">
        <f>((EX604*2))</f>
        <v>0</v>
      </c>
      <c r="AJ604">
        <f t="shared" si="568"/>
        <v>0</v>
      </c>
      <c r="AK604">
        <v>5951.88</v>
      </c>
      <c r="AL604">
        <v>361.45</v>
      </c>
      <c r="AM604">
        <v>547.26</v>
      </c>
      <c r="AN604">
        <v>347</v>
      </c>
      <c r="AO604">
        <v>5043.17</v>
      </c>
      <c r="AP604">
        <v>0</v>
      </c>
      <c r="AQ604">
        <v>7.6</v>
      </c>
      <c r="AR604">
        <v>0</v>
      </c>
      <c r="AS604">
        <v>0</v>
      </c>
      <c r="AT604">
        <v>70</v>
      </c>
      <c r="AU604">
        <v>10</v>
      </c>
      <c r="AV604">
        <v>1</v>
      </c>
      <c r="AW604">
        <v>1</v>
      </c>
      <c r="AZ604">
        <v>1</v>
      </c>
      <c r="BA604">
        <v>1</v>
      </c>
      <c r="BB604">
        <v>1</v>
      </c>
      <c r="BC604">
        <v>1</v>
      </c>
      <c r="BD604" t="s">
        <v>3</v>
      </c>
      <c r="BE604" t="s">
        <v>3</v>
      </c>
      <c r="BF604" t="s">
        <v>3</v>
      </c>
      <c r="BG604" t="s">
        <v>3</v>
      </c>
      <c r="BH604">
        <v>0</v>
      </c>
      <c r="BI604">
        <v>4</v>
      </c>
      <c r="BJ604" t="s">
        <v>525</v>
      </c>
      <c r="BM604">
        <v>0</v>
      </c>
      <c r="BN604">
        <v>0</v>
      </c>
      <c r="BO604" t="s">
        <v>3</v>
      </c>
      <c r="BP604">
        <v>0</v>
      </c>
      <c r="BQ604">
        <v>1</v>
      </c>
      <c r="BR604">
        <v>0</v>
      </c>
      <c r="BS604">
        <v>1</v>
      </c>
      <c r="BT604">
        <v>1</v>
      </c>
      <c r="BU604">
        <v>1</v>
      </c>
      <c r="BV604">
        <v>1</v>
      </c>
      <c r="BW604">
        <v>1</v>
      </c>
      <c r="BX604">
        <v>1</v>
      </c>
      <c r="BY604" t="s">
        <v>3</v>
      </c>
      <c r="BZ604">
        <v>70</v>
      </c>
      <c r="CA604">
        <v>10</v>
      </c>
      <c r="CB604" t="s">
        <v>3</v>
      </c>
      <c r="CE604">
        <v>0</v>
      </c>
      <c r="CF604">
        <v>0</v>
      </c>
      <c r="CG604">
        <v>0</v>
      </c>
      <c r="CM604">
        <v>0</v>
      </c>
      <c r="CN604" t="s">
        <v>3</v>
      </c>
      <c r="CO604">
        <v>0</v>
      </c>
      <c r="CP604">
        <f t="shared" si="569"/>
        <v>11903.76</v>
      </c>
      <c r="CQ604">
        <f t="shared" si="570"/>
        <v>722.9</v>
      </c>
      <c r="CR604">
        <f>(((((ET604*2))*BB604-((EU604*2))*BS604)+AE604*BS604)*AV604)</f>
        <v>1094.52</v>
      </c>
      <c r="CS604">
        <f t="shared" si="571"/>
        <v>694</v>
      </c>
      <c r="CT604">
        <f t="shared" si="572"/>
        <v>10086.34</v>
      </c>
      <c r="CU604">
        <f t="shared" si="573"/>
        <v>0</v>
      </c>
      <c r="CV604">
        <f t="shared" si="574"/>
        <v>15.2</v>
      </c>
      <c r="CW604">
        <f t="shared" si="575"/>
        <v>0</v>
      </c>
      <c r="CX604">
        <f t="shared" si="576"/>
        <v>0</v>
      </c>
      <c r="CY604">
        <f t="shared" si="577"/>
        <v>7060.4380000000001</v>
      </c>
      <c r="CZ604">
        <f t="shared" si="578"/>
        <v>1008.6339999999999</v>
      </c>
      <c r="DC604" t="s">
        <v>3</v>
      </c>
      <c r="DD604" t="s">
        <v>28</v>
      </c>
      <c r="DE604" t="s">
        <v>28</v>
      </c>
      <c r="DF604" t="s">
        <v>28</v>
      </c>
      <c r="DG604" t="s">
        <v>28</v>
      </c>
      <c r="DH604" t="s">
        <v>3</v>
      </c>
      <c r="DI604" t="s">
        <v>28</v>
      </c>
      <c r="DJ604" t="s">
        <v>28</v>
      </c>
      <c r="DK604" t="s">
        <v>3</v>
      </c>
      <c r="DL604" t="s">
        <v>3</v>
      </c>
      <c r="DM604" t="s">
        <v>3</v>
      </c>
      <c r="DN604">
        <v>0</v>
      </c>
      <c r="DO604">
        <v>0</v>
      </c>
      <c r="DP604">
        <v>1</v>
      </c>
      <c r="DQ604">
        <v>1</v>
      </c>
      <c r="DU604">
        <v>1013</v>
      </c>
      <c r="DV604" t="s">
        <v>386</v>
      </c>
      <c r="DW604" t="s">
        <v>386</v>
      </c>
      <c r="DX604">
        <v>1</v>
      </c>
      <c r="DZ604" t="s">
        <v>3</v>
      </c>
      <c r="EA604" t="s">
        <v>3</v>
      </c>
      <c r="EB604" t="s">
        <v>3</v>
      </c>
      <c r="EC604" t="s">
        <v>3</v>
      </c>
      <c r="EE604">
        <v>1441815344</v>
      </c>
      <c r="EF604">
        <v>1</v>
      </c>
      <c r="EG604" t="s">
        <v>22</v>
      </c>
      <c r="EH604">
        <v>0</v>
      </c>
      <c r="EI604" t="s">
        <v>3</v>
      </c>
      <c r="EJ604">
        <v>4</v>
      </c>
      <c r="EK604">
        <v>0</v>
      </c>
      <c r="EL604" t="s">
        <v>23</v>
      </c>
      <c r="EM604" t="s">
        <v>24</v>
      </c>
      <c r="EO604" t="s">
        <v>3</v>
      </c>
      <c r="EQ604">
        <v>0</v>
      </c>
      <c r="ER604">
        <v>5951.88</v>
      </c>
      <c r="ES604">
        <v>361.45</v>
      </c>
      <c r="ET604">
        <v>547.26</v>
      </c>
      <c r="EU604">
        <v>347</v>
      </c>
      <c r="EV604">
        <v>5043.17</v>
      </c>
      <c r="EW604">
        <v>7.6</v>
      </c>
      <c r="EX604">
        <v>0</v>
      </c>
      <c r="EY604">
        <v>0</v>
      </c>
      <c r="FQ604">
        <v>0</v>
      </c>
      <c r="FR604">
        <f t="shared" si="579"/>
        <v>0</v>
      </c>
      <c r="FS604">
        <v>0</v>
      </c>
      <c r="FX604">
        <v>70</v>
      </c>
      <c r="FY604">
        <v>10</v>
      </c>
      <c r="GA604" t="s">
        <v>3</v>
      </c>
      <c r="GD604">
        <v>0</v>
      </c>
      <c r="GF604">
        <v>-1116288695</v>
      </c>
      <c r="GG604">
        <v>2</v>
      </c>
      <c r="GH604">
        <v>1</v>
      </c>
      <c r="GI604">
        <v>-2</v>
      </c>
      <c r="GJ604">
        <v>0</v>
      </c>
      <c r="GK604">
        <f>ROUND(R604*(R12)/100,2)</f>
        <v>749.52</v>
      </c>
      <c r="GL604">
        <f t="shared" si="580"/>
        <v>0</v>
      </c>
      <c r="GM604">
        <f t="shared" si="581"/>
        <v>20722.349999999999</v>
      </c>
      <c r="GN604">
        <f t="shared" si="582"/>
        <v>0</v>
      </c>
      <c r="GO604">
        <f t="shared" si="583"/>
        <v>0</v>
      </c>
      <c r="GP604">
        <f t="shared" si="584"/>
        <v>20722.349999999999</v>
      </c>
      <c r="GR604">
        <v>0</v>
      </c>
      <c r="GS604">
        <v>3</v>
      </c>
      <c r="GT604">
        <v>0</v>
      </c>
      <c r="GU604" t="s">
        <v>3</v>
      </c>
      <c r="GV604">
        <f t="shared" si="585"/>
        <v>0</v>
      </c>
      <c r="GW604">
        <v>1</v>
      </c>
      <c r="GX604">
        <f t="shared" si="586"/>
        <v>0</v>
      </c>
      <c r="HA604">
        <v>0</v>
      </c>
      <c r="HB604">
        <v>0</v>
      </c>
      <c r="HC604">
        <f t="shared" si="587"/>
        <v>0</v>
      </c>
      <c r="HE604" t="s">
        <v>3</v>
      </c>
      <c r="HF604" t="s">
        <v>3</v>
      </c>
      <c r="HM604" t="s">
        <v>3</v>
      </c>
      <c r="HN604" t="s">
        <v>3</v>
      </c>
      <c r="HO604" t="s">
        <v>3</v>
      </c>
      <c r="HP604" t="s">
        <v>3</v>
      </c>
      <c r="HQ604" t="s">
        <v>3</v>
      </c>
      <c r="IK604">
        <v>0</v>
      </c>
    </row>
    <row r="605" spans="1:245" x14ac:dyDescent="0.2">
      <c r="A605">
        <v>17</v>
      </c>
      <c r="B605">
        <v>1</v>
      </c>
      <c r="D605">
        <f>ROW(EtalonRes!A515)</f>
        <v>515</v>
      </c>
      <c r="E605" t="s">
        <v>3</v>
      </c>
      <c r="F605" t="s">
        <v>526</v>
      </c>
      <c r="G605" t="s">
        <v>527</v>
      </c>
      <c r="H605" t="s">
        <v>386</v>
      </c>
      <c r="I605">
        <v>1</v>
      </c>
      <c r="J605">
        <v>0</v>
      </c>
      <c r="K605">
        <v>1</v>
      </c>
      <c r="O605">
        <f t="shared" si="555"/>
        <v>10388.18</v>
      </c>
      <c r="P605">
        <f t="shared" si="556"/>
        <v>56.68</v>
      </c>
      <c r="Q605">
        <f t="shared" si="557"/>
        <v>1094.52</v>
      </c>
      <c r="R605">
        <f t="shared" si="558"/>
        <v>694</v>
      </c>
      <c r="S605">
        <f t="shared" si="559"/>
        <v>9236.98</v>
      </c>
      <c r="T605">
        <f t="shared" si="560"/>
        <v>0</v>
      </c>
      <c r="U605">
        <f t="shared" si="561"/>
        <v>13.92</v>
      </c>
      <c r="V605">
        <f t="shared" si="562"/>
        <v>0</v>
      </c>
      <c r="W605">
        <f t="shared" si="563"/>
        <v>0</v>
      </c>
      <c r="X605">
        <f t="shared" si="564"/>
        <v>6465.89</v>
      </c>
      <c r="Y605">
        <f t="shared" si="565"/>
        <v>923.7</v>
      </c>
      <c r="AA605">
        <v>-1</v>
      </c>
      <c r="AB605">
        <f t="shared" si="566"/>
        <v>10388.18</v>
      </c>
      <c r="AC605">
        <f>ROUND(((ES605*2)),6)</f>
        <v>56.68</v>
      </c>
      <c r="AD605">
        <f>ROUND(((((ET605*2))-((EU605*2)))+AE605),6)</f>
        <v>1094.52</v>
      </c>
      <c r="AE605">
        <f>ROUND(((EU605*2)),6)</f>
        <v>694</v>
      </c>
      <c r="AF605">
        <f>ROUND(((EV605*2)),6)</f>
        <v>9236.98</v>
      </c>
      <c r="AG605">
        <f t="shared" si="567"/>
        <v>0</v>
      </c>
      <c r="AH605">
        <f>((EW605*2))</f>
        <v>13.92</v>
      </c>
      <c r="AI605">
        <f>((EX605*2))</f>
        <v>0</v>
      </c>
      <c r="AJ605">
        <f t="shared" si="568"/>
        <v>0</v>
      </c>
      <c r="AK605">
        <v>5194.09</v>
      </c>
      <c r="AL605">
        <v>28.34</v>
      </c>
      <c r="AM605">
        <v>547.26</v>
      </c>
      <c r="AN605">
        <v>347</v>
      </c>
      <c r="AO605">
        <v>4618.49</v>
      </c>
      <c r="AP605">
        <v>0</v>
      </c>
      <c r="AQ605">
        <v>6.96</v>
      </c>
      <c r="AR605">
        <v>0</v>
      </c>
      <c r="AS605">
        <v>0</v>
      </c>
      <c r="AT605">
        <v>70</v>
      </c>
      <c r="AU605">
        <v>10</v>
      </c>
      <c r="AV605">
        <v>1</v>
      </c>
      <c r="AW605">
        <v>1</v>
      </c>
      <c r="AZ605">
        <v>1</v>
      </c>
      <c r="BA605">
        <v>1</v>
      </c>
      <c r="BB605">
        <v>1</v>
      </c>
      <c r="BC605">
        <v>1</v>
      </c>
      <c r="BD605" t="s">
        <v>3</v>
      </c>
      <c r="BE605" t="s">
        <v>3</v>
      </c>
      <c r="BF605" t="s">
        <v>3</v>
      </c>
      <c r="BG605" t="s">
        <v>3</v>
      </c>
      <c r="BH605">
        <v>0</v>
      </c>
      <c r="BI605">
        <v>4</v>
      </c>
      <c r="BJ605" t="s">
        <v>528</v>
      </c>
      <c r="BM605">
        <v>0</v>
      </c>
      <c r="BN605">
        <v>0</v>
      </c>
      <c r="BO605" t="s">
        <v>3</v>
      </c>
      <c r="BP605">
        <v>0</v>
      </c>
      <c r="BQ605">
        <v>1</v>
      </c>
      <c r="BR605">
        <v>0</v>
      </c>
      <c r="BS605">
        <v>1</v>
      </c>
      <c r="BT605">
        <v>1</v>
      </c>
      <c r="BU605">
        <v>1</v>
      </c>
      <c r="BV605">
        <v>1</v>
      </c>
      <c r="BW605">
        <v>1</v>
      </c>
      <c r="BX605">
        <v>1</v>
      </c>
      <c r="BY605" t="s">
        <v>3</v>
      </c>
      <c r="BZ605">
        <v>70</v>
      </c>
      <c r="CA605">
        <v>10</v>
      </c>
      <c r="CB605" t="s">
        <v>3</v>
      </c>
      <c r="CE605">
        <v>0</v>
      </c>
      <c r="CF605">
        <v>0</v>
      </c>
      <c r="CG605">
        <v>0</v>
      </c>
      <c r="CM605">
        <v>0</v>
      </c>
      <c r="CN605" t="s">
        <v>3</v>
      </c>
      <c r="CO605">
        <v>0</v>
      </c>
      <c r="CP605">
        <f t="shared" si="569"/>
        <v>10388.18</v>
      </c>
      <c r="CQ605">
        <f t="shared" si="570"/>
        <v>56.68</v>
      </c>
      <c r="CR605">
        <f>(((((ET605*2))*BB605-((EU605*2))*BS605)+AE605*BS605)*AV605)</f>
        <v>1094.52</v>
      </c>
      <c r="CS605">
        <f t="shared" si="571"/>
        <v>694</v>
      </c>
      <c r="CT605">
        <f t="shared" si="572"/>
        <v>9236.98</v>
      </c>
      <c r="CU605">
        <f t="shared" si="573"/>
        <v>0</v>
      </c>
      <c r="CV605">
        <f t="shared" si="574"/>
        <v>13.92</v>
      </c>
      <c r="CW605">
        <f t="shared" si="575"/>
        <v>0</v>
      </c>
      <c r="CX605">
        <f t="shared" si="576"/>
        <v>0</v>
      </c>
      <c r="CY605">
        <f t="shared" si="577"/>
        <v>6465.8859999999995</v>
      </c>
      <c r="CZ605">
        <f t="shared" si="578"/>
        <v>923.69799999999987</v>
      </c>
      <c r="DC605" t="s">
        <v>3</v>
      </c>
      <c r="DD605" t="s">
        <v>28</v>
      </c>
      <c r="DE605" t="s">
        <v>28</v>
      </c>
      <c r="DF605" t="s">
        <v>28</v>
      </c>
      <c r="DG605" t="s">
        <v>28</v>
      </c>
      <c r="DH605" t="s">
        <v>3</v>
      </c>
      <c r="DI605" t="s">
        <v>28</v>
      </c>
      <c r="DJ605" t="s">
        <v>28</v>
      </c>
      <c r="DK605" t="s">
        <v>3</v>
      </c>
      <c r="DL605" t="s">
        <v>3</v>
      </c>
      <c r="DM605" t="s">
        <v>3</v>
      </c>
      <c r="DN605">
        <v>0</v>
      </c>
      <c r="DO605">
        <v>0</v>
      </c>
      <c r="DP605">
        <v>1</v>
      </c>
      <c r="DQ605">
        <v>1</v>
      </c>
      <c r="DU605">
        <v>1013</v>
      </c>
      <c r="DV605" t="s">
        <v>386</v>
      </c>
      <c r="DW605" t="s">
        <v>386</v>
      </c>
      <c r="DX605">
        <v>1</v>
      </c>
      <c r="DZ605" t="s">
        <v>3</v>
      </c>
      <c r="EA605" t="s">
        <v>3</v>
      </c>
      <c r="EB605" t="s">
        <v>3</v>
      </c>
      <c r="EC605" t="s">
        <v>3</v>
      </c>
      <c r="EE605">
        <v>1441815344</v>
      </c>
      <c r="EF605">
        <v>1</v>
      </c>
      <c r="EG605" t="s">
        <v>22</v>
      </c>
      <c r="EH605">
        <v>0</v>
      </c>
      <c r="EI605" t="s">
        <v>3</v>
      </c>
      <c r="EJ605">
        <v>4</v>
      </c>
      <c r="EK605">
        <v>0</v>
      </c>
      <c r="EL605" t="s">
        <v>23</v>
      </c>
      <c r="EM605" t="s">
        <v>24</v>
      </c>
      <c r="EO605" t="s">
        <v>3</v>
      </c>
      <c r="EQ605">
        <v>1024</v>
      </c>
      <c r="ER605">
        <v>5194.09</v>
      </c>
      <c r="ES605">
        <v>28.34</v>
      </c>
      <c r="ET605">
        <v>547.26</v>
      </c>
      <c r="EU605">
        <v>347</v>
      </c>
      <c r="EV605">
        <v>4618.49</v>
      </c>
      <c r="EW605">
        <v>6.96</v>
      </c>
      <c r="EX605">
        <v>0</v>
      </c>
      <c r="EY605">
        <v>0</v>
      </c>
      <c r="FQ605">
        <v>0</v>
      </c>
      <c r="FR605">
        <f t="shared" si="579"/>
        <v>0</v>
      </c>
      <c r="FS605">
        <v>0</v>
      </c>
      <c r="FX605">
        <v>70</v>
      </c>
      <c r="FY605">
        <v>10</v>
      </c>
      <c r="GA605" t="s">
        <v>3</v>
      </c>
      <c r="GD605">
        <v>0</v>
      </c>
      <c r="GF605">
        <v>-765403512</v>
      </c>
      <c r="GG605">
        <v>2</v>
      </c>
      <c r="GH605">
        <v>1</v>
      </c>
      <c r="GI605">
        <v>-2</v>
      </c>
      <c r="GJ605">
        <v>0</v>
      </c>
      <c r="GK605">
        <f>ROUND(R605*(R12)/100,2)</f>
        <v>749.52</v>
      </c>
      <c r="GL605">
        <f t="shared" si="580"/>
        <v>0</v>
      </c>
      <c r="GM605">
        <f t="shared" si="581"/>
        <v>18527.29</v>
      </c>
      <c r="GN605">
        <f t="shared" si="582"/>
        <v>0</v>
      </c>
      <c r="GO605">
        <f t="shared" si="583"/>
        <v>0</v>
      </c>
      <c r="GP605">
        <f t="shared" si="584"/>
        <v>18527.29</v>
      </c>
      <c r="GR605">
        <v>0</v>
      </c>
      <c r="GS605">
        <v>3</v>
      </c>
      <c r="GT605">
        <v>0</v>
      </c>
      <c r="GU605" t="s">
        <v>3</v>
      </c>
      <c r="GV605">
        <f t="shared" si="585"/>
        <v>0</v>
      </c>
      <c r="GW605">
        <v>1</v>
      </c>
      <c r="GX605">
        <f t="shared" si="586"/>
        <v>0</v>
      </c>
      <c r="HA605">
        <v>0</v>
      </c>
      <c r="HB605">
        <v>0</v>
      </c>
      <c r="HC605">
        <f t="shared" si="587"/>
        <v>0</v>
      </c>
      <c r="HE605" t="s">
        <v>3</v>
      </c>
      <c r="HF605" t="s">
        <v>3</v>
      </c>
      <c r="HM605" t="s">
        <v>3</v>
      </c>
      <c r="HN605" t="s">
        <v>3</v>
      </c>
      <c r="HO605" t="s">
        <v>3</v>
      </c>
      <c r="HP605" t="s">
        <v>3</v>
      </c>
      <c r="HQ605" t="s">
        <v>3</v>
      </c>
      <c r="IK605">
        <v>0</v>
      </c>
    </row>
    <row r="606" spans="1:245" x14ac:dyDescent="0.2">
      <c r="A606">
        <v>17</v>
      </c>
      <c r="B606">
        <v>1</v>
      </c>
      <c r="D606">
        <f>ROW(EtalonRes!A519)</f>
        <v>519</v>
      </c>
      <c r="E606" t="s">
        <v>3</v>
      </c>
      <c r="F606" t="s">
        <v>529</v>
      </c>
      <c r="G606" t="s">
        <v>530</v>
      </c>
      <c r="H606" t="s">
        <v>20</v>
      </c>
      <c r="I606">
        <v>3</v>
      </c>
      <c r="J606">
        <v>0</v>
      </c>
      <c r="K606">
        <v>3</v>
      </c>
      <c r="O606">
        <f t="shared" si="555"/>
        <v>34963.47</v>
      </c>
      <c r="P606">
        <f t="shared" si="556"/>
        <v>391.74</v>
      </c>
      <c r="Q606">
        <f t="shared" si="557"/>
        <v>0</v>
      </c>
      <c r="R606">
        <f t="shared" si="558"/>
        <v>0</v>
      </c>
      <c r="S606">
        <f t="shared" si="559"/>
        <v>34571.730000000003</v>
      </c>
      <c r="T606">
        <f t="shared" si="560"/>
        <v>0</v>
      </c>
      <c r="U606">
        <f t="shared" si="561"/>
        <v>52.019999999999996</v>
      </c>
      <c r="V606">
        <f t="shared" si="562"/>
        <v>0</v>
      </c>
      <c r="W606">
        <f t="shared" si="563"/>
        <v>0</v>
      </c>
      <c r="X606">
        <f t="shared" si="564"/>
        <v>24200.21</v>
      </c>
      <c r="Y606">
        <f t="shared" si="565"/>
        <v>3457.17</v>
      </c>
      <c r="AA606">
        <v>-1</v>
      </c>
      <c r="AB606">
        <f t="shared" si="566"/>
        <v>11654.49</v>
      </c>
      <c r="AC606">
        <f>ROUND((ES606),6)</f>
        <v>130.58000000000001</v>
      </c>
      <c r="AD606">
        <f>ROUND((((ET606)-(EU606))+AE606),6)</f>
        <v>0</v>
      </c>
      <c r="AE606">
        <f>ROUND((EU606),6)</f>
        <v>0</v>
      </c>
      <c r="AF606">
        <f>ROUND((EV606),6)</f>
        <v>11523.91</v>
      </c>
      <c r="AG606">
        <f t="shared" si="567"/>
        <v>0</v>
      </c>
      <c r="AH606">
        <f>(EW606)</f>
        <v>17.34</v>
      </c>
      <c r="AI606">
        <f>(EX606)</f>
        <v>0</v>
      </c>
      <c r="AJ606">
        <f t="shared" si="568"/>
        <v>0</v>
      </c>
      <c r="AK606">
        <v>11654.49</v>
      </c>
      <c r="AL606">
        <v>130.58000000000001</v>
      </c>
      <c r="AM606">
        <v>0</v>
      </c>
      <c r="AN606">
        <v>0</v>
      </c>
      <c r="AO606">
        <v>11523.91</v>
      </c>
      <c r="AP606">
        <v>0</v>
      </c>
      <c r="AQ606">
        <v>17.34</v>
      </c>
      <c r="AR606">
        <v>0</v>
      </c>
      <c r="AS606">
        <v>0</v>
      </c>
      <c r="AT606">
        <v>70</v>
      </c>
      <c r="AU606">
        <v>10</v>
      </c>
      <c r="AV606">
        <v>1</v>
      </c>
      <c r="AW606">
        <v>1</v>
      </c>
      <c r="AZ606">
        <v>1</v>
      </c>
      <c r="BA606">
        <v>1</v>
      </c>
      <c r="BB606">
        <v>1</v>
      </c>
      <c r="BC606">
        <v>1</v>
      </c>
      <c r="BD606" t="s">
        <v>3</v>
      </c>
      <c r="BE606" t="s">
        <v>3</v>
      </c>
      <c r="BF606" t="s">
        <v>3</v>
      </c>
      <c r="BG606" t="s">
        <v>3</v>
      </c>
      <c r="BH606">
        <v>0</v>
      </c>
      <c r="BI606">
        <v>4</v>
      </c>
      <c r="BJ606" t="s">
        <v>531</v>
      </c>
      <c r="BM606">
        <v>0</v>
      </c>
      <c r="BN606">
        <v>0</v>
      </c>
      <c r="BO606" t="s">
        <v>3</v>
      </c>
      <c r="BP606">
        <v>0</v>
      </c>
      <c r="BQ606">
        <v>1</v>
      </c>
      <c r="BR606">
        <v>0</v>
      </c>
      <c r="BS606">
        <v>1</v>
      </c>
      <c r="BT606">
        <v>1</v>
      </c>
      <c r="BU606">
        <v>1</v>
      </c>
      <c r="BV606">
        <v>1</v>
      </c>
      <c r="BW606">
        <v>1</v>
      </c>
      <c r="BX606">
        <v>1</v>
      </c>
      <c r="BY606" t="s">
        <v>3</v>
      </c>
      <c r="BZ606">
        <v>70</v>
      </c>
      <c r="CA606">
        <v>10</v>
      </c>
      <c r="CB606" t="s">
        <v>3</v>
      </c>
      <c r="CE606">
        <v>0</v>
      </c>
      <c r="CF606">
        <v>0</v>
      </c>
      <c r="CG606">
        <v>0</v>
      </c>
      <c r="CM606">
        <v>0</v>
      </c>
      <c r="CN606" t="s">
        <v>3</v>
      </c>
      <c r="CO606">
        <v>0</v>
      </c>
      <c r="CP606">
        <f t="shared" si="569"/>
        <v>34963.47</v>
      </c>
      <c r="CQ606">
        <f t="shared" si="570"/>
        <v>130.58000000000001</v>
      </c>
      <c r="CR606">
        <f>((((ET606)*BB606-(EU606)*BS606)+AE606*BS606)*AV606)</f>
        <v>0</v>
      </c>
      <c r="CS606">
        <f t="shared" si="571"/>
        <v>0</v>
      </c>
      <c r="CT606">
        <f t="shared" si="572"/>
        <v>11523.91</v>
      </c>
      <c r="CU606">
        <f t="shared" si="573"/>
        <v>0</v>
      </c>
      <c r="CV606">
        <f t="shared" si="574"/>
        <v>17.34</v>
      </c>
      <c r="CW606">
        <f t="shared" si="575"/>
        <v>0</v>
      </c>
      <c r="CX606">
        <f t="shared" si="576"/>
        <v>0</v>
      </c>
      <c r="CY606">
        <f t="shared" si="577"/>
        <v>24200.210999999999</v>
      </c>
      <c r="CZ606">
        <f t="shared" si="578"/>
        <v>3457.1730000000007</v>
      </c>
      <c r="DC606" t="s">
        <v>3</v>
      </c>
      <c r="DD606" t="s">
        <v>3</v>
      </c>
      <c r="DE606" t="s">
        <v>3</v>
      </c>
      <c r="DF606" t="s">
        <v>3</v>
      </c>
      <c r="DG606" t="s">
        <v>3</v>
      </c>
      <c r="DH606" t="s">
        <v>3</v>
      </c>
      <c r="DI606" t="s">
        <v>3</v>
      </c>
      <c r="DJ606" t="s">
        <v>3</v>
      </c>
      <c r="DK606" t="s">
        <v>3</v>
      </c>
      <c r="DL606" t="s">
        <v>3</v>
      </c>
      <c r="DM606" t="s">
        <v>3</v>
      </c>
      <c r="DN606">
        <v>0</v>
      </c>
      <c r="DO606">
        <v>0</v>
      </c>
      <c r="DP606">
        <v>1</v>
      </c>
      <c r="DQ606">
        <v>1</v>
      </c>
      <c r="DU606">
        <v>16987630</v>
      </c>
      <c r="DV606" t="s">
        <v>20</v>
      </c>
      <c r="DW606" t="s">
        <v>20</v>
      </c>
      <c r="DX606">
        <v>1</v>
      </c>
      <c r="DZ606" t="s">
        <v>3</v>
      </c>
      <c r="EA606" t="s">
        <v>3</v>
      </c>
      <c r="EB606" t="s">
        <v>3</v>
      </c>
      <c r="EC606" t="s">
        <v>3</v>
      </c>
      <c r="EE606">
        <v>1441815344</v>
      </c>
      <c r="EF606">
        <v>1</v>
      </c>
      <c r="EG606" t="s">
        <v>22</v>
      </c>
      <c r="EH606">
        <v>0</v>
      </c>
      <c r="EI606" t="s">
        <v>3</v>
      </c>
      <c r="EJ606">
        <v>4</v>
      </c>
      <c r="EK606">
        <v>0</v>
      </c>
      <c r="EL606" t="s">
        <v>23</v>
      </c>
      <c r="EM606" t="s">
        <v>24</v>
      </c>
      <c r="EO606" t="s">
        <v>3</v>
      </c>
      <c r="EQ606">
        <v>1024</v>
      </c>
      <c r="ER606">
        <v>11654.49</v>
      </c>
      <c r="ES606">
        <v>130.58000000000001</v>
      </c>
      <c r="ET606">
        <v>0</v>
      </c>
      <c r="EU606">
        <v>0</v>
      </c>
      <c r="EV606">
        <v>11523.91</v>
      </c>
      <c r="EW606">
        <v>17.34</v>
      </c>
      <c r="EX606">
        <v>0</v>
      </c>
      <c r="EY606">
        <v>0</v>
      </c>
      <c r="FQ606">
        <v>0</v>
      </c>
      <c r="FR606">
        <f t="shared" si="579"/>
        <v>0</v>
      </c>
      <c r="FS606">
        <v>0</v>
      </c>
      <c r="FX606">
        <v>70</v>
      </c>
      <c r="FY606">
        <v>10</v>
      </c>
      <c r="GA606" t="s">
        <v>3</v>
      </c>
      <c r="GD606">
        <v>0</v>
      </c>
      <c r="GF606">
        <v>-1480099811</v>
      </c>
      <c r="GG606">
        <v>2</v>
      </c>
      <c r="GH606">
        <v>1</v>
      </c>
      <c r="GI606">
        <v>-2</v>
      </c>
      <c r="GJ606">
        <v>0</v>
      </c>
      <c r="GK606">
        <f>ROUND(R606*(R12)/100,2)</f>
        <v>0</v>
      </c>
      <c r="GL606">
        <f t="shared" si="580"/>
        <v>0</v>
      </c>
      <c r="GM606">
        <f t="shared" si="581"/>
        <v>62620.85</v>
      </c>
      <c r="GN606">
        <f t="shared" si="582"/>
        <v>0</v>
      </c>
      <c r="GO606">
        <f t="shared" si="583"/>
        <v>0</v>
      </c>
      <c r="GP606">
        <f t="shared" si="584"/>
        <v>62620.85</v>
      </c>
      <c r="GR606">
        <v>0</v>
      </c>
      <c r="GS606">
        <v>3</v>
      </c>
      <c r="GT606">
        <v>0</v>
      </c>
      <c r="GU606" t="s">
        <v>3</v>
      </c>
      <c r="GV606">
        <f t="shared" si="585"/>
        <v>0</v>
      </c>
      <c r="GW606">
        <v>1</v>
      </c>
      <c r="GX606">
        <f t="shared" si="586"/>
        <v>0</v>
      </c>
      <c r="HA606">
        <v>0</v>
      </c>
      <c r="HB606">
        <v>0</v>
      </c>
      <c r="HC606">
        <f t="shared" si="587"/>
        <v>0</v>
      </c>
      <c r="HE606" t="s">
        <v>3</v>
      </c>
      <c r="HF606" t="s">
        <v>3</v>
      </c>
      <c r="HM606" t="s">
        <v>3</v>
      </c>
      <c r="HN606" t="s">
        <v>3</v>
      </c>
      <c r="HO606" t="s">
        <v>3</v>
      </c>
      <c r="HP606" t="s">
        <v>3</v>
      </c>
      <c r="HQ606" t="s">
        <v>3</v>
      </c>
      <c r="IK606">
        <v>0</v>
      </c>
    </row>
    <row r="607" spans="1:245" x14ac:dyDescent="0.2">
      <c r="A607">
        <v>17</v>
      </c>
      <c r="B607">
        <v>1</v>
      </c>
      <c r="D607">
        <f>ROW(EtalonRes!A527)</f>
        <v>527</v>
      </c>
      <c r="E607" t="s">
        <v>3</v>
      </c>
      <c r="F607" t="s">
        <v>532</v>
      </c>
      <c r="G607" t="s">
        <v>533</v>
      </c>
      <c r="H607" t="s">
        <v>534</v>
      </c>
      <c r="I607">
        <v>1</v>
      </c>
      <c r="J607">
        <v>0</v>
      </c>
      <c r="K607">
        <v>1</v>
      </c>
      <c r="O607">
        <f t="shared" si="555"/>
        <v>7469.57</v>
      </c>
      <c r="P607">
        <f t="shared" si="556"/>
        <v>262.48</v>
      </c>
      <c r="Q607">
        <f t="shared" si="557"/>
        <v>0</v>
      </c>
      <c r="R607">
        <f t="shared" si="558"/>
        <v>0</v>
      </c>
      <c r="S607">
        <f t="shared" si="559"/>
        <v>7207.09</v>
      </c>
      <c r="T607">
        <f t="shared" si="560"/>
        <v>0</v>
      </c>
      <c r="U607">
        <f t="shared" si="561"/>
        <v>11.333333333333334</v>
      </c>
      <c r="V607">
        <f t="shared" si="562"/>
        <v>0</v>
      </c>
      <c r="W607">
        <f t="shared" si="563"/>
        <v>0</v>
      </c>
      <c r="X607">
        <f t="shared" si="564"/>
        <v>5044.96</v>
      </c>
      <c r="Y607">
        <f t="shared" si="565"/>
        <v>720.71</v>
      </c>
      <c r="AA607">
        <v>-1</v>
      </c>
      <c r="AB607">
        <f t="shared" si="566"/>
        <v>7469.5766659999999</v>
      </c>
      <c r="AC607">
        <f>ROUND((((ES607/12)*4)),6)</f>
        <v>262.48333300000002</v>
      </c>
      <c r="AD607">
        <f>ROUND((((((ET607/12)*4))-(((EU607/12)*4)))+AE607),6)</f>
        <v>0</v>
      </c>
      <c r="AE607">
        <f>ROUND((((EU607/12)*4)),6)</f>
        <v>0</v>
      </c>
      <c r="AF607">
        <f>ROUND((((EV607/12)*4)),6)</f>
        <v>7207.0933329999998</v>
      </c>
      <c r="AG607">
        <f t="shared" si="567"/>
        <v>0</v>
      </c>
      <c r="AH607">
        <f>(((EW607/12)*4))</f>
        <v>11.333333333333334</v>
      </c>
      <c r="AI607">
        <f>(((EX607/12)*4))</f>
        <v>0</v>
      </c>
      <c r="AJ607">
        <f t="shared" si="568"/>
        <v>0</v>
      </c>
      <c r="AK607">
        <v>22408.73</v>
      </c>
      <c r="AL607">
        <v>787.45</v>
      </c>
      <c r="AM607">
        <v>0</v>
      </c>
      <c r="AN607">
        <v>0</v>
      </c>
      <c r="AO607">
        <v>21621.279999999999</v>
      </c>
      <c r="AP607">
        <v>0</v>
      </c>
      <c r="AQ607">
        <v>34</v>
      </c>
      <c r="AR607">
        <v>0</v>
      </c>
      <c r="AS607">
        <v>0</v>
      </c>
      <c r="AT607">
        <v>70</v>
      </c>
      <c r="AU607">
        <v>10</v>
      </c>
      <c r="AV607">
        <v>1</v>
      </c>
      <c r="AW607">
        <v>1</v>
      </c>
      <c r="AZ607">
        <v>1</v>
      </c>
      <c r="BA607">
        <v>1</v>
      </c>
      <c r="BB607">
        <v>1</v>
      </c>
      <c r="BC607">
        <v>1</v>
      </c>
      <c r="BD607" t="s">
        <v>3</v>
      </c>
      <c r="BE607" t="s">
        <v>3</v>
      </c>
      <c r="BF607" t="s">
        <v>3</v>
      </c>
      <c r="BG607" t="s">
        <v>3</v>
      </c>
      <c r="BH607">
        <v>0</v>
      </c>
      <c r="BI607">
        <v>4</v>
      </c>
      <c r="BJ607" t="s">
        <v>535</v>
      </c>
      <c r="BM607">
        <v>0</v>
      </c>
      <c r="BN607">
        <v>0</v>
      </c>
      <c r="BO607" t="s">
        <v>3</v>
      </c>
      <c r="BP607">
        <v>0</v>
      </c>
      <c r="BQ607">
        <v>1</v>
      </c>
      <c r="BR607">
        <v>0</v>
      </c>
      <c r="BS607">
        <v>1</v>
      </c>
      <c r="BT607">
        <v>1</v>
      </c>
      <c r="BU607">
        <v>1</v>
      </c>
      <c r="BV607">
        <v>1</v>
      </c>
      <c r="BW607">
        <v>1</v>
      </c>
      <c r="BX607">
        <v>1</v>
      </c>
      <c r="BY607" t="s">
        <v>3</v>
      </c>
      <c r="BZ607">
        <v>70</v>
      </c>
      <c r="CA607">
        <v>10</v>
      </c>
      <c r="CB607" t="s">
        <v>3</v>
      </c>
      <c r="CE607">
        <v>0</v>
      </c>
      <c r="CF607">
        <v>0</v>
      </c>
      <c r="CG607">
        <v>0</v>
      </c>
      <c r="CM607">
        <v>0</v>
      </c>
      <c r="CN607" t="s">
        <v>3</v>
      </c>
      <c r="CO607">
        <v>0</v>
      </c>
      <c r="CP607">
        <f t="shared" si="569"/>
        <v>7469.57</v>
      </c>
      <c r="CQ607">
        <f t="shared" si="570"/>
        <v>262.48333300000002</v>
      </c>
      <c r="CR607">
        <f>((((((ET607/12)*4))*BB607-(((EU607/12)*4))*BS607)+AE607*BS607)*AV607)</f>
        <v>0</v>
      </c>
      <c r="CS607">
        <f t="shared" si="571"/>
        <v>0</v>
      </c>
      <c r="CT607">
        <f t="shared" si="572"/>
        <v>7207.0933329999998</v>
      </c>
      <c r="CU607">
        <f t="shared" si="573"/>
        <v>0</v>
      </c>
      <c r="CV607">
        <f t="shared" si="574"/>
        <v>11.333333333333334</v>
      </c>
      <c r="CW607">
        <f t="shared" si="575"/>
        <v>0</v>
      </c>
      <c r="CX607">
        <f t="shared" si="576"/>
        <v>0</v>
      </c>
      <c r="CY607">
        <f t="shared" si="577"/>
        <v>5044.9629999999997</v>
      </c>
      <c r="CZ607">
        <f t="shared" si="578"/>
        <v>720.70899999999995</v>
      </c>
      <c r="DC607" t="s">
        <v>3</v>
      </c>
      <c r="DD607" t="s">
        <v>477</v>
      </c>
      <c r="DE607" t="s">
        <v>477</v>
      </c>
      <c r="DF607" t="s">
        <v>477</v>
      </c>
      <c r="DG607" t="s">
        <v>477</v>
      </c>
      <c r="DH607" t="s">
        <v>3</v>
      </c>
      <c r="DI607" t="s">
        <v>477</v>
      </c>
      <c r="DJ607" t="s">
        <v>477</v>
      </c>
      <c r="DK607" t="s">
        <v>3</v>
      </c>
      <c r="DL607" t="s">
        <v>3</v>
      </c>
      <c r="DM607" t="s">
        <v>3</v>
      </c>
      <c r="DN607">
        <v>0</v>
      </c>
      <c r="DO607">
        <v>0</v>
      </c>
      <c r="DP607">
        <v>1</v>
      </c>
      <c r="DQ607">
        <v>1</v>
      </c>
      <c r="DU607">
        <v>1013</v>
      </c>
      <c r="DV607" t="s">
        <v>534</v>
      </c>
      <c r="DW607" t="s">
        <v>534</v>
      </c>
      <c r="DX607">
        <v>1</v>
      </c>
      <c r="DZ607" t="s">
        <v>3</v>
      </c>
      <c r="EA607" t="s">
        <v>3</v>
      </c>
      <c r="EB607" t="s">
        <v>3</v>
      </c>
      <c r="EC607" t="s">
        <v>3</v>
      </c>
      <c r="EE607">
        <v>1441815344</v>
      </c>
      <c r="EF607">
        <v>1</v>
      </c>
      <c r="EG607" t="s">
        <v>22</v>
      </c>
      <c r="EH607">
        <v>0</v>
      </c>
      <c r="EI607" t="s">
        <v>3</v>
      </c>
      <c r="EJ607">
        <v>4</v>
      </c>
      <c r="EK607">
        <v>0</v>
      </c>
      <c r="EL607" t="s">
        <v>23</v>
      </c>
      <c r="EM607" t="s">
        <v>24</v>
      </c>
      <c r="EO607" t="s">
        <v>3</v>
      </c>
      <c r="EQ607">
        <v>1049600</v>
      </c>
      <c r="ER607">
        <v>22408.73</v>
      </c>
      <c r="ES607">
        <v>787.45</v>
      </c>
      <c r="ET607">
        <v>0</v>
      </c>
      <c r="EU607">
        <v>0</v>
      </c>
      <c r="EV607">
        <v>21621.279999999999</v>
      </c>
      <c r="EW607">
        <v>34</v>
      </c>
      <c r="EX607">
        <v>0</v>
      </c>
      <c r="EY607">
        <v>0</v>
      </c>
      <c r="FQ607">
        <v>0</v>
      </c>
      <c r="FR607">
        <f t="shared" si="579"/>
        <v>0</v>
      </c>
      <c r="FS607">
        <v>0</v>
      </c>
      <c r="FX607">
        <v>70</v>
      </c>
      <c r="FY607">
        <v>10</v>
      </c>
      <c r="GA607" t="s">
        <v>3</v>
      </c>
      <c r="GD607">
        <v>0</v>
      </c>
      <c r="GF607">
        <v>-673921919</v>
      </c>
      <c r="GG607">
        <v>2</v>
      </c>
      <c r="GH607">
        <v>1</v>
      </c>
      <c r="GI607">
        <v>-2</v>
      </c>
      <c r="GJ607">
        <v>0</v>
      </c>
      <c r="GK607">
        <f>ROUND(R607*(R12)/100,2)</f>
        <v>0</v>
      </c>
      <c r="GL607">
        <f t="shared" si="580"/>
        <v>0</v>
      </c>
      <c r="GM607">
        <f t="shared" si="581"/>
        <v>13235.24</v>
      </c>
      <c r="GN607">
        <f t="shared" si="582"/>
        <v>0</v>
      </c>
      <c r="GO607">
        <f t="shared" si="583"/>
        <v>0</v>
      </c>
      <c r="GP607">
        <f t="shared" si="584"/>
        <v>13235.24</v>
      </c>
      <c r="GR607">
        <v>0</v>
      </c>
      <c r="GS607">
        <v>3</v>
      </c>
      <c r="GT607">
        <v>0</v>
      </c>
      <c r="GU607" t="s">
        <v>3</v>
      </c>
      <c r="GV607">
        <f t="shared" si="585"/>
        <v>0</v>
      </c>
      <c r="GW607">
        <v>1</v>
      </c>
      <c r="GX607">
        <f t="shared" si="586"/>
        <v>0</v>
      </c>
      <c r="HA607">
        <v>0</v>
      </c>
      <c r="HB607">
        <v>0</v>
      </c>
      <c r="HC607">
        <f t="shared" si="587"/>
        <v>0</v>
      </c>
      <c r="HE607" t="s">
        <v>3</v>
      </c>
      <c r="HF607" t="s">
        <v>3</v>
      </c>
      <c r="HM607" t="s">
        <v>3</v>
      </c>
      <c r="HN607" t="s">
        <v>3</v>
      </c>
      <c r="HO607" t="s">
        <v>3</v>
      </c>
      <c r="HP607" t="s">
        <v>3</v>
      </c>
      <c r="HQ607" t="s">
        <v>3</v>
      </c>
      <c r="IK607">
        <v>0</v>
      </c>
    </row>
    <row r="608" spans="1:245" x14ac:dyDescent="0.2">
      <c r="A608">
        <v>17</v>
      </c>
      <c r="B608">
        <v>1</v>
      </c>
      <c r="D608">
        <f>ROW(EtalonRes!A535)</f>
        <v>535</v>
      </c>
      <c r="E608" t="s">
        <v>3</v>
      </c>
      <c r="F608" t="s">
        <v>536</v>
      </c>
      <c r="G608" t="s">
        <v>537</v>
      </c>
      <c r="H608" t="s">
        <v>534</v>
      </c>
      <c r="I608">
        <v>2</v>
      </c>
      <c r="J608">
        <v>0</v>
      </c>
      <c r="K608">
        <v>2</v>
      </c>
      <c r="O608">
        <f t="shared" si="555"/>
        <v>17581.72</v>
      </c>
      <c r="P608">
        <f t="shared" si="556"/>
        <v>623.85</v>
      </c>
      <c r="Q608">
        <f t="shared" si="557"/>
        <v>0</v>
      </c>
      <c r="R608">
        <f t="shared" si="558"/>
        <v>0</v>
      </c>
      <c r="S608">
        <f t="shared" si="559"/>
        <v>16957.87</v>
      </c>
      <c r="T608">
        <f t="shared" si="560"/>
        <v>0</v>
      </c>
      <c r="U608">
        <f t="shared" si="561"/>
        <v>26.666666666666668</v>
      </c>
      <c r="V608">
        <f t="shared" si="562"/>
        <v>0</v>
      </c>
      <c r="W608">
        <f t="shared" si="563"/>
        <v>0</v>
      </c>
      <c r="X608">
        <f t="shared" si="564"/>
        <v>11870.51</v>
      </c>
      <c r="Y608">
        <f t="shared" si="565"/>
        <v>1695.79</v>
      </c>
      <c r="AA608">
        <v>-1</v>
      </c>
      <c r="AB608">
        <f t="shared" si="566"/>
        <v>8790.8566659999997</v>
      </c>
      <c r="AC608">
        <f>ROUND((((ES608/12)*4)),6)</f>
        <v>311.92333300000001</v>
      </c>
      <c r="AD608">
        <f>ROUND((((((ET608/12)*4))-(((EU608/12)*4)))+AE608),6)</f>
        <v>0</v>
      </c>
      <c r="AE608">
        <f>ROUND((((EU608/12)*4)),6)</f>
        <v>0</v>
      </c>
      <c r="AF608">
        <f>ROUND((((EV608/12)*4)),6)</f>
        <v>8478.9333330000009</v>
      </c>
      <c r="AG608">
        <f t="shared" si="567"/>
        <v>0</v>
      </c>
      <c r="AH608">
        <f>(((EW608/12)*4))</f>
        <v>13.333333333333334</v>
      </c>
      <c r="AI608">
        <f>(((EX608/12)*4))</f>
        <v>0</v>
      </c>
      <c r="AJ608">
        <f t="shared" si="568"/>
        <v>0</v>
      </c>
      <c r="AK608">
        <v>26372.57</v>
      </c>
      <c r="AL608">
        <v>935.77</v>
      </c>
      <c r="AM608">
        <v>0</v>
      </c>
      <c r="AN608">
        <v>0</v>
      </c>
      <c r="AO608">
        <v>25436.799999999999</v>
      </c>
      <c r="AP608">
        <v>0</v>
      </c>
      <c r="AQ608">
        <v>40</v>
      </c>
      <c r="AR608">
        <v>0</v>
      </c>
      <c r="AS608">
        <v>0</v>
      </c>
      <c r="AT608">
        <v>70</v>
      </c>
      <c r="AU608">
        <v>10</v>
      </c>
      <c r="AV608">
        <v>1</v>
      </c>
      <c r="AW608">
        <v>1</v>
      </c>
      <c r="AZ608">
        <v>1</v>
      </c>
      <c r="BA608">
        <v>1</v>
      </c>
      <c r="BB608">
        <v>1</v>
      </c>
      <c r="BC608">
        <v>1</v>
      </c>
      <c r="BD608" t="s">
        <v>3</v>
      </c>
      <c r="BE608" t="s">
        <v>3</v>
      </c>
      <c r="BF608" t="s">
        <v>3</v>
      </c>
      <c r="BG608" t="s">
        <v>3</v>
      </c>
      <c r="BH608">
        <v>0</v>
      </c>
      <c r="BI608">
        <v>4</v>
      </c>
      <c r="BJ608" t="s">
        <v>538</v>
      </c>
      <c r="BM608">
        <v>0</v>
      </c>
      <c r="BN608">
        <v>0</v>
      </c>
      <c r="BO608" t="s">
        <v>3</v>
      </c>
      <c r="BP608">
        <v>0</v>
      </c>
      <c r="BQ608">
        <v>1</v>
      </c>
      <c r="BR608">
        <v>0</v>
      </c>
      <c r="BS608">
        <v>1</v>
      </c>
      <c r="BT608">
        <v>1</v>
      </c>
      <c r="BU608">
        <v>1</v>
      </c>
      <c r="BV608">
        <v>1</v>
      </c>
      <c r="BW608">
        <v>1</v>
      </c>
      <c r="BX608">
        <v>1</v>
      </c>
      <c r="BY608" t="s">
        <v>3</v>
      </c>
      <c r="BZ608">
        <v>70</v>
      </c>
      <c r="CA608">
        <v>10</v>
      </c>
      <c r="CB608" t="s">
        <v>3</v>
      </c>
      <c r="CE608">
        <v>0</v>
      </c>
      <c r="CF608">
        <v>0</v>
      </c>
      <c r="CG608">
        <v>0</v>
      </c>
      <c r="CM608">
        <v>0</v>
      </c>
      <c r="CN608" t="s">
        <v>3</v>
      </c>
      <c r="CO608">
        <v>0</v>
      </c>
      <c r="CP608">
        <f t="shared" si="569"/>
        <v>17581.719999999998</v>
      </c>
      <c r="CQ608">
        <f t="shared" si="570"/>
        <v>311.92333300000001</v>
      </c>
      <c r="CR608">
        <f>((((((ET608/12)*4))*BB608-(((EU608/12)*4))*BS608)+AE608*BS608)*AV608)</f>
        <v>0</v>
      </c>
      <c r="CS608">
        <f t="shared" si="571"/>
        <v>0</v>
      </c>
      <c r="CT608">
        <f t="shared" si="572"/>
        <v>8478.9333330000009</v>
      </c>
      <c r="CU608">
        <f t="shared" si="573"/>
        <v>0</v>
      </c>
      <c r="CV608">
        <f t="shared" si="574"/>
        <v>13.333333333333334</v>
      </c>
      <c r="CW608">
        <f t="shared" si="575"/>
        <v>0</v>
      </c>
      <c r="CX608">
        <f t="shared" si="576"/>
        <v>0</v>
      </c>
      <c r="CY608">
        <f t="shared" si="577"/>
        <v>11870.508999999998</v>
      </c>
      <c r="CZ608">
        <f t="shared" si="578"/>
        <v>1695.7869999999998</v>
      </c>
      <c r="DC608" t="s">
        <v>3</v>
      </c>
      <c r="DD608" t="s">
        <v>477</v>
      </c>
      <c r="DE608" t="s">
        <v>477</v>
      </c>
      <c r="DF608" t="s">
        <v>477</v>
      </c>
      <c r="DG608" t="s">
        <v>477</v>
      </c>
      <c r="DH608" t="s">
        <v>3</v>
      </c>
      <c r="DI608" t="s">
        <v>477</v>
      </c>
      <c r="DJ608" t="s">
        <v>477</v>
      </c>
      <c r="DK608" t="s">
        <v>3</v>
      </c>
      <c r="DL608" t="s">
        <v>3</v>
      </c>
      <c r="DM608" t="s">
        <v>3</v>
      </c>
      <c r="DN608">
        <v>0</v>
      </c>
      <c r="DO608">
        <v>0</v>
      </c>
      <c r="DP608">
        <v>1</v>
      </c>
      <c r="DQ608">
        <v>1</v>
      </c>
      <c r="DU608">
        <v>1013</v>
      </c>
      <c r="DV608" t="s">
        <v>534</v>
      </c>
      <c r="DW608" t="s">
        <v>534</v>
      </c>
      <c r="DX608">
        <v>1</v>
      </c>
      <c r="DZ608" t="s">
        <v>3</v>
      </c>
      <c r="EA608" t="s">
        <v>3</v>
      </c>
      <c r="EB608" t="s">
        <v>3</v>
      </c>
      <c r="EC608" t="s">
        <v>3</v>
      </c>
      <c r="EE608">
        <v>1441815344</v>
      </c>
      <c r="EF608">
        <v>1</v>
      </c>
      <c r="EG608" t="s">
        <v>22</v>
      </c>
      <c r="EH608">
        <v>0</v>
      </c>
      <c r="EI608" t="s">
        <v>3</v>
      </c>
      <c r="EJ608">
        <v>4</v>
      </c>
      <c r="EK608">
        <v>0</v>
      </c>
      <c r="EL608" t="s">
        <v>23</v>
      </c>
      <c r="EM608" t="s">
        <v>24</v>
      </c>
      <c r="EO608" t="s">
        <v>3</v>
      </c>
      <c r="EQ608">
        <v>1049600</v>
      </c>
      <c r="ER608">
        <v>26372.57</v>
      </c>
      <c r="ES608">
        <v>935.77</v>
      </c>
      <c r="ET608">
        <v>0</v>
      </c>
      <c r="EU608">
        <v>0</v>
      </c>
      <c r="EV608">
        <v>25436.799999999999</v>
      </c>
      <c r="EW608">
        <v>40</v>
      </c>
      <c r="EX608">
        <v>0</v>
      </c>
      <c r="EY608">
        <v>0</v>
      </c>
      <c r="FQ608">
        <v>0</v>
      </c>
      <c r="FR608">
        <f t="shared" si="579"/>
        <v>0</v>
      </c>
      <c r="FS608">
        <v>0</v>
      </c>
      <c r="FX608">
        <v>70</v>
      </c>
      <c r="FY608">
        <v>10</v>
      </c>
      <c r="GA608" t="s">
        <v>3</v>
      </c>
      <c r="GD608">
        <v>0</v>
      </c>
      <c r="GF608">
        <v>1594744078</v>
      </c>
      <c r="GG608">
        <v>2</v>
      </c>
      <c r="GH608">
        <v>1</v>
      </c>
      <c r="GI608">
        <v>-2</v>
      </c>
      <c r="GJ608">
        <v>0</v>
      </c>
      <c r="GK608">
        <f>ROUND(R608*(R12)/100,2)</f>
        <v>0</v>
      </c>
      <c r="GL608">
        <f t="shared" si="580"/>
        <v>0</v>
      </c>
      <c r="GM608">
        <f t="shared" si="581"/>
        <v>31148.02</v>
      </c>
      <c r="GN608">
        <f t="shared" si="582"/>
        <v>0</v>
      </c>
      <c r="GO608">
        <f t="shared" si="583"/>
        <v>0</v>
      </c>
      <c r="GP608">
        <f t="shared" si="584"/>
        <v>31148.02</v>
      </c>
      <c r="GR608">
        <v>0</v>
      </c>
      <c r="GS608">
        <v>3</v>
      </c>
      <c r="GT608">
        <v>0</v>
      </c>
      <c r="GU608" t="s">
        <v>3</v>
      </c>
      <c r="GV608">
        <f t="shared" si="585"/>
        <v>0</v>
      </c>
      <c r="GW608">
        <v>1</v>
      </c>
      <c r="GX608">
        <f t="shared" si="586"/>
        <v>0</v>
      </c>
      <c r="HA608">
        <v>0</v>
      </c>
      <c r="HB608">
        <v>0</v>
      </c>
      <c r="HC608">
        <f t="shared" si="587"/>
        <v>0</v>
      </c>
      <c r="HE608" t="s">
        <v>3</v>
      </c>
      <c r="HF608" t="s">
        <v>3</v>
      </c>
      <c r="HM608" t="s">
        <v>3</v>
      </c>
      <c r="HN608" t="s">
        <v>3</v>
      </c>
      <c r="HO608" t="s">
        <v>3</v>
      </c>
      <c r="HP608" t="s">
        <v>3</v>
      </c>
      <c r="HQ608" t="s">
        <v>3</v>
      </c>
      <c r="IK608">
        <v>0</v>
      </c>
    </row>
    <row r="609" spans="1:245" x14ac:dyDescent="0.2">
      <c r="A609">
        <v>17</v>
      </c>
      <c r="B609">
        <v>1</v>
      </c>
      <c r="D609">
        <f>ROW(EtalonRes!A537)</f>
        <v>537</v>
      </c>
      <c r="E609" t="s">
        <v>539</v>
      </c>
      <c r="F609" t="s">
        <v>540</v>
      </c>
      <c r="G609" t="s">
        <v>541</v>
      </c>
      <c r="H609" t="s">
        <v>20</v>
      </c>
      <c r="I609">
        <v>2</v>
      </c>
      <c r="J609">
        <v>0</v>
      </c>
      <c r="K609">
        <v>2</v>
      </c>
      <c r="O609">
        <f t="shared" si="555"/>
        <v>717.54</v>
      </c>
      <c r="P609">
        <f t="shared" si="556"/>
        <v>1.26</v>
      </c>
      <c r="Q609">
        <f t="shared" si="557"/>
        <v>0</v>
      </c>
      <c r="R609">
        <f t="shared" si="558"/>
        <v>0</v>
      </c>
      <c r="S609">
        <f t="shared" si="559"/>
        <v>716.28</v>
      </c>
      <c r="T609">
        <f t="shared" si="560"/>
        <v>0</v>
      </c>
      <c r="U609">
        <f t="shared" si="561"/>
        <v>1.1599999999999999</v>
      </c>
      <c r="V609">
        <f t="shared" si="562"/>
        <v>0</v>
      </c>
      <c r="W609">
        <f t="shared" si="563"/>
        <v>0</v>
      </c>
      <c r="X609">
        <f t="shared" si="564"/>
        <v>501.4</v>
      </c>
      <c r="Y609">
        <f t="shared" si="565"/>
        <v>71.63</v>
      </c>
      <c r="AA609">
        <v>1472506909</v>
      </c>
      <c r="AB609">
        <f t="shared" si="566"/>
        <v>358.77</v>
      </c>
      <c r="AC609">
        <f>ROUND((ES609),6)</f>
        <v>0.63</v>
      </c>
      <c r="AD609">
        <f>ROUND((((ET609)-(EU609))+AE609),6)</f>
        <v>0</v>
      </c>
      <c r="AE609">
        <f>ROUND((EU609),6)</f>
        <v>0</v>
      </c>
      <c r="AF609">
        <f>ROUND((EV609),6)</f>
        <v>358.14</v>
      </c>
      <c r="AG609">
        <f t="shared" si="567"/>
        <v>0</v>
      </c>
      <c r="AH609">
        <f>(EW609)</f>
        <v>0.57999999999999996</v>
      </c>
      <c r="AI609">
        <f>(EX609)</f>
        <v>0</v>
      </c>
      <c r="AJ609">
        <f t="shared" si="568"/>
        <v>0</v>
      </c>
      <c r="AK609">
        <v>358.77</v>
      </c>
      <c r="AL609">
        <v>0.63</v>
      </c>
      <c r="AM609">
        <v>0</v>
      </c>
      <c r="AN609">
        <v>0</v>
      </c>
      <c r="AO609">
        <v>358.14</v>
      </c>
      <c r="AP609">
        <v>0</v>
      </c>
      <c r="AQ609">
        <v>0.57999999999999996</v>
      </c>
      <c r="AR609">
        <v>0</v>
      </c>
      <c r="AS609">
        <v>0</v>
      </c>
      <c r="AT609">
        <v>70</v>
      </c>
      <c r="AU609">
        <v>10</v>
      </c>
      <c r="AV609">
        <v>1</v>
      </c>
      <c r="AW609">
        <v>1</v>
      </c>
      <c r="AZ609">
        <v>1</v>
      </c>
      <c r="BA609">
        <v>1</v>
      </c>
      <c r="BB609">
        <v>1</v>
      </c>
      <c r="BC609">
        <v>1</v>
      </c>
      <c r="BD609" t="s">
        <v>3</v>
      </c>
      <c r="BE609" t="s">
        <v>3</v>
      </c>
      <c r="BF609" t="s">
        <v>3</v>
      </c>
      <c r="BG609" t="s">
        <v>3</v>
      </c>
      <c r="BH609">
        <v>0</v>
      </c>
      <c r="BI609">
        <v>4</v>
      </c>
      <c r="BJ609" t="s">
        <v>542</v>
      </c>
      <c r="BM609">
        <v>0</v>
      </c>
      <c r="BN609">
        <v>0</v>
      </c>
      <c r="BO609" t="s">
        <v>3</v>
      </c>
      <c r="BP609">
        <v>0</v>
      </c>
      <c r="BQ609">
        <v>1</v>
      </c>
      <c r="BR609">
        <v>0</v>
      </c>
      <c r="BS609">
        <v>1</v>
      </c>
      <c r="BT609">
        <v>1</v>
      </c>
      <c r="BU609">
        <v>1</v>
      </c>
      <c r="BV609">
        <v>1</v>
      </c>
      <c r="BW609">
        <v>1</v>
      </c>
      <c r="BX609">
        <v>1</v>
      </c>
      <c r="BY609" t="s">
        <v>3</v>
      </c>
      <c r="BZ609">
        <v>70</v>
      </c>
      <c r="CA609">
        <v>10</v>
      </c>
      <c r="CB609" t="s">
        <v>3</v>
      </c>
      <c r="CE609">
        <v>0</v>
      </c>
      <c r="CF609">
        <v>0</v>
      </c>
      <c r="CG609">
        <v>0</v>
      </c>
      <c r="CM609">
        <v>0</v>
      </c>
      <c r="CN609" t="s">
        <v>3</v>
      </c>
      <c r="CO609">
        <v>0</v>
      </c>
      <c r="CP609">
        <f t="shared" si="569"/>
        <v>717.54</v>
      </c>
      <c r="CQ609">
        <f t="shared" si="570"/>
        <v>0.63</v>
      </c>
      <c r="CR609">
        <f>((((ET609)*BB609-(EU609)*BS609)+AE609*BS609)*AV609)</f>
        <v>0</v>
      </c>
      <c r="CS609">
        <f t="shared" si="571"/>
        <v>0</v>
      </c>
      <c r="CT609">
        <f t="shared" si="572"/>
        <v>358.14</v>
      </c>
      <c r="CU609">
        <f t="shared" si="573"/>
        <v>0</v>
      </c>
      <c r="CV609">
        <f t="shared" si="574"/>
        <v>0.57999999999999996</v>
      </c>
      <c r="CW609">
        <f t="shared" si="575"/>
        <v>0</v>
      </c>
      <c r="CX609">
        <f t="shared" si="576"/>
        <v>0</v>
      </c>
      <c r="CY609">
        <f t="shared" si="577"/>
        <v>501.39599999999996</v>
      </c>
      <c r="CZ609">
        <f t="shared" si="578"/>
        <v>71.627999999999986</v>
      </c>
      <c r="DC609" t="s">
        <v>3</v>
      </c>
      <c r="DD609" t="s">
        <v>3</v>
      </c>
      <c r="DE609" t="s">
        <v>3</v>
      </c>
      <c r="DF609" t="s">
        <v>3</v>
      </c>
      <c r="DG609" t="s">
        <v>3</v>
      </c>
      <c r="DH609" t="s">
        <v>3</v>
      </c>
      <c r="DI609" t="s">
        <v>3</v>
      </c>
      <c r="DJ609" t="s">
        <v>3</v>
      </c>
      <c r="DK609" t="s">
        <v>3</v>
      </c>
      <c r="DL609" t="s">
        <v>3</v>
      </c>
      <c r="DM609" t="s">
        <v>3</v>
      </c>
      <c r="DN609">
        <v>0</v>
      </c>
      <c r="DO609">
        <v>0</v>
      </c>
      <c r="DP609">
        <v>1</v>
      </c>
      <c r="DQ609">
        <v>1</v>
      </c>
      <c r="DU609">
        <v>16987630</v>
      </c>
      <c r="DV609" t="s">
        <v>20</v>
      </c>
      <c r="DW609" t="s">
        <v>20</v>
      </c>
      <c r="DX609">
        <v>1</v>
      </c>
      <c r="DZ609" t="s">
        <v>3</v>
      </c>
      <c r="EA609" t="s">
        <v>3</v>
      </c>
      <c r="EB609" t="s">
        <v>3</v>
      </c>
      <c r="EC609" t="s">
        <v>3</v>
      </c>
      <c r="EE609">
        <v>1441815344</v>
      </c>
      <c r="EF609">
        <v>1</v>
      </c>
      <c r="EG609" t="s">
        <v>22</v>
      </c>
      <c r="EH609">
        <v>0</v>
      </c>
      <c r="EI609" t="s">
        <v>3</v>
      </c>
      <c r="EJ609">
        <v>4</v>
      </c>
      <c r="EK609">
        <v>0</v>
      </c>
      <c r="EL609" t="s">
        <v>23</v>
      </c>
      <c r="EM609" t="s">
        <v>24</v>
      </c>
      <c r="EO609" t="s">
        <v>3</v>
      </c>
      <c r="EQ609">
        <v>0</v>
      </c>
      <c r="ER609">
        <v>358.77</v>
      </c>
      <c r="ES609">
        <v>0.63</v>
      </c>
      <c r="ET609">
        <v>0</v>
      </c>
      <c r="EU609">
        <v>0</v>
      </c>
      <c r="EV609">
        <v>358.14</v>
      </c>
      <c r="EW609">
        <v>0.57999999999999996</v>
      </c>
      <c r="EX609">
        <v>0</v>
      </c>
      <c r="EY609">
        <v>0</v>
      </c>
      <c r="FQ609">
        <v>0</v>
      </c>
      <c r="FR609">
        <f t="shared" si="579"/>
        <v>0</v>
      </c>
      <c r="FS609">
        <v>0</v>
      </c>
      <c r="FX609">
        <v>70</v>
      </c>
      <c r="FY609">
        <v>10</v>
      </c>
      <c r="GA609" t="s">
        <v>3</v>
      </c>
      <c r="GD609">
        <v>0</v>
      </c>
      <c r="GF609">
        <v>-1603277612</v>
      </c>
      <c r="GG609">
        <v>2</v>
      </c>
      <c r="GH609">
        <v>1</v>
      </c>
      <c r="GI609">
        <v>-2</v>
      </c>
      <c r="GJ609">
        <v>0</v>
      </c>
      <c r="GK609">
        <f>ROUND(R609*(R12)/100,2)</f>
        <v>0</v>
      </c>
      <c r="GL609">
        <f t="shared" si="580"/>
        <v>0</v>
      </c>
      <c r="GM609">
        <f t="shared" si="581"/>
        <v>1290.57</v>
      </c>
      <c r="GN609">
        <f t="shared" si="582"/>
        <v>0</v>
      </c>
      <c r="GO609">
        <f t="shared" si="583"/>
        <v>0</v>
      </c>
      <c r="GP609">
        <f t="shared" si="584"/>
        <v>1290.57</v>
      </c>
      <c r="GR609">
        <v>0</v>
      </c>
      <c r="GS609">
        <v>3</v>
      </c>
      <c r="GT609">
        <v>0</v>
      </c>
      <c r="GU609" t="s">
        <v>3</v>
      </c>
      <c r="GV609">
        <f t="shared" si="585"/>
        <v>0</v>
      </c>
      <c r="GW609">
        <v>1</v>
      </c>
      <c r="GX609">
        <f t="shared" si="586"/>
        <v>0</v>
      </c>
      <c r="HA609">
        <v>0</v>
      </c>
      <c r="HB609">
        <v>0</v>
      </c>
      <c r="HC609">
        <f t="shared" si="587"/>
        <v>0</v>
      </c>
      <c r="HE609" t="s">
        <v>3</v>
      </c>
      <c r="HF609" t="s">
        <v>3</v>
      </c>
      <c r="HM609" t="s">
        <v>3</v>
      </c>
      <c r="HN609" t="s">
        <v>3</v>
      </c>
      <c r="HO609" t="s">
        <v>3</v>
      </c>
      <c r="HP609" t="s">
        <v>3</v>
      </c>
      <c r="HQ609" t="s">
        <v>3</v>
      </c>
      <c r="IK609">
        <v>0</v>
      </c>
    </row>
    <row r="610" spans="1:245" x14ac:dyDescent="0.2">
      <c r="A610">
        <v>17</v>
      </c>
      <c r="B610">
        <v>1</v>
      </c>
      <c r="D610">
        <f>ROW(EtalonRes!A540)</f>
        <v>540</v>
      </c>
      <c r="E610" t="s">
        <v>3</v>
      </c>
      <c r="F610" t="s">
        <v>543</v>
      </c>
      <c r="G610" t="s">
        <v>544</v>
      </c>
      <c r="H610" t="s">
        <v>511</v>
      </c>
      <c r="I610">
        <f>ROUND(6,9)</f>
        <v>6</v>
      </c>
      <c r="J610">
        <v>0</v>
      </c>
      <c r="K610">
        <f>ROUND(6,9)</f>
        <v>6</v>
      </c>
      <c r="O610">
        <f t="shared" si="555"/>
        <v>22296.240000000002</v>
      </c>
      <c r="P610">
        <f t="shared" si="556"/>
        <v>16.920000000000002</v>
      </c>
      <c r="Q610">
        <f t="shared" si="557"/>
        <v>62.82</v>
      </c>
      <c r="R610">
        <f t="shared" si="558"/>
        <v>0.9</v>
      </c>
      <c r="S610">
        <f t="shared" si="559"/>
        <v>22216.5</v>
      </c>
      <c r="T610">
        <f t="shared" si="560"/>
        <v>0</v>
      </c>
      <c r="U610">
        <f t="shared" si="561"/>
        <v>33.480000000000004</v>
      </c>
      <c r="V610">
        <f t="shared" si="562"/>
        <v>0</v>
      </c>
      <c r="W610">
        <f t="shared" si="563"/>
        <v>0</v>
      </c>
      <c r="X610">
        <f t="shared" si="564"/>
        <v>15551.55</v>
      </c>
      <c r="Y610">
        <f t="shared" si="565"/>
        <v>2221.65</v>
      </c>
      <c r="AA610">
        <v>-1</v>
      </c>
      <c r="AB610">
        <f t="shared" si="566"/>
        <v>3716.04</v>
      </c>
      <c r="AC610">
        <f>ROUND(((ES610*3)),6)</f>
        <v>2.82</v>
      </c>
      <c r="AD610">
        <f>ROUND(((((ET610*3))-((EU610*3)))+AE610),6)</f>
        <v>10.47</v>
      </c>
      <c r="AE610">
        <f>ROUND(((EU610*3)),6)</f>
        <v>0.15</v>
      </c>
      <c r="AF610">
        <f>ROUND(((EV610*3)),6)</f>
        <v>3702.75</v>
      </c>
      <c r="AG610">
        <f t="shared" si="567"/>
        <v>0</v>
      </c>
      <c r="AH610">
        <f>((EW610*3))</f>
        <v>5.58</v>
      </c>
      <c r="AI610">
        <f>((EX610*3))</f>
        <v>0</v>
      </c>
      <c r="AJ610">
        <f t="shared" si="568"/>
        <v>0</v>
      </c>
      <c r="AK610">
        <v>1238.68</v>
      </c>
      <c r="AL610">
        <v>0.94</v>
      </c>
      <c r="AM610">
        <v>3.49</v>
      </c>
      <c r="AN610">
        <v>0.05</v>
      </c>
      <c r="AO610">
        <v>1234.25</v>
      </c>
      <c r="AP610">
        <v>0</v>
      </c>
      <c r="AQ610">
        <v>1.86</v>
      </c>
      <c r="AR610">
        <v>0</v>
      </c>
      <c r="AS610">
        <v>0</v>
      </c>
      <c r="AT610">
        <v>70</v>
      </c>
      <c r="AU610">
        <v>10</v>
      </c>
      <c r="AV610">
        <v>1</v>
      </c>
      <c r="AW610">
        <v>1</v>
      </c>
      <c r="AZ610">
        <v>1</v>
      </c>
      <c r="BA610">
        <v>1</v>
      </c>
      <c r="BB610">
        <v>1</v>
      </c>
      <c r="BC610">
        <v>1</v>
      </c>
      <c r="BD610" t="s">
        <v>3</v>
      </c>
      <c r="BE610" t="s">
        <v>3</v>
      </c>
      <c r="BF610" t="s">
        <v>3</v>
      </c>
      <c r="BG610" t="s">
        <v>3</v>
      </c>
      <c r="BH610">
        <v>0</v>
      </c>
      <c r="BI610">
        <v>4</v>
      </c>
      <c r="BJ610" t="s">
        <v>545</v>
      </c>
      <c r="BM610">
        <v>0</v>
      </c>
      <c r="BN610">
        <v>0</v>
      </c>
      <c r="BO610" t="s">
        <v>3</v>
      </c>
      <c r="BP610">
        <v>0</v>
      </c>
      <c r="BQ610">
        <v>1</v>
      </c>
      <c r="BR610">
        <v>0</v>
      </c>
      <c r="BS610">
        <v>1</v>
      </c>
      <c r="BT610">
        <v>1</v>
      </c>
      <c r="BU610">
        <v>1</v>
      </c>
      <c r="BV610">
        <v>1</v>
      </c>
      <c r="BW610">
        <v>1</v>
      </c>
      <c r="BX610">
        <v>1</v>
      </c>
      <c r="BY610" t="s">
        <v>3</v>
      </c>
      <c r="BZ610">
        <v>70</v>
      </c>
      <c r="CA610">
        <v>10</v>
      </c>
      <c r="CB610" t="s">
        <v>3</v>
      </c>
      <c r="CE610">
        <v>0</v>
      </c>
      <c r="CF610">
        <v>0</v>
      </c>
      <c r="CG610">
        <v>0</v>
      </c>
      <c r="CM610">
        <v>0</v>
      </c>
      <c r="CN610" t="s">
        <v>3</v>
      </c>
      <c r="CO610">
        <v>0</v>
      </c>
      <c r="CP610">
        <f t="shared" si="569"/>
        <v>22296.240000000002</v>
      </c>
      <c r="CQ610">
        <f t="shared" si="570"/>
        <v>2.82</v>
      </c>
      <c r="CR610">
        <f>(((((ET610*3))*BB610-((EU610*3))*BS610)+AE610*BS610)*AV610)</f>
        <v>10.47</v>
      </c>
      <c r="CS610">
        <f t="shared" si="571"/>
        <v>0.15</v>
      </c>
      <c r="CT610">
        <f t="shared" si="572"/>
        <v>3702.75</v>
      </c>
      <c r="CU610">
        <f t="shared" si="573"/>
        <v>0</v>
      </c>
      <c r="CV610">
        <f t="shared" si="574"/>
        <v>5.58</v>
      </c>
      <c r="CW610">
        <f t="shared" si="575"/>
        <v>0</v>
      </c>
      <c r="CX610">
        <f t="shared" si="576"/>
        <v>0</v>
      </c>
      <c r="CY610">
        <f t="shared" si="577"/>
        <v>15551.55</v>
      </c>
      <c r="CZ610">
        <f t="shared" si="578"/>
        <v>2221.65</v>
      </c>
      <c r="DC610" t="s">
        <v>3</v>
      </c>
      <c r="DD610" t="s">
        <v>516</v>
      </c>
      <c r="DE610" t="s">
        <v>516</v>
      </c>
      <c r="DF610" t="s">
        <v>516</v>
      </c>
      <c r="DG610" t="s">
        <v>516</v>
      </c>
      <c r="DH610" t="s">
        <v>3</v>
      </c>
      <c r="DI610" t="s">
        <v>516</v>
      </c>
      <c r="DJ610" t="s">
        <v>516</v>
      </c>
      <c r="DK610" t="s">
        <v>3</v>
      </c>
      <c r="DL610" t="s">
        <v>3</v>
      </c>
      <c r="DM610" t="s">
        <v>3</v>
      </c>
      <c r="DN610">
        <v>0</v>
      </c>
      <c r="DO610">
        <v>0</v>
      </c>
      <c r="DP610">
        <v>1</v>
      </c>
      <c r="DQ610">
        <v>1</v>
      </c>
      <c r="DU610">
        <v>1013</v>
      </c>
      <c r="DV610" t="s">
        <v>511</v>
      </c>
      <c r="DW610" t="s">
        <v>511</v>
      </c>
      <c r="DX610">
        <v>1</v>
      </c>
      <c r="DZ610" t="s">
        <v>3</v>
      </c>
      <c r="EA610" t="s">
        <v>3</v>
      </c>
      <c r="EB610" t="s">
        <v>3</v>
      </c>
      <c r="EC610" t="s">
        <v>3</v>
      </c>
      <c r="EE610">
        <v>1441815344</v>
      </c>
      <c r="EF610">
        <v>1</v>
      </c>
      <c r="EG610" t="s">
        <v>22</v>
      </c>
      <c r="EH610">
        <v>0</v>
      </c>
      <c r="EI610" t="s">
        <v>3</v>
      </c>
      <c r="EJ610">
        <v>4</v>
      </c>
      <c r="EK610">
        <v>0</v>
      </c>
      <c r="EL610" t="s">
        <v>23</v>
      </c>
      <c r="EM610" t="s">
        <v>24</v>
      </c>
      <c r="EO610" t="s">
        <v>3</v>
      </c>
      <c r="EQ610">
        <v>1024</v>
      </c>
      <c r="ER610">
        <v>1238.68</v>
      </c>
      <c r="ES610">
        <v>0.94</v>
      </c>
      <c r="ET610">
        <v>3.49</v>
      </c>
      <c r="EU610">
        <v>0.05</v>
      </c>
      <c r="EV610">
        <v>1234.25</v>
      </c>
      <c r="EW610">
        <v>1.86</v>
      </c>
      <c r="EX610">
        <v>0</v>
      </c>
      <c r="EY610">
        <v>0</v>
      </c>
      <c r="FQ610">
        <v>0</v>
      </c>
      <c r="FR610">
        <f t="shared" si="579"/>
        <v>0</v>
      </c>
      <c r="FS610">
        <v>0</v>
      </c>
      <c r="FX610">
        <v>70</v>
      </c>
      <c r="FY610">
        <v>10</v>
      </c>
      <c r="GA610" t="s">
        <v>3</v>
      </c>
      <c r="GD610">
        <v>0</v>
      </c>
      <c r="GF610">
        <v>1840343037</v>
      </c>
      <c r="GG610">
        <v>2</v>
      </c>
      <c r="GH610">
        <v>1</v>
      </c>
      <c r="GI610">
        <v>-2</v>
      </c>
      <c r="GJ610">
        <v>0</v>
      </c>
      <c r="GK610">
        <f>ROUND(R610*(R12)/100,2)</f>
        <v>0.97</v>
      </c>
      <c r="GL610">
        <f t="shared" si="580"/>
        <v>0</v>
      </c>
      <c r="GM610">
        <f t="shared" si="581"/>
        <v>40070.410000000003</v>
      </c>
      <c r="GN610">
        <f t="shared" si="582"/>
        <v>0</v>
      </c>
      <c r="GO610">
        <f t="shared" si="583"/>
        <v>0</v>
      </c>
      <c r="GP610">
        <f t="shared" si="584"/>
        <v>40070.410000000003</v>
      </c>
      <c r="GR610">
        <v>0</v>
      </c>
      <c r="GS610">
        <v>3</v>
      </c>
      <c r="GT610">
        <v>0</v>
      </c>
      <c r="GU610" t="s">
        <v>3</v>
      </c>
      <c r="GV610">
        <f t="shared" si="585"/>
        <v>0</v>
      </c>
      <c r="GW610">
        <v>1</v>
      </c>
      <c r="GX610">
        <f t="shared" si="586"/>
        <v>0</v>
      </c>
      <c r="HA610">
        <v>0</v>
      </c>
      <c r="HB610">
        <v>0</v>
      </c>
      <c r="HC610">
        <f t="shared" si="587"/>
        <v>0</v>
      </c>
      <c r="HE610" t="s">
        <v>3</v>
      </c>
      <c r="HF610" t="s">
        <v>3</v>
      </c>
      <c r="HM610" t="s">
        <v>3</v>
      </c>
      <c r="HN610" t="s">
        <v>3</v>
      </c>
      <c r="HO610" t="s">
        <v>3</v>
      </c>
      <c r="HP610" t="s">
        <v>3</v>
      </c>
      <c r="HQ610" t="s">
        <v>3</v>
      </c>
      <c r="IK610">
        <v>0</v>
      </c>
    </row>
    <row r="611" spans="1:245" x14ac:dyDescent="0.2">
      <c r="A611">
        <v>17</v>
      </c>
      <c r="B611">
        <v>1</v>
      </c>
      <c r="D611">
        <f>ROW(EtalonRes!A543)</f>
        <v>543</v>
      </c>
      <c r="E611" t="s">
        <v>546</v>
      </c>
      <c r="F611" t="s">
        <v>547</v>
      </c>
      <c r="G611" t="s">
        <v>548</v>
      </c>
      <c r="H611" t="s">
        <v>511</v>
      </c>
      <c r="I611">
        <v>6</v>
      </c>
      <c r="J611">
        <v>0</v>
      </c>
      <c r="K611">
        <v>6</v>
      </c>
      <c r="O611">
        <f t="shared" si="555"/>
        <v>9900.6</v>
      </c>
      <c r="P611">
        <f t="shared" si="556"/>
        <v>5.64</v>
      </c>
      <c r="Q611">
        <f t="shared" si="557"/>
        <v>20.94</v>
      </c>
      <c r="R611">
        <f t="shared" si="558"/>
        <v>0.3</v>
      </c>
      <c r="S611">
        <f t="shared" si="559"/>
        <v>9874.02</v>
      </c>
      <c r="T611">
        <f t="shared" si="560"/>
        <v>0</v>
      </c>
      <c r="U611">
        <f t="shared" si="561"/>
        <v>14.879999999999999</v>
      </c>
      <c r="V611">
        <f t="shared" si="562"/>
        <v>0</v>
      </c>
      <c r="W611">
        <f t="shared" si="563"/>
        <v>0</v>
      </c>
      <c r="X611">
        <f t="shared" si="564"/>
        <v>6911.81</v>
      </c>
      <c r="Y611">
        <f t="shared" si="565"/>
        <v>987.4</v>
      </c>
      <c r="AA611">
        <v>1472506909</v>
      </c>
      <c r="AB611">
        <f t="shared" si="566"/>
        <v>1650.1</v>
      </c>
      <c r="AC611">
        <f>ROUND((ES611),6)</f>
        <v>0.94</v>
      </c>
      <c r="AD611">
        <f>ROUND((((ET611)-(EU611))+AE611),6)</f>
        <v>3.49</v>
      </c>
      <c r="AE611">
        <f>ROUND((EU611),6)</f>
        <v>0.05</v>
      </c>
      <c r="AF611">
        <f>ROUND((EV611),6)</f>
        <v>1645.67</v>
      </c>
      <c r="AG611">
        <f t="shared" si="567"/>
        <v>0</v>
      </c>
      <c r="AH611">
        <f>(EW611)</f>
        <v>2.48</v>
      </c>
      <c r="AI611">
        <f>(EX611)</f>
        <v>0</v>
      </c>
      <c r="AJ611">
        <f t="shared" si="568"/>
        <v>0</v>
      </c>
      <c r="AK611">
        <v>1650.1</v>
      </c>
      <c r="AL611">
        <v>0.94</v>
      </c>
      <c r="AM611">
        <v>3.49</v>
      </c>
      <c r="AN611">
        <v>0.05</v>
      </c>
      <c r="AO611">
        <v>1645.67</v>
      </c>
      <c r="AP611">
        <v>0</v>
      </c>
      <c r="AQ611">
        <v>2.48</v>
      </c>
      <c r="AR611">
        <v>0</v>
      </c>
      <c r="AS611">
        <v>0</v>
      </c>
      <c r="AT611">
        <v>70</v>
      </c>
      <c r="AU611">
        <v>10</v>
      </c>
      <c r="AV611">
        <v>1</v>
      </c>
      <c r="AW611">
        <v>1</v>
      </c>
      <c r="AZ611">
        <v>1</v>
      </c>
      <c r="BA611">
        <v>1</v>
      </c>
      <c r="BB611">
        <v>1</v>
      </c>
      <c r="BC611">
        <v>1</v>
      </c>
      <c r="BD611" t="s">
        <v>3</v>
      </c>
      <c r="BE611" t="s">
        <v>3</v>
      </c>
      <c r="BF611" t="s">
        <v>3</v>
      </c>
      <c r="BG611" t="s">
        <v>3</v>
      </c>
      <c r="BH611">
        <v>0</v>
      </c>
      <c r="BI611">
        <v>4</v>
      </c>
      <c r="BJ611" t="s">
        <v>549</v>
      </c>
      <c r="BM611">
        <v>0</v>
      </c>
      <c r="BN611">
        <v>0</v>
      </c>
      <c r="BO611" t="s">
        <v>3</v>
      </c>
      <c r="BP611">
        <v>0</v>
      </c>
      <c r="BQ611">
        <v>1</v>
      </c>
      <c r="BR611">
        <v>0</v>
      </c>
      <c r="BS611">
        <v>1</v>
      </c>
      <c r="BT611">
        <v>1</v>
      </c>
      <c r="BU611">
        <v>1</v>
      </c>
      <c r="BV611">
        <v>1</v>
      </c>
      <c r="BW611">
        <v>1</v>
      </c>
      <c r="BX611">
        <v>1</v>
      </c>
      <c r="BY611" t="s">
        <v>3</v>
      </c>
      <c r="BZ611">
        <v>70</v>
      </c>
      <c r="CA611">
        <v>10</v>
      </c>
      <c r="CB611" t="s">
        <v>3</v>
      </c>
      <c r="CE611">
        <v>0</v>
      </c>
      <c r="CF611">
        <v>0</v>
      </c>
      <c r="CG611">
        <v>0</v>
      </c>
      <c r="CM611">
        <v>0</v>
      </c>
      <c r="CN611" t="s">
        <v>3</v>
      </c>
      <c r="CO611">
        <v>0</v>
      </c>
      <c r="CP611">
        <f t="shared" si="569"/>
        <v>9900.6</v>
      </c>
      <c r="CQ611">
        <f t="shared" si="570"/>
        <v>0.94</v>
      </c>
      <c r="CR611">
        <f>((((ET611)*BB611-(EU611)*BS611)+AE611*BS611)*AV611)</f>
        <v>3.49</v>
      </c>
      <c r="CS611">
        <f t="shared" si="571"/>
        <v>0.05</v>
      </c>
      <c r="CT611">
        <f t="shared" si="572"/>
        <v>1645.67</v>
      </c>
      <c r="CU611">
        <f t="shared" si="573"/>
        <v>0</v>
      </c>
      <c r="CV611">
        <f t="shared" si="574"/>
        <v>2.48</v>
      </c>
      <c r="CW611">
        <f t="shared" si="575"/>
        <v>0</v>
      </c>
      <c r="CX611">
        <f t="shared" si="576"/>
        <v>0</v>
      </c>
      <c r="CY611">
        <f t="shared" si="577"/>
        <v>6911.8140000000003</v>
      </c>
      <c r="CZ611">
        <f t="shared" si="578"/>
        <v>987.40200000000016</v>
      </c>
      <c r="DC611" t="s">
        <v>3</v>
      </c>
      <c r="DD611" t="s">
        <v>3</v>
      </c>
      <c r="DE611" t="s">
        <v>3</v>
      </c>
      <c r="DF611" t="s">
        <v>3</v>
      </c>
      <c r="DG611" t="s">
        <v>3</v>
      </c>
      <c r="DH611" t="s">
        <v>3</v>
      </c>
      <c r="DI611" t="s">
        <v>3</v>
      </c>
      <c r="DJ611" t="s">
        <v>3</v>
      </c>
      <c r="DK611" t="s">
        <v>3</v>
      </c>
      <c r="DL611" t="s">
        <v>3</v>
      </c>
      <c r="DM611" t="s">
        <v>3</v>
      </c>
      <c r="DN611">
        <v>0</v>
      </c>
      <c r="DO611">
        <v>0</v>
      </c>
      <c r="DP611">
        <v>1</v>
      </c>
      <c r="DQ611">
        <v>1</v>
      </c>
      <c r="DU611">
        <v>1013</v>
      </c>
      <c r="DV611" t="s">
        <v>511</v>
      </c>
      <c r="DW611" t="s">
        <v>511</v>
      </c>
      <c r="DX611">
        <v>1</v>
      </c>
      <c r="DZ611" t="s">
        <v>3</v>
      </c>
      <c r="EA611" t="s">
        <v>3</v>
      </c>
      <c r="EB611" t="s">
        <v>3</v>
      </c>
      <c r="EC611" t="s">
        <v>3</v>
      </c>
      <c r="EE611">
        <v>1441815344</v>
      </c>
      <c r="EF611">
        <v>1</v>
      </c>
      <c r="EG611" t="s">
        <v>22</v>
      </c>
      <c r="EH611">
        <v>0</v>
      </c>
      <c r="EI611" t="s">
        <v>3</v>
      </c>
      <c r="EJ611">
        <v>4</v>
      </c>
      <c r="EK611">
        <v>0</v>
      </c>
      <c r="EL611" t="s">
        <v>23</v>
      </c>
      <c r="EM611" t="s">
        <v>24</v>
      </c>
      <c r="EO611" t="s">
        <v>3</v>
      </c>
      <c r="EQ611">
        <v>0</v>
      </c>
      <c r="ER611">
        <v>1650.1</v>
      </c>
      <c r="ES611">
        <v>0.94</v>
      </c>
      <c r="ET611">
        <v>3.49</v>
      </c>
      <c r="EU611">
        <v>0.05</v>
      </c>
      <c r="EV611">
        <v>1645.67</v>
      </c>
      <c r="EW611">
        <v>2.48</v>
      </c>
      <c r="EX611">
        <v>0</v>
      </c>
      <c r="EY611">
        <v>0</v>
      </c>
      <c r="FQ611">
        <v>0</v>
      </c>
      <c r="FR611">
        <f t="shared" si="579"/>
        <v>0</v>
      </c>
      <c r="FS611">
        <v>0</v>
      </c>
      <c r="FX611">
        <v>70</v>
      </c>
      <c r="FY611">
        <v>10</v>
      </c>
      <c r="GA611" t="s">
        <v>3</v>
      </c>
      <c r="GD611">
        <v>0</v>
      </c>
      <c r="GF611">
        <v>-837754666</v>
      </c>
      <c r="GG611">
        <v>2</v>
      </c>
      <c r="GH611">
        <v>1</v>
      </c>
      <c r="GI611">
        <v>-2</v>
      </c>
      <c r="GJ611">
        <v>0</v>
      </c>
      <c r="GK611">
        <f>ROUND(R611*(R12)/100,2)</f>
        <v>0.32</v>
      </c>
      <c r="GL611">
        <f t="shared" si="580"/>
        <v>0</v>
      </c>
      <c r="GM611">
        <f t="shared" si="581"/>
        <v>17800.13</v>
      </c>
      <c r="GN611">
        <f t="shared" si="582"/>
        <v>0</v>
      </c>
      <c r="GO611">
        <f t="shared" si="583"/>
        <v>0</v>
      </c>
      <c r="GP611">
        <f t="shared" si="584"/>
        <v>17800.13</v>
      </c>
      <c r="GR611">
        <v>0</v>
      </c>
      <c r="GS611">
        <v>3</v>
      </c>
      <c r="GT611">
        <v>0</v>
      </c>
      <c r="GU611" t="s">
        <v>3</v>
      </c>
      <c r="GV611">
        <f t="shared" si="585"/>
        <v>0</v>
      </c>
      <c r="GW611">
        <v>1</v>
      </c>
      <c r="GX611">
        <f t="shared" si="586"/>
        <v>0</v>
      </c>
      <c r="HA611">
        <v>0</v>
      </c>
      <c r="HB611">
        <v>0</v>
      </c>
      <c r="HC611">
        <f t="shared" si="587"/>
        <v>0</v>
      </c>
      <c r="HE611" t="s">
        <v>3</v>
      </c>
      <c r="HF611" t="s">
        <v>3</v>
      </c>
      <c r="HM611" t="s">
        <v>3</v>
      </c>
      <c r="HN611" t="s">
        <v>3</v>
      </c>
      <c r="HO611" t="s">
        <v>3</v>
      </c>
      <c r="HP611" t="s">
        <v>3</v>
      </c>
      <c r="HQ611" t="s">
        <v>3</v>
      </c>
      <c r="IK611">
        <v>0</v>
      </c>
    </row>
    <row r="612" spans="1:245" x14ac:dyDescent="0.2">
      <c r="A612">
        <v>17</v>
      </c>
      <c r="B612">
        <v>1</v>
      </c>
      <c r="D612">
        <f>ROW(EtalonRes!A545)</f>
        <v>545</v>
      </c>
      <c r="E612" t="s">
        <v>3</v>
      </c>
      <c r="F612" t="s">
        <v>550</v>
      </c>
      <c r="G612" t="s">
        <v>551</v>
      </c>
      <c r="H612" t="s">
        <v>511</v>
      </c>
      <c r="I612">
        <v>6</v>
      </c>
      <c r="J612">
        <v>0</v>
      </c>
      <c r="K612">
        <v>6</v>
      </c>
      <c r="O612">
        <f t="shared" si="555"/>
        <v>9322.2000000000007</v>
      </c>
      <c r="P612">
        <f t="shared" si="556"/>
        <v>5.58</v>
      </c>
      <c r="Q612">
        <f t="shared" si="557"/>
        <v>0</v>
      </c>
      <c r="R612">
        <f t="shared" si="558"/>
        <v>0</v>
      </c>
      <c r="S612">
        <f t="shared" si="559"/>
        <v>9316.6200000000008</v>
      </c>
      <c r="T612">
        <f t="shared" si="560"/>
        <v>0</v>
      </c>
      <c r="U612">
        <f t="shared" si="561"/>
        <v>14.04</v>
      </c>
      <c r="V612">
        <f t="shared" si="562"/>
        <v>0</v>
      </c>
      <c r="W612">
        <f t="shared" si="563"/>
        <v>0</v>
      </c>
      <c r="X612">
        <f t="shared" si="564"/>
        <v>6521.63</v>
      </c>
      <c r="Y612">
        <f t="shared" si="565"/>
        <v>931.66</v>
      </c>
      <c r="AA612">
        <v>-1</v>
      </c>
      <c r="AB612">
        <f t="shared" si="566"/>
        <v>1553.7</v>
      </c>
      <c r="AC612">
        <f>ROUND(((ES612*3)),6)</f>
        <v>0.93</v>
      </c>
      <c r="AD612">
        <f>ROUND(((((ET612*3))-((EU612*3)))+AE612),6)</f>
        <v>0</v>
      </c>
      <c r="AE612">
        <f>ROUND(((EU612*3)),6)</f>
        <v>0</v>
      </c>
      <c r="AF612">
        <f>ROUND(((EV612*3)),6)</f>
        <v>1552.77</v>
      </c>
      <c r="AG612">
        <f t="shared" si="567"/>
        <v>0</v>
      </c>
      <c r="AH612">
        <f>((EW612*3))</f>
        <v>2.34</v>
      </c>
      <c r="AI612">
        <f>((EX612*3))</f>
        <v>0</v>
      </c>
      <c r="AJ612">
        <f t="shared" si="568"/>
        <v>0</v>
      </c>
      <c r="AK612">
        <v>517.9</v>
      </c>
      <c r="AL612">
        <v>0.31</v>
      </c>
      <c r="AM612">
        <v>0</v>
      </c>
      <c r="AN612">
        <v>0</v>
      </c>
      <c r="AO612">
        <v>517.59</v>
      </c>
      <c r="AP612">
        <v>0</v>
      </c>
      <c r="AQ612">
        <v>0.78</v>
      </c>
      <c r="AR612">
        <v>0</v>
      </c>
      <c r="AS612">
        <v>0</v>
      </c>
      <c r="AT612">
        <v>70</v>
      </c>
      <c r="AU612">
        <v>10</v>
      </c>
      <c r="AV612">
        <v>1</v>
      </c>
      <c r="AW612">
        <v>1</v>
      </c>
      <c r="AZ612">
        <v>1</v>
      </c>
      <c r="BA612">
        <v>1</v>
      </c>
      <c r="BB612">
        <v>1</v>
      </c>
      <c r="BC612">
        <v>1</v>
      </c>
      <c r="BD612" t="s">
        <v>3</v>
      </c>
      <c r="BE612" t="s">
        <v>3</v>
      </c>
      <c r="BF612" t="s">
        <v>3</v>
      </c>
      <c r="BG612" t="s">
        <v>3</v>
      </c>
      <c r="BH612">
        <v>0</v>
      </c>
      <c r="BI612">
        <v>4</v>
      </c>
      <c r="BJ612" t="s">
        <v>552</v>
      </c>
      <c r="BM612">
        <v>0</v>
      </c>
      <c r="BN612">
        <v>0</v>
      </c>
      <c r="BO612" t="s">
        <v>3</v>
      </c>
      <c r="BP612">
        <v>0</v>
      </c>
      <c r="BQ612">
        <v>1</v>
      </c>
      <c r="BR612">
        <v>0</v>
      </c>
      <c r="BS612">
        <v>1</v>
      </c>
      <c r="BT612">
        <v>1</v>
      </c>
      <c r="BU612">
        <v>1</v>
      </c>
      <c r="BV612">
        <v>1</v>
      </c>
      <c r="BW612">
        <v>1</v>
      </c>
      <c r="BX612">
        <v>1</v>
      </c>
      <c r="BY612" t="s">
        <v>3</v>
      </c>
      <c r="BZ612">
        <v>70</v>
      </c>
      <c r="CA612">
        <v>10</v>
      </c>
      <c r="CB612" t="s">
        <v>3</v>
      </c>
      <c r="CE612">
        <v>0</v>
      </c>
      <c r="CF612">
        <v>0</v>
      </c>
      <c r="CG612">
        <v>0</v>
      </c>
      <c r="CM612">
        <v>0</v>
      </c>
      <c r="CN612" t="s">
        <v>3</v>
      </c>
      <c r="CO612">
        <v>0</v>
      </c>
      <c r="CP612">
        <f t="shared" si="569"/>
        <v>9322.2000000000007</v>
      </c>
      <c r="CQ612">
        <f t="shared" si="570"/>
        <v>0.93</v>
      </c>
      <c r="CR612">
        <f>(((((ET612*3))*BB612-((EU612*3))*BS612)+AE612*BS612)*AV612)</f>
        <v>0</v>
      </c>
      <c r="CS612">
        <f t="shared" si="571"/>
        <v>0</v>
      </c>
      <c r="CT612">
        <f t="shared" si="572"/>
        <v>1552.77</v>
      </c>
      <c r="CU612">
        <f t="shared" si="573"/>
        <v>0</v>
      </c>
      <c r="CV612">
        <f t="shared" si="574"/>
        <v>2.34</v>
      </c>
      <c r="CW612">
        <f t="shared" si="575"/>
        <v>0</v>
      </c>
      <c r="CX612">
        <f t="shared" si="576"/>
        <v>0</v>
      </c>
      <c r="CY612">
        <f t="shared" si="577"/>
        <v>6521.634</v>
      </c>
      <c r="CZ612">
        <f t="shared" si="578"/>
        <v>931.66200000000015</v>
      </c>
      <c r="DC612" t="s">
        <v>3</v>
      </c>
      <c r="DD612" t="s">
        <v>516</v>
      </c>
      <c r="DE612" t="s">
        <v>516</v>
      </c>
      <c r="DF612" t="s">
        <v>516</v>
      </c>
      <c r="DG612" t="s">
        <v>516</v>
      </c>
      <c r="DH612" t="s">
        <v>3</v>
      </c>
      <c r="DI612" t="s">
        <v>516</v>
      </c>
      <c r="DJ612" t="s">
        <v>516</v>
      </c>
      <c r="DK612" t="s">
        <v>3</v>
      </c>
      <c r="DL612" t="s">
        <v>3</v>
      </c>
      <c r="DM612" t="s">
        <v>3</v>
      </c>
      <c r="DN612">
        <v>0</v>
      </c>
      <c r="DO612">
        <v>0</v>
      </c>
      <c r="DP612">
        <v>1</v>
      </c>
      <c r="DQ612">
        <v>1</v>
      </c>
      <c r="DU612">
        <v>1013</v>
      </c>
      <c r="DV612" t="s">
        <v>511</v>
      </c>
      <c r="DW612" t="s">
        <v>511</v>
      </c>
      <c r="DX612">
        <v>1</v>
      </c>
      <c r="DZ612" t="s">
        <v>3</v>
      </c>
      <c r="EA612" t="s">
        <v>3</v>
      </c>
      <c r="EB612" t="s">
        <v>3</v>
      </c>
      <c r="EC612" t="s">
        <v>3</v>
      </c>
      <c r="EE612">
        <v>1441815344</v>
      </c>
      <c r="EF612">
        <v>1</v>
      </c>
      <c r="EG612" t="s">
        <v>22</v>
      </c>
      <c r="EH612">
        <v>0</v>
      </c>
      <c r="EI612" t="s">
        <v>3</v>
      </c>
      <c r="EJ612">
        <v>4</v>
      </c>
      <c r="EK612">
        <v>0</v>
      </c>
      <c r="EL612" t="s">
        <v>23</v>
      </c>
      <c r="EM612" t="s">
        <v>24</v>
      </c>
      <c r="EO612" t="s">
        <v>3</v>
      </c>
      <c r="EQ612">
        <v>1024</v>
      </c>
      <c r="ER612">
        <v>517.9</v>
      </c>
      <c r="ES612">
        <v>0.31</v>
      </c>
      <c r="ET612">
        <v>0</v>
      </c>
      <c r="EU612">
        <v>0</v>
      </c>
      <c r="EV612">
        <v>517.59</v>
      </c>
      <c r="EW612">
        <v>0.78</v>
      </c>
      <c r="EX612">
        <v>0</v>
      </c>
      <c r="EY612">
        <v>0</v>
      </c>
      <c r="FQ612">
        <v>0</v>
      </c>
      <c r="FR612">
        <f t="shared" si="579"/>
        <v>0</v>
      </c>
      <c r="FS612">
        <v>0</v>
      </c>
      <c r="FX612">
        <v>70</v>
      </c>
      <c r="FY612">
        <v>10</v>
      </c>
      <c r="GA612" t="s">
        <v>3</v>
      </c>
      <c r="GD612">
        <v>0</v>
      </c>
      <c r="GF612">
        <v>1835675401</v>
      </c>
      <c r="GG612">
        <v>2</v>
      </c>
      <c r="GH612">
        <v>1</v>
      </c>
      <c r="GI612">
        <v>-2</v>
      </c>
      <c r="GJ612">
        <v>0</v>
      </c>
      <c r="GK612">
        <f>ROUND(R612*(R12)/100,2)</f>
        <v>0</v>
      </c>
      <c r="GL612">
        <f t="shared" si="580"/>
        <v>0</v>
      </c>
      <c r="GM612">
        <f t="shared" si="581"/>
        <v>16775.490000000002</v>
      </c>
      <c r="GN612">
        <f t="shared" si="582"/>
        <v>0</v>
      </c>
      <c r="GO612">
        <f t="shared" si="583"/>
        <v>0</v>
      </c>
      <c r="GP612">
        <f t="shared" si="584"/>
        <v>16775.490000000002</v>
      </c>
      <c r="GR612">
        <v>0</v>
      </c>
      <c r="GS612">
        <v>3</v>
      </c>
      <c r="GT612">
        <v>0</v>
      </c>
      <c r="GU612" t="s">
        <v>3</v>
      </c>
      <c r="GV612">
        <f t="shared" si="585"/>
        <v>0</v>
      </c>
      <c r="GW612">
        <v>1</v>
      </c>
      <c r="GX612">
        <f t="shared" si="586"/>
        <v>0</v>
      </c>
      <c r="HA612">
        <v>0</v>
      </c>
      <c r="HB612">
        <v>0</v>
      </c>
      <c r="HC612">
        <f t="shared" si="587"/>
        <v>0</v>
      </c>
      <c r="HE612" t="s">
        <v>3</v>
      </c>
      <c r="HF612" t="s">
        <v>3</v>
      </c>
      <c r="HM612" t="s">
        <v>3</v>
      </c>
      <c r="HN612" t="s">
        <v>3</v>
      </c>
      <c r="HO612" t="s">
        <v>3</v>
      </c>
      <c r="HP612" t="s">
        <v>3</v>
      </c>
      <c r="HQ612" t="s">
        <v>3</v>
      </c>
      <c r="IK612">
        <v>0</v>
      </c>
    </row>
    <row r="613" spans="1:245" x14ac:dyDescent="0.2">
      <c r="A613">
        <v>17</v>
      </c>
      <c r="B613">
        <v>1</v>
      </c>
      <c r="D613">
        <f>ROW(EtalonRes!A549)</f>
        <v>549</v>
      </c>
      <c r="E613" t="s">
        <v>553</v>
      </c>
      <c r="F613" t="s">
        <v>554</v>
      </c>
      <c r="G613" t="s">
        <v>555</v>
      </c>
      <c r="H613" t="s">
        <v>511</v>
      </c>
      <c r="I613">
        <v>6</v>
      </c>
      <c r="J613">
        <v>0</v>
      </c>
      <c r="K613">
        <v>6</v>
      </c>
      <c r="O613">
        <f t="shared" si="555"/>
        <v>5668.86</v>
      </c>
      <c r="P613">
        <f t="shared" si="556"/>
        <v>4.4400000000000004</v>
      </c>
      <c r="Q613">
        <f t="shared" si="557"/>
        <v>10.74</v>
      </c>
      <c r="R613">
        <f t="shared" si="558"/>
        <v>0.12</v>
      </c>
      <c r="S613">
        <f t="shared" si="559"/>
        <v>5653.68</v>
      </c>
      <c r="T613">
        <f t="shared" si="560"/>
        <v>0</v>
      </c>
      <c r="U613">
        <f t="shared" si="561"/>
        <v>8.52</v>
      </c>
      <c r="V613">
        <f t="shared" si="562"/>
        <v>0</v>
      </c>
      <c r="W613">
        <f t="shared" si="563"/>
        <v>0</v>
      </c>
      <c r="X613">
        <f t="shared" si="564"/>
        <v>3957.58</v>
      </c>
      <c r="Y613">
        <f t="shared" si="565"/>
        <v>565.37</v>
      </c>
      <c r="AA613">
        <v>1472506909</v>
      </c>
      <c r="AB613">
        <f t="shared" si="566"/>
        <v>944.81</v>
      </c>
      <c r="AC613">
        <f>ROUND((ES613),6)</f>
        <v>0.74</v>
      </c>
      <c r="AD613">
        <f>ROUND((((ET613)-(EU613))+AE613),6)</f>
        <v>1.79</v>
      </c>
      <c r="AE613">
        <f>ROUND((EU613),6)</f>
        <v>0.02</v>
      </c>
      <c r="AF613">
        <f>ROUND((EV613),6)</f>
        <v>942.28</v>
      </c>
      <c r="AG613">
        <f t="shared" si="567"/>
        <v>0</v>
      </c>
      <c r="AH613">
        <f>(EW613)</f>
        <v>1.42</v>
      </c>
      <c r="AI613">
        <f>(EX613)</f>
        <v>0</v>
      </c>
      <c r="AJ613">
        <f t="shared" si="568"/>
        <v>0</v>
      </c>
      <c r="AK613">
        <v>944.81</v>
      </c>
      <c r="AL613">
        <v>0.74</v>
      </c>
      <c r="AM613">
        <v>1.79</v>
      </c>
      <c r="AN613">
        <v>0.02</v>
      </c>
      <c r="AO613">
        <v>942.28</v>
      </c>
      <c r="AP613">
        <v>0</v>
      </c>
      <c r="AQ613">
        <v>1.42</v>
      </c>
      <c r="AR613">
        <v>0</v>
      </c>
      <c r="AS613">
        <v>0</v>
      </c>
      <c r="AT613">
        <v>70</v>
      </c>
      <c r="AU613">
        <v>10</v>
      </c>
      <c r="AV613">
        <v>1</v>
      </c>
      <c r="AW613">
        <v>1</v>
      </c>
      <c r="AZ613">
        <v>1</v>
      </c>
      <c r="BA613">
        <v>1</v>
      </c>
      <c r="BB613">
        <v>1</v>
      </c>
      <c r="BC613">
        <v>1</v>
      </c>
      <c r="BD613" t="s">
        <v>3</v>
      </c>
      <c r="BE613" t="s">
        <v>3</v>
      </c>
      <c r="BF613" t="s">
        <v>3</v>
      </c>
      <c r="BG613" t="s">
        <v>3</v>
      </c>
      <c r="BH613">
        <v>0</v>
      </c>
      <c r="BI613">
        <v>4</v>
      </c>
      <c r="BJ613" t="s">
        <v>556</v>
      </c>
      <c r="BM613">
        <v>0</v>
      </c>
      <c r="BN613">
        <v>0</v>
      </c>
      <c r="BO613" t="s">
        <v>3</v>
      </c>
      <c r="BP613">
        <v>0</v>
      </c>
      <c r="BQ613">
        <v>1</v>
      </c>
      <c r="BR613">
        <v>0</v>
      </c>
      <c r="BS613">
        <v>1</v>
      </c>
      <c r="BT613">
        <v>1</v>
      </c>
      <c r="BU613">
        <v>1</v>
      </c>
      <c r="BV613">
        <v>1</v>
      </c>
      <c r="BW613">
        <v>1</v>
      </c>
      <c r="BX613">
        <v>1</v>
      </c>
      <c r="BY613" t="s">
        <v>3</v>
      </c>
      <c r="BZ613">
        <v>70</v>
      </c>
      <c r="CA613">
        <v>10</v>
      </c>
      <c r="CB613" t="s">
        <v>3</v>
      </c>
      <c r="CE613">
        <v>0</v>
      </c>
      <c r="CF613">
        <v>0</v>
      </c>
      <c r="CG613">
        <v>0</v>
      </c>
      <c r="CM613">
        <v>0</v>
      </c>
      <c r="CN613" t="s">
        <v>3</v>
      </c>
      <c r="CO613">
        <v>0</v>
      </c>
      <c r="CP613">
        <f t="shared" si="569"/>
        <v>5668.8600000000006</v>
      </c>
      <c r="CQ613">
        <f t="shared" si="570"/>
        <v>0.74</v>
      </c>
      <c r="CR613">
        <f>((((ET613)*BB613-(EU613)*BS613)+AE613*BS613)*AV613)</f>
        <v>1.79</v>
      </c>
      <c r="CS613">
        <f t="shared" si="571"/>
        <v>0.02</v>
      </c>
      <c r="CT613">
        <f t="shared" si="572"/>
        <v>942.28</v>
      </c>
      <c r="CU613">
        <f t="shared" si="573"/>
        <v>0</v>
      </c>
      <c r="CV613">
        <f t="shared" si="574"/>
        <v>1.42</v>
      </c>
      <c r="CW613">
        <f t="shared" si="575"/>
        <v>0</v>
      </c>
      <c r="CX613">
        <f t="shared" si="576"/>
        <v>0</v>
      </c>
      <c r="CY613">
        <f t="shared" si="577"/>
        <v>3957.5760000000005</v>
      </c>
      <c r="CZ613">
        <f t="shared" si="578"/>
        <v>565.36800000000005</v>
      </c>
      <c r="DC613" t="s">
        <v>3</v>
      </c>
      <c r="DD613" t="s">
        <v>3</v>
      </c>
      <c r="DE613" t="s">
        <v>3</v>
      </c>
      <c r="DF613" t="s">
        <v>3</v>
      </c>
      <c r="DG613" t="s">
        <v>3</v>
      </c>
      <c r="DH613" t="s">
        <v>3</v>
      </c>
      <c r="DI613" t="s">
        <v>3</v>
      </c>
      <c r="DJ613" t="s">
        <v>3</v>
      </c>
      <c r="DK613" t="s">
        <v>3</v>
      </c>
      <c r="DL613" t="s">
        <v>3</v>
      </c>
      <c r="DM613" t="s">
        <v>3</v>
      </c>
      <c r="DN613">
        <v>0</v>
      </c>
      <c r="DO613">
        <v>0</v>
      </c>
      <c r="DP613">
        <v>1</v>
      </c>
      <c r="DQ613">
        <v>1</v>
      </c>
      <c r="DU613">
        <v>1013</v>
      </c>
      <c r="DV613" t="s">
        <v>511</v>
      </c>
      <c r="DW613" t="s">
        <v>511</v>
      </c>
      <c r="DX613">
        <v>1</v>
      </c>
      <c r="DZ613" t="s">
        <v>3</v>
      </c>
      <c r="EA613" t="s">
        <v>3</v>
      </c>
      <c r="EB613" t="s">
        <v>3</v>
      </c>
      <c r="EC613" t="s">
        <v>3</v>
      </c>
      <c r="EE613">
        <v>1441815344</v>
      </c>
      <c r="EF613">
        <v>1</v>
      </c>
      <c r="EG613" t="s">
        <v>22</v>
      </c>
      <c r="EH613">
        <v>0</v>
      </c>
      <c r="EI613" t="s">
        <v>3</v>
      </c>
      <c r="EJ613">
        <v>4</v>
      </c>
      <c r="EK613">
        <v>0</v>
      </c>
      <c r="EL613" t="s">
        <v>23</v>
      </c>
      <c r="EM613" t="s">
        <v>24</v>
      </c>
      <c r="EO613" t="s">
        <v>3</v>
      </c>
      <c r="EQ613">
        <v>0</v>
      </c>
      <c r="ER613">
        <v>944.81</v>
      </c>
      <c r="ES613">
        <v>0.74</v>
      </c>
      <c r="ET613">
        <v>1.79</v>
      </c>
      <c r="EU613">
        <v>0.02</v>
      </c>
      <c r="EV613">
        <v>942.28</v>
      </c>
      <c r="EW613">
        <v>1.42</v>
      </c>
      <c r="EX613">
        <v>0</v>
      </c>
      <c r="EY613">
        <v>0</v>
      </c>
      <c r="FQ613">
        <v>0</v>
      </c>
      <c r="FR613">
        <f t="shared" si="579"/>
        <v>0</v>
      </c>
      <c r="FS613">
        <v>0</v>
      </c>
      <c r="FX613">
        <v>70</v>
      </c>
      <c r="FY613">
        <v>10</v>
      </c>
      <c r="GA613" t="s">
        <v>3</v>
      </c>
      <c r="GD613">
        <v>0</v>
      </c>
      <c r="GF613">
        <v>-1859605603</v>
      </c>
      <c r="GG613">
        <v>2</v>
      </c>
      <c r="GH613">
        <v>1</v>
      </c>
      <c r="GI613">
        <v>-2</v>
      </c>
      <c r="GJ613">
        <v>0</v>
      </c>
      <c r="GK613">
        <f>ROUND(R613*(R12)/100,2)</f>
        <v>0.13</v>
      </c>
      <c r="GL613">
        <f t="shared" si="580"/>
        <v>0</v>
      </c>
      <c r="GM613">
        <f t="shared" si="581"/>
        <v>10191.94</v>
      </c>
      <c r="GN613">
        <f t="shared" si="582"/>
        <v>0</v>
      </c>
      <c r="GO613">
        <f t="shared" si="583"/>
        <v>0</v>
      </c>
      <c r="GP613">
        <f t="shared" si="584"/>
        <v>10191.94</v>
      </c>
      <c r="GR613">
        <v>0</v>
      </c>
      <c r="GS613">
        <v>3</v>
      </c>
      <c r="GT613">
        <v>0</v>
      </c>
      <c r="GU613" t="s">
        <v>3</v>
      </c>
      <c r="GV613">
        <f t="shared" si="585"/>
        <v>0</v>
      </c>
      <c r="GW613">
        <v>1</v>
      </c>
      <c r="GX613">
        <f t="shared" si="586"/>
        <v>0</v>
      </c>
      <c r="HA613">
        <v>0</v>
      </c>
      <c r="HB613">
        <v>0</v>
      </c>
      <c r="HC613">
        <f t="shared" si="587"/>
        <v>0</v>
      </c>
      <c r="HE613" t="s">
        <v>3</v>
      </c>
      <c r="HF613" t="s">
        <v>3</v>
      </c>
      <c r="HM613" t="s">
        <v>3</v>
      </c>
      <c r="HN613" t="s">
        <v>3</v>
      </c>
      <c r="HO613" t="s">
        <v>3</v>
      </c>
      <c r="HP613" t="s">
        <v>3</v>
      </c>
      <c r="HQ613" t="s">
        <v>3</v>
      </c>
      <c r="IK613">
        <v>0</v>
      </c>
    </row>
    <row r="614" spans="1:245" x14ac:dyDescent="0.2">
      <c r="A614">
        <v>19</v>
      </c>
      <c r="B614">
        <v>1</v>
      </c>
      <c r="F614" t="s">
        <v>3</v>
      </c>
      <c r="G614" t="s">
        <v>498</v>
      </c>
      <c r="H614" t="s">
        <v>3</v>
      </c>
      <c r="AA614">
        <v>1</v>
      </c>
      <c r="IK614">
        <v>0</v>
      </c>
    </row>
    <row r="615" spans="1:245" x14ac:dyDescent="0.2">
      <c r="A615">
        <v>17</v>
      </c>
      <c r="B615">
        <v>1</v>
      </c>
      <c r="D615">
        <f>ROW(EtalonRes!A550)</f>
        <v>550</v>
      </c>
      <c r="E615" t="s">
        <v>3</v>
      </c>
      <c r="F615" t="s">
        <v>102</v>
      </c>
      <c r="G615" t="s">
        <v>103</v>
      </c>
      <c r="H615" t="s">
        <v>104</v>
      </c>
      <c r="I615">
        <f>ROUND((180+357+67+78+587+108)*0.25*0.1/100,9)</f>
        <v>0.34425</v>
      </c>
      <c r="J615">
        <v>0</v>
      </c>
      <c r="K615">
        <f>ROUND((180+357+67+78+587+108)*0.25*0.1/100,9)</f>
        <v>0.34425</v>
      </c>
      <c r="O615">
        <f t="shared" ref="O615:O624" si="588">ROUND(CP615,2)</f>
        <v>696.69</v>
      </c>
      <c r="P615">
        <f t="shared" ref="P615:P624" si="589">ROUND(CQ615*I615,2)</f>
        <v>0</v>
      </c>
      <c r="Q615">
        <f t="shared" ref="Q615:Q624" si="590">ROUND(CR615*I615,2)</f>
        <v>0</v>
      </c>
      <c r="R615">
        <f t="shared" ref="R615:R624" si="591">ROUND(CS615*I615,2)</f>
        <v>0</v>
      </c>
      <c r="S615">
        <f t="shared" ref="S615:S624" si="592">ROUND(CT615*I615,2)</f>
        <v>696.69</v>
      </c>
      <c r="T615">
        <f t="shared" ref="T615:T624" si="593">ROUND(CU615*I615,2)</f>
        <v>0</v>
      </c>
      <c r="U615">
        <f t="shared" ref="U615:U624" si="594">CV615*I615</f>
        <v>1.2393000000000001</v>
      </c>
      <c r="V615">
        <f t="shared" ref="V615:V624" si="595">CW615*I615</f>
        <v>0</v>
      </c>
      <c r="W615">
        <f t="shared" ref="W615:W624" si="596">ROUND(CX615*I615,2)</f>
        <v>0</v>
      </c>
      <c r="X615">
        <f t="shared" ref="X615:X624" si="597">ROUND(CY615,2)</f>
        <v>487.68</v>
      </c>
      <c r="Y615">
        <f t="shared" ref="Y615:Y624" si="598">ROUND(CZ615,2)</f>
        <v>69.67</v>
      </c>
      <c r="AA615">
        <v>-1</v>
      </c>
      <c r="AB615">
        <f t="shared" ref="AB615:AB624" si="599">ROUND((AC615+AD615+AF615),6)</f>
        <v>2023.8</v>
      </c>
      <c r="AC615">
        <f>ROUND(((ES615*4)),6)</f>
        <v>0</v>
      </c>
      <c r="AD615">
        <f>ROUND(((((ET615*4))-((EU615*4)))+AE615),6)</f>
        <v>0</v>
      </c>
      <c r="AE615">
        <f t="shared" ref="AE615:AF618" si="600">ROUND(((EU615*4)),6)</f>
        <v>0</v>
      </c>
      <c r="AF615">
        <f t="shared" si="600"/>
        <v>2023.8</v>
      </c>
      <c r="AG615">
        <f t="shared" ref="AG615:AG624" si="601">ROUND((AP615),6)</f>
        <v>0</v>
      </c>
      <c r="AH615">
        <f t="shared" ref="AH615:AI618" si="602">((EW615*4))</f>
        <v>3.6</v>
      </c>
      <c r="AI615">
        <f t="shared" si="602"/>
        <v>0</v>
      </c>
      <c r="AJ615">
        <f t="shared" ref="AJ615:AJ624" si="603">(AS615)</f>
        <v>0</v>
      </c>
      <c r="AK615">
        <v>505.95</v>
      </c>
      <c r="AL615">
        <v>0</v>
      </c>
      <c r="AM615">
        <v>0</v>
      </c>
      <c r="AN615">
        <v>0</v>
      </c>
      <c r="AO615">
        <v>505.95</v>
      </c>
      <c r="AP615">
        <v>0</v>
      </c>
      <c r="AQ615">
        <v>0.9</v>
      </c>
      <c r="AR615">
        <v>0</v>
      </c>
      <c r="AS615">
        <v>0</v>
      </c>
      <c r="AT615">
        <v>70</v>
      </c>
      <c r="AU615">
        <v>10</v>
      </c>
      <c r="AV615">
        <v>1</v>
      </c>
      <c r="AW615">
        <v>1</v>
      </c>
      <c r="AZ615">
        <v>1</v>
      </c>
      <c r="BA615">
        <v>1</v>
      </c>
      <c r="BB615">
        <v>1</v>
      </c>
      <c r="BC615">
        <v>1</v>
      </c>
      <c r="BD615" t="s">
        <v>3</v>
      </c>
      <c r="BE615" t="s">
        <v>3</v>
      </c>
      <c r="BF615" t="s">
        <v>3</v>
      </c>
      <c r="BG615" t="s">
        <v>3</v>
      </c>
      <c r="BH615">
        <v>0</v>
      </c>
      <c r="BI615">
        <v>4</v>
      </c>
      <c r="BJ615" t="s">
        <v>105</v>
      </c>
      <c r="BM615">
        <v>0</v>
      </c>
      <c r="BN615">
        <v>0</v>
      </c>
      <c r="BO615" t="s">
        <v>3</v>
      </c>
      <c r="BP615">
        <v>0</v>
      </c>
      <c r="BQ615">
        <v>1</v>
      </c>
      <c r="BR615">
        <v>0</v>
      </c>
      <c r="BS615">
        <v>1</v>
      </c>
      <c r="BT615">
        <v>1</v>
      </c>
      <c r="BU615">
        <v>1</v>
      </c>
      <c r="BV615">
        <v>1</v>
      </c>
      <c r="BW615">
        <v>1</v>
      </c>
      <c r="BX615">
        <v>1</v>
      </c>
      <c r="BY615" t="s">
        <v>3</v>
      </c>
      <c r="BZ615">
        <v>70</v>
      </c>
      <c r="CA615">
        <v>10</v>
      </c>
      <c r="CB615" t="s">
        <v>3</v>
      </c>
      <c r="CE615">
        <v>0</v>
      </c>
      <c r="CF615">
        <v>0</v>
      </c>
      <c r="CG615">
        <v>0</v>
      </c>
      <c r="CM615">
        <v>0</v>
      </c>
      <c r="CN615" t="s">
        <v>3</v>
      </c>
      <c r="CO615">
        <v>0</v>
      </c>
      <c r="CP615">
        <f t="shared" ref="CP615:CP624" si="604">(P615+Q615+S615)</f>
        <v>696.69</v>
      </c>
      <c r="CQ615">
        <f t="shared" ref="CQ615:CQ624" si="605">(AC615*BC615*AW615)</f>
        <v>0</v>
      </c>
      <c r="CR615">
        <f>(((((ET615*4))*BB615-((EU615*4))*BS615)+AE615*BS615)*AV615)</f>
        <v>0</v>
      </c>
      <c r="CS615">
        <f t="shared" ref="CS615:CS624" si="606">(AE615*BS615*AV615)</f>
        <v>0</v>
      </c>
      <c r="CT615">
        <f t="shared" ref="CT615:CT624" si="607">(AF615*BA615*AV615)</f>
        <v>2023.8</v>
      </c>
      <c r="CU615">
        <f t="shared" ref="CU615:CU624" si="608">AG615</f>
        <v>0</v>
      </c>
      <c r="CV615">
        <f t="shared" ref="CV615:CV624" si="609">(AH615*AV615)</f>
        <v>3.6</v>
      </c>
      <c r="CW615">
        <f t="shared" ref="CW615:CW624" si="610">AI615</f>
        <v>0</v>
      </c>
      <c r="CX615">
        <f t="shared" ref="CX615:CX624" si="611">AJ615</f>
        <v>0</v>
      </c>
      <c r="CY615">
        <f t="shared" ref="CY615:CY624" si="612">((S615*BZ615)/100)</f>
        <v>487.68300000000005</v>
      </c>
      <c r="CZ615">
        <f t="shared" ref="CZ615:CZ624" si="613">((S615*CA615)/100)</f>
        <v>69.669000000000011</v>
      </c>
      <c r="DC615" t="s">
        <v>3</v>
      </c>
      <c r="DD615" t="s">
        <v>106</v>
      </c>
      <c r="DE615" t="s">
        <v>106</v>
      </c>
      <c r="DF615" t="s">
        <v>106</v>
      </c>
      <c r="DG615" t="s">
        <v>106</v>
      </c>
      <c r="DH615" t="s">
        <v>3</v>
      </c>
      <c r="DI615" t="s">
        <v>106</v>
      </c>
      <c r="DJ615" t="s">
        <v>106</v>
      </c>
      <c r="DK615" t="s">
        <v>3</v>
      </c>
      <c r="DL615" t="s">
        <v>3</v>
      </c>
      <c r="DM615" t="s">
        <v>3</v>
      </c>
      <c r="DN615">
        <v>0</v>
      </c>
      <c r="DO615">
        <v>0</v>
      </c>
      <c r="DP615">
        <v>1</v>
      </c>
      <c r="DQ615">
        <v>1</v>
      </c>
      <c r="DU615">
        <v>1003</v>
      </c>
      <c r="DV615" t="s">
        <v>104</v>
      </c>
      <c r="DW615" t="s">
        <v>104</v>
      </c>
      <c r="DX615">
        <v>100</v>
      </c>
      <c r="DZ615" t="s">
        <v>3</v>
      </c>
      <c r="EA615" t="s">
        <v>3</v>
      </c>
      <c r="EB615" t="s">
        <v>3</v>
      </c>
      <c r="EC615" t="s">
        <v>3</v>
      </c>
      <c r="EE615">
        <v>1441815344</v>
      </c>
      <c r="EF615">
        <v>1</v>
      </c>
      <c r="EG615" t="s">
        <v>22</v>
      </c>
      <c r="EH615">
        <v>0</v>
      </c>
      <c r="EI615" t="s">
        <v>3</v>
      </c>
      <c r="EJ615">
        <v>4</v>
      </c>
      <c r="EK615">
        <v>0</v>
      </c>
      <c r="EL615" t="s">
        <v>23</v>
      </c>
      <c r="EM615" t="s">
        <v>24</v>
      </c>
      <c r="EO615" t="s">
        <v>3</v>
      </c>
      <c r="EQ615">
        <v>1024</v>
      </c>
      <c r="ER615">
        <v>505.95</v>
      </c>
      <c r="ES615">
        <v>0</v>
      </c>
      <c r="ET615">
        <v>0</v>
      </c>
      <c r="EU615">
        <v>0</v>
      </c>
      <c r="EV615">
        <v>505.95</v>
      </c>
      <c r="EW615">
        <v>0.9</v>
      </c>
      <c r="EX615">
        <v>0</v>
      </c>
      <c r="EY615">
        <v>0</v>
      </c>
      <c r="FQ615">
        <v>0</v>
      </c>
      <c r="FR615">
        <f t="shared" ref="FR615:FR624" si="614">ROUND(IF(BI615=3,GM615,0),2)</f>
        <v>0</v>
      </c>
      <c r="FS615">
        <v>0</v>
      </c>
      <c r="FX615">
        <v>70</v>
      </c>
      <c r="FY615">
        <v>10</v>
      </c>
      <c r="GA615" t="s">
        <v>3</v>
      </c>
      <c r="GD615">
        <v>0</v>
      </c>
      <c r="GF615">
        <v>-341239612</v>
      </c>
      <c r="GG615">
        <v>2</v>
      </c>
      <c r="GH615">
        <v>1</v>
      </c>
      <c r="GI615">
        <v>-2</v>
      </c>
      <c r="GJ615">
        <v>0</v>
      </c>
      <c r="GK615">
        <f>ROUND(R615*(R12)/100,2)</f>
        <v>0</v>
      </c>
      <c r="GL615">
        <f t="shared" ref="GL615:GL624" si="615">ROUND(IF(AND(BH615=3,BI615=3,FS615&lt;&gt;0),P615,0),2)</f>
        <v>0</v>
      </c>
      <c r="GM615">
        <f t="shared" ref="GM615:GM624" si="616">ROUND(O615+X615+Y615+GK615,2)+GX615</f>
        <v>1254.04</v>
      </c>
      <c r="GN615">
        <f t="shared" ref="GN615:GN624" si="617">IF(OR(BI615=0,BI615=1),GM615-GX615,0)</f>
        <v>0</v>
      </c>
      <c r="GO615">
        <f t="shared" ref="GO615:GO624" si="618">IF(BI615=2,GM615-GX615,0)</f>
        <v>0</v>
      </c>
      <c r="GP615">
        <f t="shared" ref="GP615:GP624" si="619">IF(BI615=4,GM615-GX615,0)</f>
        <v>1254.04</v>
      </c>
      <c r="GR615">
        <v>0</v>
      </c>
      <c r="GS615">
        <v>3</v>
      </c>
      <c r="GT615">
        <v>0</v>
      </c>
      <c r="GU615" t="s">
        <v>3</v>
      </c>
      <c r="GV615">
        <f t="shared" ref="GV615:GV624" si="620">ROUND((GT615),6)</f>
        <v>0</v>
      </c>
      <c r="GW615">
        <v>1</v>
      </c>
      <c r="GX615">
        <f t="shared" ref="GX615:GX624" si="621">ROUND(HC615*I615,2)</f>
        <v>0</v>
      </c>
      <c r="HA615">
        <v>0</v>
      </c>
      <c r="HB615">
        <v>0</v>
      </c>
      <c r="HC615">
        <f t="shared" ref="HC615:HC624" si="622">GV615*GW615</f>
        <v>0</v>
      </c>
      <c r="HE615" t="s">
        <v>3</v>
      </c>
      <c r="HF615" t="s">
        <v>3</v>
      </c>
      <c r="HM615" t="s">
        <v>3</v>
      </c>
      <c r="HN615" t="s">
        <v>3</v>
      </c>
      <c r="HO615" t="s">
        <v>3</v>
      </c>
      <c r="HP615" t="s">
        <v>3</v>
      </c>
      <c r="HQ615" t="s">
        <v>3</v>
      </c>
      <c r="IK615">
        <v>0</v>
      </c>
    </row>
    <row r="616" spans="1:245" x14ac:dyDescent="0.2">
      <c r="A616">
        <v>17</v>
      </c>
      <c r="B616">
        <v>1</v>
      </c>
      <c r="D616">
        <f>ROW(EtalonRes!A551)</f>
        <v>551</v>
      </c>
      <c r="E616" t="s">
        <v>3</v>
      </c>
      <c r="F616" t="s">
        <v>107</v>
      </c>
      <c r="G616" t="s">
        <v>108</v>
      </c>
      <c r="H616" t="s">
        <v>104</v>
      </c>
      <c r="I616">
        <f>ROUND((180+357+67+78+587+108)*0.75*0.1/100,9)</f>
        <v>1.0327500000000001</v>
      </c>
      <c r="J616">
        <v>0</v>
      </c>
      <c r="K616">
        <f>ROUND((180+357+67+78+587+108)*0.75*0.1/100,9)</f>
        <v>1.0327500000000001</v>
      </c>
      <c r="O616">
        <f t="shared" si="588"/>
        <v>6130.94</v>
      </c>
      <c r="P616">
        <f t="shared" si="589"/>
        <v>0</v>
      </c>
      <c r="Q616">
        <f t="shared" si="590"/>
        <v>0</v>
      </c>
      <c r="R616">
        <f t="shared" si="591"/>
        <v>0</v>
      </c>
      <c r="S616">
        <f t="shared" si="592"/>
        <v>6130.94</v>
      </c>
      <c r="T616">
        <f t="shared" si="593"/>
        <v>0</v>
      </c>
      <c r="U616">
        <f t="shared" si="594"/>
        <v>10.905840000000001</v>
      </c>
      <c r="V616">
        <f t="shared" si="595"/>
        <v>0</v>
      </c>
      <c r="W616">
        <f t="shared" si="596"/>
        <v>0</v>
      </c>
      <c r="X616">
        <f t="shared" si="597"/>
        <v>4291.66</v>
      </c>
      <c r="Y616">
        <f t="shared" si="598"/>
        <v>613.09</v>
      </c>
      <c r="AA616">
        <v>-1</v>
      </c>
      <c r="AB616">
        <f t="shared" si="599"/>
        <v>5936.52</v>
      </c>
      <c r="AC616">
        <f>ROUND(((ES616*4)),6)</f>
        <v>0</v>
      </c>
      <c r="AD616">
        <f>ROUND(((((ET616*4))-((EU616*4)))+AE616),6)</f>
        <v>0</v>
      </c>
      <c r="AE616">
        <f t="shared" si="600"/>
        <v>0</v>
      </c>
      <c r="AF616">
        <f t="shared" si="600"/>
        <v>5936.52</v>
      </c>
      <c r="AG616">
        <f t="shared" si="601"/>
        <v>0</v>
      </c>
      <c r="AH616">
        <f t="shared" si="602"/>
        <v>10.56</v>
      </c>
      <c r="AI616">
        <f t="shared" si="602"/>
        <v>0</v>
      </c>
      <c r="AJ616">
        <f t="shared" si="603"/>
        <v>0</v>
      </c>
      <c r="AK616">
        <v>1484.13</v>
      </c>
      <c r="AL616">
        <v>0</v>
      </c>
      <c r="AM616">
        <v>0</v>
      </c>
      <c r="AN616">
        <v>0</v>
      </c>
      <c r="AO616">
        <v>1484.13</v>
      </c>
      <c r="AP616">
        <v>0</v>
      </c>
      <c r="AQ616">
        <v>2.64</v>
      </c>
      <c r="AR616">
        <v>0</v>
      </c>
      <c r="AS616">
        <v>0</v>
      </c>
      <c r="AT616">
        <v>70</v>
      </c>
      <c r="AU616">
        <v>10</v>
      </c>
      <c r="AV616">
        <v>1</v>
      </c>
      <c r="AW616">
        <v>1</v>
      </c>
      <c r="AZ616">
        <v>1</v>
      </c>
      <c r="BA616">
        <v>1</v>
      </c>
      <c r="BB616">
        <v>1</v>
      </c>
      <c r="BC616">
        <v>1</v>
      </c>
      <c r="BD616" t="s">
        <v>3</v>
      </c>
      <c r="BE616" t="s">
        <v>3</v>
      </c>
      <c r="BF616" t="s">
        <v>3</v>
      </c>
      <c r="BG616" t="s">
        <v>3</v>
      </c>
      <c r="BH616">
        <v>0</v>
      </c>
      <c r="BI616">
        <v>4</v>
      </c>
      <c r="BJ616" t="s">
        <v>109</v>
      </c>
      <c r="BM616">
        <v>0</v>
      </c>
      <c r="BN616">
        <v>0</v>
      </c>
      <c r="BO616" t="s">
        <v>3</v>
      </c>
      <c r="BP616">
        <v>0</v>
      </c>
      <c r="BQ616">
        <v>1</v>
      </c>
      <c r="BR616">
        <v>0</v>
      </c>
      <c r="BS616">
        <v>1</v>
      </c>
      <c r="BT616">
        <v>1</v>
      </c>
      <c r="BU616">
        <v>1</v>
      </c>
      <c r="BV616">
        <v>1</v>
      </c>
      <c r="BW616">
        <v>1</v>
      </c>
      <c r="BX616">
        <v>1</v>
      </c>
      <c r="BY616" t="s">
        <v>3</v>
      </c>
      <c r="BZ616">
        <v>70</v>
      </c>
      <c r="CA616">
        <v>10</v>
      </c>
      <c r="CB616" t="s">
        <v>3</v>
      </c>
      <c r="CE616">
        <v>0</v>
      </c>
      <c r="CF616">
        <v>0</v>
      </c>
      <c r="CG616">
        <v>0</v>
      </c>
      <c r="CM616">
        <v>0</v>
      </c>
      <c r="CN616" t="s">
        <v>3</v>
      </c>
      <c r="CO616">
        <v>0</v>
      </c>
      <c r="CP616">
        <f t="shared" si="604"/>
        <v>6130.94</v>
      </c>
      <c r="CQ616">
        <f t="shared" si="605"/>
        <v>0</v>
      </c>
      <c r="CR616">
        <f>(((((ET616*4))*BB616-((EU616*4))*BS616)+AE616*BS616)*AV616)</f>
        <v>0</v>
      </c>
      <c r="CS616">
        <f t="shared" si="606"/>
        <v>0</v>
      </c>
      <c r="CT616">
        <f t="shared" si="607"/>
        <v>5936.52</v>
      </c>
      <c r="CU616">
        <f t="shared" si="608"/>
        <v>0</v>
      </c>
      <c r="CV616">
        <f t="shared" si="609"/>
        <v>10.56</v>
      </c>
      <c r="CW616">
        <f t="shared" si="610"/>
        <v>0</v>
      </c>
      <c r="CX616">
        <f t="shared" si="611"/>
        <v>0</v>
      </c>
      <c r="CY616">
        <f t="shared" si="612"/>
        <v>4291.6579999999994</v>
      </c>
      <c r="CZ616">
        <f t="shared" si="613"/>
        <v>613.09399999999994</v>
      </c>
      <c r="DC616" t="s">
        <v>3</v>
      </c>
      <c r="DD616" t="s">
        <v>106</v>
      </c>
      <c r="DE616" t="s">
        <v>106</v>
      </c>
      <c r="DF616" t="s">
        <v>106</v>
      </c>
      <c r="DG616" t="s">
        <v>106</v>
      </c>
      <c r="DH616" t="s">
        <v>3</v>
      </c>
      <c r="DI616" t="s">
        <v>106</v>
      </c>
      <c r="DJ616" t="s">
        <v>106</v>
      </c>
      <c r="DK616" t="s">
        <v>3</v>
      </c>
      <c r="DL616" t="s">
        <v>3</v>
      </c>
      <c r="DM616" t="s">
        <v>3</v>
      </c>
      <c r="DN616">
        <v>0</v>
      </c>
      <c r="DO616">
        <v>0</v>
      </c>
      <c r="DP616">
        <v>1</v>
      </c>
      <c r="DQ616">
        <v>1</v>
      </c>
      <c r="DU616">
        <v>1003</v>
      </c>
      <c r="DV616" t="s">
        <v>104</v>
      </c>
      <c r="DW616" t="s">
        <v>104</v>
      </c>
      <c r="DX616">
        <v>100</v>
      </c>
      <c r="DZ616" t="s">
        <v>3</v>
      </c>
      <c r="EA616" t="s">
        <v>3</v>
      </c>
      <c r="EB616" t="s">
        <v>3</v>
      </c>
      <c r="EC616" t="s">
        <v>3</v>
      </c>
      <c r="EE616">
        <v>1441815344</v>
      </c>
      <c r="EF616">
        <v>1</v>
      </c>
      <c r="EG616" t="s">
        <v>22</v>
      </c>
      <c r="EH616">
        <v>0</v>
      </c>
      <c r="EI616" t="s">
        <v>3</v>
      </c>
      <c r="EJ616">
        <v>4</v>
      </c>
      <c r="EK616">
        <v>0</v>
      </c>
      <c r="EL616" t="s">
        <v>23</v>
      </c>
      <c r="EM616" t="s">
        <v>24</v>
      </c>
      <c r="EO616" t="s">
        <v>3</v>
      </c>
      <c r="EQ616">
        <v>1024</v>
      </c>
      <c r="ER616">
        <v>1484.13</v>
      </c>
      <c r="ES616">
        <v>0</v>
      </c>
      <c r="ET616">
        <v>0</v>
      </c>
      <c r="EU616">
        <v>0</v>
      </c>
      <c r="EV616">
        <v>1484.13</v>
      </c>
      <c r="EW616">
        <v>2.64</v>
      </c>
      <c r="EX616">
        <v>0</v>
      </c>
      <c r="EY616">
        <v>0</v>
      </c>
      <c r="FQ616">
        <v>0</v>
      </c>
      <c r="FR616">
        <f t="shared" si="614"/>
        <v>0</v>
      </c>
      <c r="FS616">
        <v>0</v>
      </c>
      <c r="FX616">
        <v>70</v>
      </c>
      <c r="FY616">
        <v>10</v>
      </c>
      <c r="GA616" t="s">
        <v>3</v>
      </c>
      <c r="GD616">
        <v>0</v>
      </c>
      <c r="GF616">
        <v>1802126441</v>
      </c>
      <c r="GG616">
        <v>2</v>
      </c>
      <c r="GH616">
        <v>1</v>
      </c>
      <c r="GI616">
        <v>-2</v>
      </c>
      <c r="GJ616">
        <v>0</v>
      </c>
      <c r="GK616">
        <f>ROUND(R616*(R12)/100,2)</f>
        <v>0</v>
      </c>
      <c r="GL616">
        <f t="shared" si="615"/>
        <v>0</v>
      </c>
      <c r="GM616">
        <f t="shared" si="616"/>
        <v>11035.69</v>
      </c>
      <c r="GN616">
        <f t="shared" si="617"/>
        <v>0</v>
      </c>
      <c r="GO616">
        <f t="shared" si="618"/>
        <v>0</v>
      </c>
      <c r="GP616">
        <f t="shared" si="619"/>
        <v>11035.69</v>
      </c>
      <c r="GR616">
        <v>0</v>
      </c>
      <c r="GS616">
        <v>3</v>
      </c>
      <c r="GT616">
        <v>0</v>
      </c>
      <c r="GU616" t="s">
        <v>3</v>
      </c>
      <c r="GV616">
        <f t="shared" si="620"/>
        <v>0</v>
      </c>
      <c r="GW616">
        <v>1</v>
      </c>
      <c r="GX616">
        <f t="shared" si="621"/>
        <v>0</v>
      </c>
      <c r="HA616">
        <v>0</v>
      </c>
      <c r="HB616">
        <v>0</v>
      </c>
      <c r="HC616">
        <f t="shared" si="622"/>
        <v>0</v>
      </c>
      <c r="HE616" t="s">
        <v>3</v>
      </c>
      <c r="HF616" t="s">
        <v>3</v>
      </c>
      <c r="HM616" t="s">
        <v>3</v>
      </c>
      <c r="HN616" t="s">
        <v>3</v>
      </c>
      <c r="HO616" t="s">
        <v>3</v>
      </c>
      <c r="HP616" t="s">
        <v>3</v>
      </c>
      <c r="HQ616" t="s">
        <v>3</v>
      </c>
      <c r="IK616">
        <v>0</v>
      </c>
    </row>
    <row r="617" spans="1:245" x14ac:dyDescent="0.2">
      <c r="A617">
        <v>17</v>
      </c>
      <c r="B617">
        <v>1</v>
      </c>
      <c r="D617">
        <f>ROW(EtalonRes!A552)</f>
        <v>552</v>
      </c>
      <c r="E617" t="s">
        <v>3</v>
      </c>
      <c r="F617" t="s">
        <v>372</v>
      </c>
      <c r="G617" t="s">
        <v>373</v>
      </c>
      <c r="H617" t="s">
        <v>104</v>
      </c>
      <c r="I617">
        <f>ROUND((17+98+74+17+180)*0.25*0.1/100,9)</f>
        <v>9.6500000000000002E-2</v>
      </c>
      <c r="J617">
        <v>0</v>
      </c>
      <c r="K617">
        <f>ROUND((17+98+74+17+180)*0.25*0.1/100,9)</f>
        <v>9.6500000000000002E-2</v>
      </c>
      <c r="O617">
        <f t="shared" si="588"/>
        <v>169.26</v>
      </c>
      <c r="P617">
        <f t="shared" si="589"/>
        <v>0</v>
      </c>
      <c r="Q617">
        <f t="shared" si="590"/>
        <v>0</v>
      </c>
      <c r="R617">
        <f t="shared" si="591"/>
        <v>0</v>
      </c>
      <c r="S617">
        <f t="shared" si="592"/>
        <v>169.26</v>
      </c>
      <c r="T617">
        <f t="shared" si="593"/>
        <v>0</v>
      </c>
      <c r="U617">
        <f t="shared" si="594"/>
        <v>0.30108000000000001</v>
      </c>
      <c r="V617">
        <f t="shared" si="595"/>
        <v>0</v>
      </c>
      <c r="W617">
        <f t="shared" si="596"/>
        <v>0</v>
      </c>
      <c r="X617">
        <f t="shared" si="597"/>
        <v>118.48</v>
      </c>
      <c r="Y617">
        <f t="shared" si="598"/>
        <v>16.93</v>
      </c>
      <c r="AA617">
        <v>-1</v>
      </c>
      <c r="AB617">
        <f t="shared" si="599"/>
        <v>1753.96</v>
      </c>
      <c r="AC617">
        <f>ROUND(((ES617*4)),6)</f>
        <v>0</v>
      </c>
      <c r="AD617">
        <f>ROUND(((((ET617*4))-((EU617*4)))+AE617),6)</f>
        <v>0</v>
      </c>
      <c r="AE617">
        <f t="shared" si="600"/>
        <v>0</v>
      </c>
      <c r="AF617">
        <f t="shared" si="600"/>
        <v>1753.96</v>
      </c>
      <c r="AG617">
        <f t="shared" si="601"/>
        <v>0</v>
      </c>
      <c r="AH617">
        <f t="shared" si="602"/>
        <v>3.12</v>
      </c>
      <c r="AI617">
        <f t="shared" si="602"/>
        <v>0</v>
      </c>
      <c r="AJ617">
        <f t="shared" si="603"/>
        <v>0</v>
      </c>
      <c r="AK617">
        <v>438.49</v>
      </c>
      <c r="AL617">
        <v>0</v>
      </c>
      <c r="AM617">
        <v>0</v>
      </c>
      <c r="AN617">
        <v>0</v>
      </c>
      <c r="AO617">
        <v>438.49</v>
      </c>
      <c r="AP617">
        <v>0</v>
      </c>
      <c r="AQ617">
        <v>0.78</v>
      </c>
      <c r="AR617">
        <v>0</v>
      </c>
      <c r="AS617">
        <v>0</v>
      </c>
      <c r="AT617">
        <v>70</v>
      </c>
      <c r="AU617">
        <v>10</v>
      </c>
      <c r="AV617">
        <v>1</v>
      </c>
      <c r="AW617">
        <v>1</v>
      </c>
      <c r="AZ617">
        <v>1</v>
      </c>
      <c r="BA617">
        <v>1</v>
      </c>
      <c r="BB617">
        <v>1</v>
      </c>
      <c r="BC617">
        <v>1</v>
      </c>
      <c r="BD617" t="s">
        <v>3</v>
      </c>
      <c r="BE617" t="s">
        <v>3</v>
      </c>
      <c r="BF617" t="s">
        <v>3</v>
      </c>
      <c r="BG617" t="s">
        <v>3</v>
      </c>
      <c r="BH617">
        <v>0</v>
      </c>
      <c r="BI617">
        <v>4</v>
      </c>
      <c r="BJ617" t="s">
        <v>374</v>
      </c>
      <c r="BM617">
        <v>0</v>
      </c>
      <c r="BN617">
        <v>0</v>
      </c>
      <c r="BO617" t="s">
        <v>3</v>
      </c>
      <c r="BP617">
        <v>0</v>
      </c>
      <c r="BQ617">
        <v>1</v>
      </c>
      <c r="BR617">
        <v>0</v>
      </c>
      <c r="BS617">
        <v>1</v>
      </c>
      <c r="BT617">
        <v>1</v>
      </c>
      <c r="BU617">
        <v>1</v>
      </c>
      <c r="BV617">
        <v>1</v>
      </c>
      <c r="BW617">
        <v>1</v>
      </c>
      <c r="BX617">
        <v>1</v>
      </c>
      <c r="BY617" t="s">
        <v>3</v>
      </c>
      <c r="BZ617">
        <v>70</v>
      </c>
      <c r="CA617">
        <v>10</v>
      </c>
      <c r="CB617" t="s">
        <v>3</v>
      </c>
      <c r="CE617">
        <v>0</v>
      </c>
      <c r="CF617">
        <v>0</v>
      </c>
      <c r="CG617">
        <v>0</v>
      </c>
      <c r="CM617">
        <v>0</v>
      </c>
      <c r="CN617" t="s">
        <v>3</v>
      </c>
      <c r="CO617">
        <v>0</v>
      </c>
      <c r="CP617">
        <f t="shared" si="604"/>
        <v>169.26</v>
      </c>
      <c r="CQ617">
        <f t="shared" si="605"/>
        <v>0</v>
      </c>
      <c r="CR617">
        <f>(((((ET617*4))*BB617-((EU617*4))*BS617)+AE617*BS617)*AV617)</f>
        <v>0</v>
      </c>
      <c r="CS617">
        <f t="shared" si="606"/>
        <v>0</v>
      </c>
      <c r="CT617">
        <f t="shared" si="607"/>
        <v>1753.96</v>
      </c>
      <c r="CU617">
        <f t="shared" si="608"/>
        <v>0</v>
      </c>
      <c r="CV617">
        <f t="shared" si="609"/>
        <v>3.12</v>
      </c>
      <c r="CW617">
        <f t="shared" si="610"/>
        <v>0</v>
      </c>
      <c r="CX617">
        <f t="shared" si="611"/>
        <v>0</v>
      </c>
      <c r="CY617">
        <f t="shared" si="612"/>
        <v>118.48199999999999</v>
      </c>
      <c r="CZ617">
        <f t="shared" si="613"/>
        <v>16.925999999999998</v>
      </c>
      <c r="DC617" t="s">
        <v>3</v>
      </c>
      <c r="DD617" t="s">
        <v>106</v>
      </c>
      <c r="DE617" t="s">
        <v>106</v>
      </c>
      <c r="DF617" t="s">
        <v>106</v>
      </c>
      <c r="DG617" t="s">
        <v>106</v>
      </c>
      <c r="DH617" t="s">
        <v>3</v>
      </c>
      <c r="DI617" t="s">
        <v>106</v>
      </c>
      <c r="DJ617" t="s">
        <v>106</v>
      </c>
      <c r="DK617" t="s">
        <v>3</v>
      </c>
      <c r="DL617" t="s">
        <v>3</v>
      </c>
      <c r="DM617" t="s">
        <v>3</v>
      </c>
      <c r="DN617">
        <v>0</v>
      </c>
      <c r="DO617">
        <v>0</v>
      </c>
      <c r="DP617">
        <v>1</v>
      </c>
      <c r="DQ617">
        <v>1</v>
      </c>
      <c r="DU617">
        <v>1003</v>
      </c>
      <c r="DV617" t="s">
        <v>104</v>
      </c>
      <c r="DW617" t="s">
        <v>104</v>
      </c>
      <c r="DX617">
        <v>100</v>
      </c>
      <c r="DZ617" t="s">
        <v>3</v>
      </c>
      <c r="EA617" t="s">
        <v>3</v>
      </c>
      <c r="EB617" t="s">
        <v>3</v>
      </c>
      <c r="EC617" t="s">
        <v>3</v>
      </c>
      <c r="EE617">
        <v>1441815344</v>
      </c>
      <c r="EF617">
        <v>1</v>
      </c>
      <c r="EG617" t="s">
        <v>22</v>
      </c>
      <c r="EH617">
        <v>0</v>
      </c>
      <c r="EI617" t="s">
        <v>3</v>
      </c>
      <c r="EJ617">
        <v>4</v>
      </c>
      <c r="EK617">
        <v>0</v>
      </c>
      <c r="EL617" t="s">
        <v>23</v>
      </c>
      <c r="EM617" t="s">
        <v>24</v>
      </c>
      <c r="EO617" t="s">
        <v>3</v>
      </c>
      <c r="EQ617">
        <v>1024</v>
      </c>
      <c r="ER617">
        <v>438.49</v>
      </c>
      <c r="ES617">
        <v>0</v>
      </c>
      <c r="ET617">
        <v>0</v>
      </c>
      <c r="EU617">
        <v>0</v>
      </c>
      <c r="EV617">
        <v>438.49</v>
      </c>
      <c r="EW617">
        <v>0.78</v>
      </c>
      <c r="EX617">
        <v>0</v>
      </c>
      <c r="EY617">
        <v>0</v>
      </c>
      <c r="FQ617">
        <v>0</v>
      </c>
      <c r="FR617">
        <f t="shared" si="614"/>
        <v>0</v>
      </c>
      <c r="FS617">
        <v>0</v>
      </c>
      <c r="FX617">
        <v>70</v>
      </c>
      <c r="FY617">
        <v>10</v>
      </c>
      <c r="GA617" t="s">
        <v>3</v>
      </c>
      <c r="GD617">
        <v>0</v>
      </c>
      <c r="GF617">
        <v>189766521</v>
      </c>
      <c r="GG617">
        <v>2</v>
      </c>
      <c r="GH617">
        <v>1</v>
      </c>
      <c r="GI617">
        <v>-2</v>
      </c>
      <c r="GJ617">
        <v>0</v>
      </c>
      <c r="GK617">
        <f>ROUND(R617*(R12)/100,2)</f>
        <v>0</v>
      </c>
      <c r="GL617">
        <f t="shared" si="615"/>
        <v>0</v>
      </c>
      <c r="GM617">
        <f t="shared" si="616"/>
        <v>304.67</v>
      </c>
      <c r="GN617">
        <f t="shared" si="617"/>
        <v>0</v>
      </c>
      <c r="GO617">
        <f t="shared" si="618"/>
        <v>0</v>
      </c>
      <c r="GP617">
        <f t="shared" si="619"/>
        <v>304.67</v>
      </c>
      <c r="GR617">
        <v>0</v>
      </c>
      <c r="GS617">
        <v>3</v>
      </c>
      <c r="GT617">
        <v>0</v>
      </c>
      <c r="GU617" t="s">
        <v>3</v>
      </c>
      <c r="GV617">
        <f t="shared" si="620"/>
        <v>0</v>
      </c>
      <c r="GW617">
        <v>1</v>
      </c>
      <c r="GX617">
        <f t="shared" si="621"/>
        <v>0</v>
      </c>
      <c r="HA617">
        <v>0</v>
      </c>
      <c r="HB617">
        <v>0</v>
      </c>
      <c r="HC617">
        <f t="shared" si="622"/>
        <v>0</v>
      </c>
      <c r="HE617" t="s">
        <v>3</v>
      </c>
      <c r="HF617" t="s">
        <v>3</v>
      </c>
      <c r="HM617" t="s">
        <v>3</v>
      </c>
      <c r="HN617" t="s">
        <v>3</v>
      </c>
      <c r="HO617" t="s">
        <v>3</v>
      </c>
      <c r="HP617" t="s">
        <v>3</v>
      </c>
      <c r="HQ617" t="s">
        <v>3</v>
      </c>
      <c r="IK617">
        <v>0</v>
      </c>
    </row>
    <row r="618" spans="1:245" x14ac:dyDescent="0.2">
      <c r="A618">
        <v>17</v>
      </c>
      <c r="B618">
        <v>1</v>
      </c>
      <c r="D618">
        <f>ROW(EtalonRes!A553)</f>
        <v>553</v>
      </c>
      <c r="E618" t="s">
        <v>3</v>
      </c>
      <c r="F618" t="s">
        <v>375</v>
      </c>
      <c r="G618" t="s">
        <v>376</v>
      </c>
      <c r="H618" t="s">
        <v>104</v>
      </c>
      <c r="I618">
        <f>ROUND((17+98+74+17+180)*0.75*0.1/100,9)</f>
        <v>0.28949999999999998</v>
      </c>
      <c r="J618">
        <v>0</v>
      </c>
      <c r="K618">
        <f>ROUND((17+98+74+17+180)*0.75*0.1/100,9)</f>
        <v>0.28949999999999998</v>
      </c>
      <c r="O618">
        <f t="shared" si="588"/>
        <v>1458.22</v>
      </c>
      <c r="P618">
        <f t="shared" si="589"/>
        <v>0</v>
      </c>
      <c r="Q618">
        <f t="shared" si="590"/>
        <v>0</v>
      </c>
      <c r="R618">
        <f t="shared" si="591"/>
        <v>0</v>
      </c>
      <c r="S618">
        <f t="shared" si="592"/>
        <v>1458.22</v>
      </c>
      <c r="T618">
        <f t="shared" si="593"/>
        <v>0</v>
      </c>
      <c r="U618">
        <f t="shared" si="594"/>
        <v>2.5939200000000002</v>
      </c>
      <c r="V618">
        <f t="shared" si="595"/>
        <v>0</v>
      </c>
      <c r="W618">
        <f t="shared" si="596"/>
        <v>0</v>
      </c>
      <c r="X618">
        <f t="shared" si="597"/>
        <v>1020.75</v>
      </c>
      <c r="Y618">
        <f t="shared" si="598"/>
        <v>145.82</v>
      </c>
      <c r="AA618">
        <v>-1</v>
      </c>
      <c r="AB618">
        <f t="shared" si="599"/>
        <v>5037.04</v>
      </c>
      <c r="AC618">
        <f>ROUND(((ES618*4)),6)</f>
        <v>0</v>
      </c>
      <c r="AD618">
        <f>ROUND(((((ET618*4))-((EU618*4)))+AE618),6)</f>
        <v>0</v>
      </c>
      <c r="AE618">
        <f t="shared" si="600"/>
        <v>0</v>
      </c>
      <c r="AF618">
        <f t="shared" si="600"/>
        <v>5037.04</v>
      </c>
      <c r="AG618">
        <f t="shared" si="601"/>
        <v>0</v>
      </c>
      <c r="AH618">
        <f t="shared" si="602"/>
        <v>8.9600000000000009</v>
      </c>
      <c r="AI618">
        <f t="shared" si="602"/>
        <v>0</v>
      </c>
      <c r="AJ618">
        <f t="shared" si="603"/>
        <v>0</v>
      </c>
      <c r="AK618">
        <v>1259.26</v>
      </c>
      <c r="AL618">
        <v>0</v>
      </c>
      <c r="AM618">
        <v>0</v>
      </c>
      <c r="AN618">
        <v>0</v>
      </c>
      <c r="AO618">
        <v>1259.26</v>
      </c>
      <c r="AP618">
        <v>0</v>
      </c>
      <c r="AQ618">
        <v>2.2400000000000002</v>
      </c>
      <c r="AR618">
        <v>0</v>
      </c>
      <c r="AS618">
        <v>0</v>
      </c>
      <c r="AT618">
        <v>70</v>
      </c>
      <c r="AU618">
        <v>10</v>
      </c>
      <c r="AV618">
        <v>1</v>
      </c>
      <c r="AW618">
        <v>1</v>
      </c>
      <c r="AZ618">
        <v>1</v>
      </c>
      <c r="BA618">
        <v>1</v>
      </c>
      <c r="BB618">
        <v>1</v>
      </c>
      <c r="BC618">
        <v>1</v>
      </c>
      <c r="BD618" t="s">
        <v>3</v>
      </c>
      <c r="BE618" t="s">
        <v>3</v>
      </c>
      <c r="BF618" t="s">
        <v>3</v>
      </c>
      <c r="BG618" t="s">
        <v>3</v>
      </c>
      <c r="BH618">
        <v>0</v>
      </c>
      <c r="BI618">
        <v>4</v>
      </c>
      <c r="BJ618" t="s">
        <v>377</v>
      </c>
      <c r="BM618">
        <v>0</v>
      </c>
      <c r="BN618">
        <v>0</v>
      </c>
      <c r="BO618" t="s">
        <v>3</v>
      </c>
      <c r="BP618">
        <v>0</v>
      </c>
      <c r="BQ618">
        <v>1</v>
      </c>
      <c r="BR618">
        <v>0</v>
      </c>
      <c r="BS618">
        <v>1</v>
      </c>
      <c r="BT618">
        <v>1</v>
      </c>
      <c r="BU618">
        <v>1</v>
      </c>
      <c r="BV618">
        <v>1</v>
      </c>
      <c r="BW618">
        <v>1</v>
      </c>
      <c r="BX618">
        <v>1</v>
      </c>
      <c r="BY618" t="s">
        <v>3</v>
      </c>
      <c r="BZ618">
        <v>70</v>
      </c>
      <c r="CA618">
        <v>10</v>
      </c>
      <c r="CB618" t="s">
        <v>3</v>
      </c>
      <c r="CE618">
        <v>0</v>
      </c>
      <c r="CF618">
        <v>0</v>
      </c>
      <c r="CG618">
        <v>0</v>
      </c>
      <c r="CM618">
        <v>0</v>
      </c>
      <c r="CN618" t="s">
        <v>3</v>
      </c>
      <c r="CO618">
        <v>0</v>
      </c>
      <c r="CP618">
        <f t="shared" si="604"/>
        <v>1458.22</v>
      </c>
      <c r="CQ618">
        <f t="shared" si="605"/>
        <v>0</v>
      </c>
      <c r="CR618">
        <f>(((((ET618*4))*BB618-((EU618*4))*BS618)+AE618*BS618)*AV618)</f>
        <v>0</v>
      </c>
      <c r="CS618">
        <f t="shared" si="606"/>
        <v>0</v>
      </c>
      <c r="CT618">
        <f t="shared" si="607"/>
        <v>5037.04</v>
      </c>
      <c r="CU618">
        <f t="shared" si="608"/>
        <v>0</v>
      </c>
      <c r="CV618">
        <f t="shared" si="609"/>
        <v>8.9600000000000009</v>
      </c>
      <c r="CW618">
        <f t="shared" si="610"/>
        <v>0</v>
      </c>
      <c r="CX618">
        <f t="shared" si="611"/>
        <v>0</v>
      </c>
      <c r="CY618">
        <f t="shared" si="612"/>
        <v>1020.7540000000001</v>
      </c>
      <c r="CZ618">
        <f t="shared" si="613"/>
        <v>145.822</v>
      </c>
      <c r="DC618" t="s">
        <v>3</v>
      </c>
      <c r="DD618" t="s">
        <v>106</v>
      </c>
      <c r="DE618" t="s">
        <v>106</v>
      </c>
      <c r="DF618" t="s">
        <v>106</v>
      </c>
      <c r="DG618" t="s">
        <v>106</v>
      </c>
      <c r="DH618" t="s">
        <v>3</v>
      </c>
      <c r="DI618" t="s">
        <v>106</v>
      </c>
      <c r="DJ618" t="s">
        <v>106</v>
      </c>
      <c r="DK618" t="s">
        <v>3</v>
      </c>
      <c r="DL618" t="s">
        <v>3</v>
      </c>
      <c r="DM618" t="s">
        <v>3</v>
      </c>
      <c r="DN618">
        <v>0</v>
      </c>
      <c r="DO618">
        <v>0</v>
      </c>
      <c r="DP618">
        <v>1</v>
      </c>
      <c r="DQ618">
        <v>1</v>
      </c>
      <c r="DU618">
        <v>1003</v>
      </c>
      <c r="DV618" t="s">
        <v>104</v>
      </c>
      <c r="DW618" t="s">
        <v>104</v>
      </c>
      <c r="DX618">
        <v>100</v>
      </c>
      <c r="DZ618" t="s">
        <v>3</v>
      </c>
      <c r="EA618" t="s">
        <v>3</v>
      </c>
      <c r="EB618" t="s">
        <v>3</v>
      </c>
      <c r="EC618" t="s">
        <v>3</v>
      </c>
      <c r="EE618">
        <v>1441815344</v>
      </c>
      <c r="EF618">
        <v>1</v>
      </c>
      <c r="EG618" t="s">
        <v>22</v>
      </c>
      <c r="EH618">
        <v>0</v>
      </c>
      <c r="EI618" t="s">
        <v>3</v>
      </c>
      <c r="EJ618">
        <v>4</v>
      </c>
      <c r="EK618">
        <v>0</v>
      </c>
      <c r="EL618" t="s">
        <v>23</v>
      </c>
      <c r="EM618" t="s">
        <v>24</v>
      </c>
      <c r="EO618" t="s">
        <v>3</v>
      </c>
      <c r="EQ618">
        <v>1024</v>
      </c>
      <c r="ER618">
        <v>1259.26</v>
      </c>
      <c r="ES618">
        <v>0</v>
      </c>
      <c r="ET618">
        <v>0</v>
      </c>
      <c r="EU618">
        <v>0</v>
      </c>
      <c r="EV618">
        <v>1259.26</v>
      </c>
      <c r="EW618">
        <v>2.2400000000000002</v>
      </c>
      <c r="EX618">
        <v>0</v>
      </c>
      <c r="EY618">
        <v>0</v>
      </c>
      <c r="FQ618">
        <v>0</v>
      </c>
      <c r="FR618">
        <f t="shared" si="614"/>
        <v>0</v>
      </c>
      <c r="FS618">
        <v>0</v>
      </c>
      <c r="FX618">
        <v>70</v>
      </c>
      <c r="FY618">
        <v>10</v>
      </c>
      <c r="GA618" t="s">
        <v>3</v>
      </c>
      <c r="GD618">
        <v>0</v>
      </c>
      <c r="GF618">
        <v>36187689</v>
      </c>
      <c r="GG618">
        <v>2</v>
      </c>
      <c r="GH618">
        <v>1</v>
      </c>
      <c r="GI618">
        <v>-2</v>
      </c>
      <c r="GJ618">
        <v>0</v>
      </c>
      <c r="GK618">
        <f>ROUND(R618*(R12)/100,2)</f>
        <v>0</v>
      </c>
      <c r="GL618">
        <f t="shared" si="615"/>
        <v>0</v>
      </c>
      <c r="GM618">
        <f t="shared" si="616"/>
        <v>2624.79</v>
      </c>
      <c r="GN618">
        <f t="shared" si="617"/>
        <v>0</v>
      </c>
      <c r="GO618">
        <f t="shared" si="618"/>
        <v>0</v>
      </c>
      <c r="GP618">
        <f t="shared" si="619"/>
        <v>2624.79</v>
      </c>
      <c r="GR618">
        <v>0</v>
      </c>
      <c r="GS618">
        <v>3</v>
      </c>
      <c r="GT618">
        <v>0</v>
      </c>
      <c r="GU618" t="s">
        <v>3</v>
      </c>
      <c r="GV618">
        <f t="shared" si="620"/>
        <v>0</v>
      </c>
      <c r="GW618">
        <v>1</v>
      </c>
      <c r="GX618">
        <f t="shared" si="621"/>
        <v>0</v>
      </c>
      <c r="HA618">
        <v>0</v>
      </c>
      <c r="HB618">
        <v>0</v>
      </c>
      <c r="HC618">
        <f t="shared" si="622"/>
        <v>0</v>
      </c>
      <c r="HE618" t="s">
        <v>3</v>
      </c>
      <c r="HF618" t="s">
        <v>3</v>
      </c>
      <c r="HM618" t="s">
        <v>3</v>
      </c>
      <c r="HN618" t="s">
        <v>3</v>
      </c>
      <c r="HO618" t="s">
        <v>3</v>
      </c>
      <c r="HP618" t="s">
        <v>3</v>
      </c>
      <c r="HQ618" t="s">
        <v>3</v>
      </c>
      <c r="IK618">
        <v>0</v>
      </c>
    </row>
    <row r="619" spans="1:245" x14ac:dyDescent="0.2">
      <c r="A619">
        <v>17</v>
      </c>
      <c r="B619">
        <v>1</v>
      </c>
      <c r="D619">
        <f>ROW(EtalonRes!A559)</f>
        <v>559</v>
      </c>
      <c r="E619" t="s">
        <v>3</v>
      </c>
      <c r="F619" t="s">
        <v>262</v>
      </c>
      <c r="G619" t="s">
        <v>263</v>
      </c>
      <c r="H619" t="s">
        <v>104</v>
      </c>
      <c r="I619">
        <f>ROUND(ROUND((180+357+67+78)/100,9),9)</f>
        <v>6.82</v>
      </c>
      <c r="J619">
        <v>0</v>
      </c>
      <c r="K619">
        <f>ROUND(ROUND((180+357+67+78)/100,9),9)</f>
        <v>6.82</v>
      </c>
      <c r="O619">
        <f t="shared" si="588"/>
        <v>54059.75</v>
      </c>
      <c r="P619">
        <f t="shared" si="589"/>
        <v>478.97</v>
      </c>
      <c r="Q619">
        <f t="shared" si="590"/>
        <v>345.77</v>
      </c>
      <c r="R619">
        <f t="shared" si="591"/>
        <v>5.52</v>
      </c>
      <c r="S619">
        <f t="shared" si="592"/>
        <v>53235.01</v>
      </c>
      <c r="T619">
        <f t="shared" si="593"/>
        <v>0</v>
      </c>
      <c r="U619">
        <f t="shared" si="594"/>
        <v>72.564800000000005</v>
      </c>
      <c r="V619">
        <f t="shared" si="595"/>
        <v>0</v>
      </c>
      <c r="W619">
        <f t="shared" si="596"/>
        <v>0</v>
      </c>
      <c r="X619">
        <f t="shared" si="597"/>
        <v>37264.51</v>
      </c>
      <c r="Y619">
        <f t="shared" si="598"/>
        <v>5323.5</v>
      </c>
      <c r="AA619">
        <v>-1</v>
      </c>
      <c r="AB619">
        <f t="shared" si="599"/>
        <v>7926.65</v>
      </c>
      <c r="AC619">
        <f t="shared" ref="AC619:AC624" si="623">ROUND((ES619),6)</f>
        <v>70.23</v>
      </c>
      <c r="AD619">
        <f t="shared" ref="AD619:AD624" si="624">ROUND((((ET619)-(EU619))+AE619),6)</f>
        <v>50.7</v>
      </c>
      <c r="AE619">
        <f t="shared" ref="AE619:AF624" si="625">ROUND((EU619),6)</f>
        <v>0.81</v>
      </c>
      <c r="AF619">
        <f t="shared" si="625"/>
        <v>7805.72</v>
      </c>
      <c r="AG619">
        <f t="shared" si="601"/>
        <v>0</v>
      </c>
      <c r="AH619">
        <f t="shared" ref="AH619:AI624" si="626">(EW619)</f>
        <v>10.64</v>
      </c>
      <c r="AI619">
        <f t="shared" si="626"/>
        <v>0</v>
      </c>
      <c r="AJ619">
        <f t="shared" si="603"/>
        <v>0</v>
      </c>
      <c r="AK619">
        <v>7926.65</v>
      </c>
      <c r="AL619">
        <v>70.23</v>
      </c>
      <c r="AM619">
        <v>50.7</v>
      </c>
      <c r="AN619">
        <v>0.81</v>
      </c>
      <c r="AO619">
        <v>7805.72</v>
      </c>
      <c r="AP619">
        <v>0</v>
      </c>
      <c r="AQ619">
        <v>10.64</v>
      </c>
      <c r="AR619">
        <v>0</v>
      </c>
      <c r="AS619">
        <v>0</v>
      </c>
      <c r="AT619">
        <v>70</v>
      </c>
      <c r="AU619">
        <v>10</v>
      </c>
      <c r="AV619">
        <v>1</v>
      </c>
      <c r="AW619">
        <v>1</v>
      </c>
      <c r="AZ619">
        <v>1</v>
      </c>
      <c r="BA619">
        <v>1</v>
      </c>
      <c r="BB619">
        <v>1</v>
      </c>
      <c r="BC619">
        <v>1</v>
      </c>
      <c r="BD619" t="s">
        <v>3</v>
      </c>
      <c r="BE619" t="s">
        <v>3</v>
      </c>
      <c r="BF619" t="s">
        <v>3</v>
      </c>
      <c r="BG619" t="s">
        <v>3</v>
      </c>
      <c r="BH619">
        <v>0</v>
      </c>
      <c r="BI619">
        <v>4</v>
      </c>
      <c r="BJ619" t="s">
        <v>264</v>
      </c>
      <c r="BM619">
        <v>0</v>
      </c>
      <c r="BN619">
        <v>0</v>
      </c>
      <c r="BO619" t="s">
        <v>3</v>
      </c>
      <c r="BP619">
        <v>0</v>
      </c>
      <c r="BQ619">
        <v>1</v>
      </c>
      <c r="BR619">
        <v>0</v>
      </c>
      <c r="BS619">
        <v>1</v>
      </c>
      <c r="BT619">
        <v>1</v>
      </c>
      <c r="BU619">
        <v>1</v>
      </c>
      <c r="BV619">
        <v>1</v>
      </c>
      <c r="BW619">
        <v>1</v>
      </c>
      <c r="BX619">
        <v>1</v>
      </c>
      <c r="BY619" t="s">
        <v>3</v>
      </c>
      <c r="BZ619">
        <v>70</v>
      </c>
      <c r="CA619">
        <v>10</v>
      </c>
      <c r="CB619" t="s">
        <v>3</v>
      </c>
      <c r="CE619">
        <v>0</v>
      </c>
      <c r="CF619">
        <v>0</v>
      </c>
      <c r="CG619">
        <v>0</v>
      </c>
      <c r="CM619">
        <v>0</v>
      </c>
      <c r="CN619" t="s">
        <v>3</v>
      </c>
      <c r="CO619">
        <v>0</v>
      </c>
      <c r="CP619">
        <f t="shared" si="604"/>
        <v>54059.75</v>
      </c>
      <c r="CQ619">
        <f t="shared" si="605"/>
        <v>70.23</v>
      </c>
      <c r="CR619">
        <f t="shared" ref="CR619:CR624" si="627">((((ET619)*BB619-(EU619)*BS619)+AE619*BS619)*AV619)</f>
        <v>50.7</v>
      </c>
      <c r="CS619">
        <f t="shared" si="606"/>
        <v>0.81</v>
      </c>
      <c r="CT619">
        <f t="shared" si="607"/>
        <v>7805.72</v>
      </c>
      <c r="CU619">
        <f t="shared" si="608"/>
        <v>0</v>
      </c>
      <c r="CV619">
        <f t="shared" si="609"/>
        <v>10.64</v>
      </c>
      <c r="CW619">
        <f t="shared" si="610"/>
        <v>0</v>
      </c>
      <c r="CX619">
        <f t="shared" si="611"/>
        <v>0</v>
      </c>
      <c r="CY619">
        <f t="shared" si="612"/>
        <v>37264.507000000005</v>
      </c>
      <c r="CZ619">
        <f t="shared" si="613"/>
        <v>5323.5010000000002</v>
      </c>
      <c r="DC619" t="s">
        <v>3</v>
      </c>
      <c r="DD619" t="s">
        <v>3</v>
      </c>
      <c r="DE619" t="s">
        <v>3</v>
      </c>
      <c r="DF619" t="s">
        <v>3</v>
      </c>
      <c r="DG619" t="s">
        <v>3</v>
      </c>
      <c r="DH619" t="s">
        <v>3</v>
      </c>
      <c r="DI619" t="s">
        <v>3</v>
      </c>
      <c r="DJ619" t="s">
        <v>3</v>
      </c>
      <c r="DK619" t="s">
        <v>3</v>
      </c>
      <c r="DL619" t="s">
        <v>3</v>
      </c>
      <c r="DM619" t="s">
        <v>3</v>
      </c>
      <c r="DN619">
        <v>0</v>
      </c>
      <c r="DO619">
        <v>0</v>
      </c>
      <c r="DP619">
        <v>1</v>
      </c>
      <c r="DQ619">
        <v>1</v>
      </c>
      <c r="DU619">
        <v>1003</v>
      </c>
      <c r="DV619" t="s">
        <v>104</v>
      </c>
      <c r="DW619" t="s">
        <v>104</v>
      </c>
      <c r="DX619">
        <v>100</v>
      </c>
      <c r="DZ619" t="s">
        <v>3</v>
      </c>
      <c r="EA619" t="s">
        <v>3</v>
      </c>
      <c r="EB619" t="s">
        <v>3</v>
      </c>
      <c r="EC619" t="s">
        <v>3</v>
      </c>
      <c r="EE619">
        <v>1441815344</v>
      </c>
      <c r="EF619">
        <v>1</v>
      </c>
      <c r="EG619" t="s">
        <v>22</v>
      </c>
      <c r="EH619">
        <v>0</v>
      </c>
      <c r="EI619" t="s">
        <v>3</v>
      </c>
      <c r="EJ619">
        <v>4</v>
      </c>
      <c r="EK619">
        <v>0</v>
      </c>
      <c r="EL619" t="s">
        <v>23</v>
      </c>
      <c r="EM619" t="s">
        <v>24</v>
      </c>
      <c r="EO619" t="s">
        <v>3</v>
      </c>
      <c r="EQ619">
        <v>1024</v>
      </c>
      <c r="ER619">
        <v>7926.65</v>
      </c>
      <c r="ES619">
        <v>70.23</v>
      </c>
      <c r="ET619">
        <v>50.7</v>
      </c>
      <c r="EU619">
        <v>0.81</v>
      </c>
      <c r="EV619">
        <v>7805.72</v>
      </c>
      <c r="EW619">
        <v>10.64</v>
      </c>
      <c r="EX619">
        <v>0</v>
      </c>
      <c r="EY619">
        <v>0</v>
      </c>
      <c r="FQ619">
        <v>0</v>
      </c>
      <c r="FR619">
        <f t="shared" si="614"/>
        <v>0</v>
      </c>
      <c r="FS619">
        <v>0</v>
      </c>
      <c r="FX619">
        <v>70</v>
      </c>
      <c r="FY619">
        <v>10</v>
      </c>
      <c r="GA619" t="s">
        <v>3</v>
      </c>
      <c r="GD619">
        <v>0</v>
      </c>
      <c r="GF619">
        <v>1087258960</v>
      </c>
      <c r="GG619">
        <v>2</v>
      </c>
      <c r="GH619">
        <v>1</v>
      </c>
      <c r="GI619">
        <v>-2</v>
      </c>
      <c r="GJ619">
        <v>0</v>
      </c>
      <c r="GK619">
        <f>ROUND(R619*(R12)/100,2)</f>
        <v>5.96</v>
      </c>
      <c r="GL619">
        <f t="shared" si="615"/>
        <v>0</v>
      </c>
      <c r="GM619">
        <f t="shared" si="616"/>
        <v>96653.72</v>
      </c>
      <c r="GN619">
        <f t="shared" si="617"/>
        <v>0</v>
      </c>
      <c r="GO619">
        <f t="shared" si="618"/>
        <v>0</v>
      </c>
      <c r="GP619">
        <f t="shared" si="619"/>
        <v>96653.72</v>
      </c>
      <c r="GR619">
        <v>0</v>
      </c>
      <c r="GS619">
        <v>3</v>
      </c>
      <c r="GT619">
        <v>0</v>
      </c>
      <c r="GU619" t="s">
        <v>3</v>
      </c>
      <c r="GV619">
        <f t="shared" si="620"/>
        <v>0</v>
      </c>
      <c r="GW619">
        <v>1</v>
      </c>
      <c r="GX619">
        <f t="shared" si="621"/>
        <v>0</v>
      </c>
      <c r="HA619">
        <v>0</v>
      </c>
      <c r="HB619">
        <v>0</v>
      </c>
      <c r="HC619">
        <f t="shared" si="622"/>
        <v>0</v>
      </c>
      <c r="HE619" t="s">
        <v>3</v>
      </c>
      <c r="HF619" t="s">
        <v>3</v>
      </c>
      <c r="HM619" t="s">
        <v>3</v>
      </c>
      <c r="HN619" t="s">
        <v>3</v>
      </c>
      <c r="HO619" t="s">
        <v>3</v>
      </c>
      <c r="HP619" t="s">
        <v>3</v>
      </c>
      <c r="HQ619" t="s">
        <v>3</v>
      </c>
      <c r="IK619">
        <v>0</v>
      </c>
    </row>
    <row r="620" spans="1:245" x14ac:dyDescent="0.2">
      <c r="A620">
        <v>17</v>
      </c>
      <c r="B620">
        <v>1</v>
      </c>
      <c r="D620">
        <f>ROW(EtalonRes!A565)</f>
        <v>565</v>
      </c>
      <c r="E620" t="s">
        <v>3</v>
      </c>
      <c r="F620" t="s">
        <v>265</v>
      </c>
      <c r="G620" t="s">
        <v>266</v>
      </c>
      <c r="H620" t="s">
        <v>104</v>
      </c>
      <c r="I620">
        <f>ROUND(ROUND((587+108)/100,9),9)</f>
        <v>6.95</v>
      </c>
      <c r="J620">
        <v>0</v>
      </c>
      <c r="K620">
        <f>ROUND(ROUND((587+108)/100,9),9)</f>
        <v>6.95</v>
      </c>
      <c r="O620">
        <f t="shared" si="588"/>
        <v>56156.77</v>
      </c>
      <c r="P620">
        <f t="shared" si="589"/>
        <v>1554.65</v>
      </c>
      <c r="Q620">
        <f t="shared" si="590"/>
        <v>352.37</v>
      </c>
      <c r="R620">
        <f t="shared" si="591"/>
        <v>5.63</v>
      </c>
      <c r="S620">
        <f t="shared" si="592"/>
        <v>54249.75</v>
      </c>
      <c r="T620">
        <f t="shared" si="593"/>
        <v>0</v>
      </c>
      <c r="U620">
        <f t="shared" si="594"/>
        <v>73.948000000000008</v>
      </c>
      <c r="V620">
        <f t="shared" si="595"/>
        <v>0</v>
      </c>
      <c r="W620">
        <f t="shared" si="596"/>
        <v>0</v>
      </c>
      <c r="X620">
        <f t="shared" si="597"/>
        <v>37974.83</v>
      </c>
      <c r="Y620">
        <f t="shared" si="598"/>
        <v>5424.98</v>
      </c>
      <c r="AA620">
        <v>-1</v>
      </c>
      <c r="AB620">
        <f t="shared" si="599"/>
        <v>8080.11</v>
      </c>
      <c r="AC620">
        <f t="shared" si="623"/>
        <v>223.69</v>
      </c>
      <c r="AD620">
        <f t="shared" si="624"/>
        <v>50.7</v>
      </c>
      <c r="AE620">
        <f t="shared" si="625"/>
        <v>0.81</v>
      </c>
      <c r="AF620">
        <f t="shared" si="625"/>
        <v>7805.72</v>
      </c>
      <c r="AG620">
        <f t="shared" si="601"/>
        <v>0</v>
      </c>
      <c r="AH620">
        <f t="shared" si="626"/>
        <v>10.64</v>
      </c>
      <c r="AI620">
        <f t="shared" si="626"/>
        <v>0</v>
      </c>
      <c r="AJ620">
        <f t="shared" si="603"/>
        <v>0</v>
      </c>
      <c r="AK620">
        <v>8080.11</v>
      </c>
      <c r="AL620">
        <v>223.69</v>
      </c>
      <c r="AM620">
        <v>50.7</v>
      </c>
      <c r="AN620">
        <v>0.81</v>
      </c>
      <c r="AO620">
        <v>7805.72</v>
      </c>
      <c r="AP620">
        <v>0</v>
      </c>
      <c r="AQ620">
        <v>10.64</v>
      </c>
      <c r="AR620">
        <v>0</v>
      </c>
      <c r="AS620">
        <v>0</v>
      </c>
      <c r="AT620">
        <v>70</v>
      </c>
      <c r="AU620">
        <v>10</v>
      </c>
      <c r="AV620">
        <v>1</v>
      </c>
      <c r="AW620">
        <v>1</v>
      </c>
      <c r="AZ620">
        <v>1</v>
      </c>
      <c r="BA620">
        <v>1</v>
      </c>
      <c r="BB620">
        <v>1</v>
      </c>
      <c r="BC620">
        <v>1</v>
      </c>
      <c r="BD620" t="s">
        <v>3</v>
      </c>
      <c r="BE620" t="s">
        <v>3</v>
      </c>
      <c r="BF620" t="s">
        <v>3</v>
      </c>
      <c r="BG620" t="s">
        <v>3</v>
      </c>
      <c r="BH620">
        <v>0</v>
      </c>
      <c r="BI620">
        <v>4</v>
      </c>
      <c r="BJ620" t="s">
        <v>267</v>
      </c>
      <c r="BM620">
        <v>0</v>
      </c>
      <c r="BN620">
        <v>0</v>
      </c>
      <c r="BO620" t="s">
        <v>3</v>
      </c>
      <c r="BP620">
        <v>0</v>
      </c>
      <c r="BQ620">
        <v>1</v>
      </c>
      <c r="BR620">
        <v>0</v>
      </c>
      <c r="BS620">
        <v>1</v>
      </c>
      <c r="BT620">
        <v>1</v>
      </c>
      <c r="BU620">
        <v>1</v>
      </c>
      <c r="BV620">
        <v>1</v>
      </c>
      <c r="BW620">
        <v>1</v>
      </c>
      <c r="BX620">
        <v>1</v>
      </c>
      <c r="BY620" t="s">
        <v>3</v>
      </c>
      <c r="BZ620">
        <v>70</v>
      </c>
      <c r="CA620">
        <v>10</v>
      </c>
      <c r="CB620" t="s">
        <v>3</v>
      </c>
      <c r="CE620">
        <v>0</v>
      </c>
      <c r="CF620">
        <v>0</v>
      </c>
      <c r="CG620">
        <v>0</v>
      </c>
      <c r="CM620">
        <v>0</v>
      </c>
      <c r="CN620" t="s">
        <v>3</v>
      </c>
      <c r="CO620">
        <v>0</v>
      </c>
      <c r="CP620">
        <f t="shared" si="604"/>
        <v>56156.77</v>
      </c>
      <c r="CQ620">
        <f t="shared" si="605"/>
        <v>223.69</v>
      </c>
      <c r="CR620">
        <f t="shared" si="627"/>
        <v>50.7</v>
      </c>
      <c r="CS620">
        <f t="shared" si="606"/>
        <v>0.81</v>
      </c>
      <c r="CT620">
        <f t="shared" si="607"/>
        <v>7805.72</v>
      </c>
      <c r="CU620">
        <f t="shared" si="608"/>
        <v>0</v>
      </c>
      <c r="CV620">
        <f t="shared" si="609"/>
        <v>10.64</v>
      </c>
      <c r="CW620">
        <f t="shared" si="610"/>
        <v>0</v>
      </c>
      <c r="CX620">
        <f t="shared" si="611"/>
        <v>0</v>
      </c>
      <c r="CY620">
        <f t="shared" si="612"/>
        <v>37974.824999999997</v>
      </c>
      <c r="CZ620">
        <f t="shared" si="613"/>
        <v>5424.9750000000004</v>
      </c>
      <c r="DC620" t="s">
        <v>3</v>
      </c>
      <c r="DD620" t="s">
        <v>3</v>
      </c>
      <c r="DE620" t="s">
        <v>3</v>
      </c>
      <c r="DF620" t="s">
        <v>3</v>
      </c>
      <c r="DG620" t="s">
        <v>3</v>
      </c>
      <c r="DH620" t="s">
        <v>3</v>
      </c>
      <c r="DI620" t="s">
        <v>3</v>
      </c>
      <c r="DJ620" t="s">
        <v>3</v>
      </c>
      <c r="DK620" t="s">
        <v>3</v>
      </c>
      <c r="DL620" t="s">
        <v>3</v>
      </c>
      <c r="DM620" t="s">
        <v>3</v>
      </c>
      <c r="DN620">
        <v>0</v>
      </c>
      <c r="DO620">
        <v>0</v>
      </c>
      <c r="DP620">
        <v>1</v>
      </c>
      <c r="DQ620">
        <v>1</v>
      </c>
      <c r="DU620">
        <v>1003</v>
      </c>
      <c r="DV620" t="s">
        <v>104</v>
      </c>
      <c r="DW620" t="s">
        <v>104</v>
      </c>
      <c r="DX620">
        <v>100</v>
      </c>
      <c r="DZ620" t="s">
        <v>3</v>
      </c>
      <c r="EA620" t="s">
        <v>3</v>
      </c>
      <c r="EB620" t="s">
        <v>3</v>
      </c>
      <c r="EC620" t="s">
        <v>3</v>
      </c>
      <c r="EE620">
        <v>1441815344</v>
      </c>
      <c r="EF620">
        <v>1</v>
      </c>
      <c r="EG620" t="s">
        <v>22</v>
      </c>
      <c r="EH620">
        <v>0</v>
      </c>
      <c r="EI620" t="s">
        <v>3</v>
      </c>
      <c r="EJ620">
        <v>4</v>
      </c>
      <c r="EK620">
        <v>0</v>
      </c>
      <c r="EL620" t="s">
        <v>23</v>
      </c>
      <c r="EM620" t="s">
        <v>24</v>
      </c>
      <c r="EO620" t="s">
        <v>3</v>
      </c>
      <c r="EQ620">
        <v>1024</v>
      </c>
      <c r="ER620">
        <v>8080.11</v>
      </c>
      <c r="ES620">
        <v>223.69</v>
      </c>
      <c r="ET620">
        <v>50.7</v>
      </c>
      <c r="EU620">
        <v>0.81</v>
      </c>
      <c r="EV620">
        <v>7805.72</v>
      </c>
      <c r="EW620">
        <v>10.64</v>
      </c>
      <c r="EX620">
        <v>0</v>
      </c>
      <c r="EY620">
        <v>0</v>
      </c>
      <c r="FQ620">
        <v>0</v>
      </c>
      <c r="FR620">
        <f t="shared" si="614"/>
        <v>0</v>
      </c>
      <c r="FS620">
        <v>0</v>
      </c>
      <c r="FX620">
        <v>70</v>
      </c>
      <c r="FY620">
        <v>10</v>
      </c>
      <c r="GA620" t="s">
        <v>3</v>
      </c>
      <c r="GD620">
        <v>0</v>
      </c>
      <c r="GF620">
        <v>279930794</v>
      </c>
      <c r="GG620">
        <v>2</v>
      </c>
      <c r="GH620">
        <v>1</v>
      </c>
      <c r="GI620">
        <v>-2</v>
      </c>
      <c r="GJ620">
        <v>0</v>
      </c>
      <c r="GK620">
        <f>ROUND(R620*(R12)/100,2)</f>
        <v>6.08</v>
      </c>
      <c r="GL620">
        <f t="shared" si="615"/>
        <v>0</v>
      </c>
      <c r="GM620">
        <f t="shared" si="616"/>
        <v>99562.66</v>
      </c>
      <c r="GN620">
        <f t="shared" si="617"/>
        <v>0</v>
      </c>
      <c r="GO620">
        <f t="shared" si="618"/>
        <v>0</v>
      </c>
      <c r="GP620">
        <f t="shared" si="619"/>
        <v>99562.66</v>
      </c>
      <c r="GR620">
        <v>0</v>
      </c>
      <c r="GS620">
        <v>3</v>
      </c>
      <c r="GT620">
        <v>0</v>
      </c>
      <c r="GU620" t="s">
        <v>3</v>
      </c>
      <c r="GV620">
        <f t="shared" si="620"/>
        <v>0</v>
      </c>
      <c r="GW620">
        <v>1</v>
      </c>
      <c r="GX620">
        <f t="shared" si="621"/>
        <v>0</v>
      </c>
      <c r="HA620">
        <v>0</v>
      </c>
      <c r="HB620">
        <v>0</v>
      </c>
      <c r="HC620">
        <f t="shared" si="622"/>
        <v>0</v>
      </c>
      <c r="HE620" t="s">
        <v>3</v>
      </c>
      <c r="HF620" t="s">
        <v>3</v>
      </c>
      <c r="HM620" t="s">
        <v>3</v>
      </c>
      <c r="HN620" t="s">
        <v>3</v>
      </c>
      <c r="HO620" t="s">
        <v>3</v>
      </c>
      <c r="HP620" t="s">
        <v>3</v>
      </c>
      <c r="HQ620" t="s">
        <v>3</v>
      </c>
      <c r="IK620">
        <v>0</v>
      </c>
    </row>
    <row r="621" spans="1:245" x14ac:dyDescent="0.2">
      <c r="A621">
        <v>17</v>
      </c>
      <c r="B621">
        <v>1</v>
      </c>
      <c r="D621">
        <f>ROW(EtalonRes!A568)</f>
        <v>568</v>
      </c>
      <c r="E621" t="s">
        <v>3</v>
      </c>
      <c r="F621" t="s">
        <v>268</v>
      </c>
      <c r="G621" t="s">
        <v>269</v>
      </c>
      <c r="H621" t="s">
        <v>104</v>
      </c>
      <c r="I621">
        <f>ROUND(ROUND((587+108)/100,9),9)</f>
        <v>6.95</v>
      </c>
      <c r="J621">
        <v>0</v>
      </c>
      <c r="K621">
        <f>ROUND(ROUND((587+108)/100,9),9)</f>
        <v>6.95</v>
      </c>
      <c r="O621">
        <f t="shared" si="588"/>
        <v>17437.62</v>
      </c>
      <c r="P621">
        <f t="shared" si="589"/>
        <v>1409.46</v>
      </c>
      <c r="Q621">
        <f t="shared" si="590"/>
        <v>163.38999999999999</v>
      </c>
      <c r="R621">
        <f t="shared" si="591"/>
        <v>0.49</v>
      </c>
      <c r="S621">
        <f t="shared" si="592"/>
        <v>15864.77</v>
      </c>
      <c r="T621">
        <f t="shared" si="593"/>
        <v>0</v>
      </c>
      <c r="U621">
        <f t="shared" si="594"/>
        <v>23.908000000000001</v>
      </c>
      <c r="V621">
        <f t="shared" si="595"/>
        <v>0</v>
      </c>
      <c r="W621">
        <f t="shared" si="596"/>
        <v>0</v>
      </c>
      <c r="X621">
        <f t="shared" si="597"/>
        <v>11105.34</v>
      </c>
      <c r="Y621">
        <f t="shared" si="598"/>
        <v>1586.48</v>
      </c>
      <c r="AA621">
        <v>-1</v>
      </c>
      <c r="AB621">
        <f t="shared" si="599"/>
        <v>2509.0100000000002</v>
      </c>
      <c r="AC621">
        <f t="shared" si="623"/>
        <v>202.8</v>
      </c>
      <c r="AD621">
        <f t="shared" si="624"/>
        <v>23.51</v>
      </c>
      <c r="AE621">
        <f t="shared" si="625"/>
        <v>7.0000000000000007E-2</v>
      </c>
      <c r="AF621">
        <f t="shared" si="625"/>
        <v>2282.6999999999998</v>
      </c>
      <c r="AG621">
        <f t="shared" si="601"/>
        <v>0</v>
      </c>
      <c r="AH621">
        <f t="shared" si="626"/>
        <v>3.44</v>
      </c>
      <c r="AI621">
        <f t="shared" si="626"/>
        <v>0</v>
      </c>
      <c r="AJ621">
        <f t="shared" si="603"/>
        <v>0</v>
      </c>
      <c r="AK621">
        <v>2509.0100000000002</v>
      </c>
      <c r="AL621">
        <v>202.8</v>
      </c>
      <c r="AM621">
        <v>23.51</v>
      </c>
      <c r="AN621">
        <v>7.0000000000000007E-2</v>
      </c>
      <c r="AO621">
        <v>2282.6999999999998</v>
      </c>
      <c r="AP621">
        <v>0</v>
      </c>
      <c r="AQ621">
        <v>3.44</v>
      </c>
      <c r="AR621">
        <v>0</v>
      </c>
      <c r="AS621">
        <v>0</v>
      </c>
      <c r="AT621">
        <v>70</v>
      </c>
      <c r="AU621">
        <v>10</v>
      </c>
      <c r="AV621">
        <v>1</v>
      </c>
      <c r="AW621">
        <v>1</v>
      </c>
      <c r="AZ621">
        <v>1</v>
      </c>
      <c r="BA621">
        <v>1</v>
      </c>
      <c r="BB621">
        <v>1</v>
      </c>
      <c r="BC621">
        <v>1</v>
      </c>
      <c r="BD621" t="s">
        <v>3</v>
      </c>
      <c r="BE621" t="s">
        <v>3</v>
      </c>
      <c r="BF621" t="s">
        <v>3</v>
      </c>
      <c r="BG621" t="s">
        <v>3</v>
      </c>
      <c r="BH621">
        <v>0</v>
      </c>
      <c r="BI621">
        <v>4</v>
      </c>
      <c r="BJ621" t="s">
        <v>270</v>
      </c>
      <c r="BM621">
        <v>0</v>
      </c>
      <c r="BN621">
        <v>0</v>
      </c>
      <c r="BO621" t="s">
        <v>3</v>
      </c>
      <c r="BP621">
        <v>0</v>
      </c>
      <c r="BQ621">
        <v>1</v>
      </c>
      <c r="BR621">
        <v>0</v>
      </c>
      <c r="BS621">
        <v>1</v>
      </c>
      <c r="BT621">
        <v>1</v>
      </c>
      <c r="BU621">
        <v>1</v>
      </c>
      <c r="BV621">
        <v>1</v>
      </c>
      <c r="BW621">
        <v>1</v>
      </c>
      <c r="BX621">
        <v>1</v>
      </c>
      <c r="BY621" t="s">
        <v>3</v>
      </c>
      <c r="BZ621">
        <v>70</v>
      </c>
      <c r="CA621">
        <v>10</v>
      </c>
      <c r="CB621" t="s">
        <v>3</v>
      </c>
      <c r="CE621">
        <v>0</v>
      </c>
      <c r="CF621">
        <v>0</v>
      </c>
      <c r="CG621">
        <v>0</v>
      </c>
      <c r="CM621">
        <v>0</v>
      </c>
      <c r="CN621" t="s">
        <v>3</v>
      </c>
      <c r="CO621">
        <v>0</v>
      </c>
      <c r="CP621">
        <f t="shared" si="604"/>
        <v>17437.62</v>
      </c>
      <c r="CQ621">
        <f t="shared" si="605"/>
        <v>202.8</v>
      </c>
      <c r="CR621">
        <f t="shared" si="627"/>
        <v>23.51</v>
      </c>
      <c r="CS621">
        <f t="shared" si="606"/>
        <v>7.0000000000000007E-2</v>
      </c>
      <c r="CT621">
        <f t="shared" si="607"/>
        <v>2282.6999999999998</v>
      </c>
      <c r="CU621">
        <f t="shared" si="608"/>
        <v>0</v>
      </c>
      <c r="CV621">
        <f t="shared" si="609"/>
        <v>3.44</v>
      </c>
      <c r="CW621">
        <f t="shared" si="610"/>
        <v>0</v>
      </c>
      <c r="CX621">
        <f t="shared" si="611"/>
        <v>0</v>
      </c>
      <c r="CY621">
        <f t="shared" si="612"/>
        <v>11105.339000000002</v>
      </c>
      <c r="CZ621">
        <f t="shared" si="613"/>
        <v>1586.4770000000001</v>
      </c>
      <c r="DC621" t="s">
        <v>3</v>
      </c>
      <c r="DD621" t="s">
        <v>3</v>
      </c>
      <c r="DE621" t="s">
        <v>3</v>
      </c>
      <c r="DF621" t="s">
        <v>3</v>
      </c>
      <c r="DG621" t="s">
        <v>3</v>
      </c>
      <c r="DH621" t="s">
        <v>3</v>
      </c>
      <c r="DI621" t="s">
        <v>3</v>
      </c>
      <c r="DJ621" t="s">
        <v>3</v>
      </c>
      <c r="DK621" t="s">
        <v>3</v>
      </c>
      <c r="DL621" t="s">
        <v>3</v>
      </c>
      <c r="DM621" t="s">
        <v>3</v>
      </c>
      <c r="DN621">
        <v>0</v>
      </c>
      <c r="DO621">
        <v>0</v>
      </c>
      <c r="DP621">
        <v>1</v>
      </c>
      <c r="DQ621">
        <v>1</v>
      </c>
      <c r="DU621">
        <v>1003</v>
      </c>
      <c r="DV621" t="s">
        <v>104</v>
      </c>
      <c r="DW621" t="s">
        <v>104</v>
      </c>
      <c r="DX621">
        <v>100</v>
      </c>
      <c r="DZ621" t="s">
        <v>3</v>
      </c>
      <c r="EA621" t="s">
        <v>3</v>
      </c>
      <c r="EB621" t="s">
        <v>3</v>
      </c>
      <c r="EC621" t="s">
        <v>3</v>
      </c>
      <c r="EE621">
        <v>1441815344</v>
      </c>
      <c r="EF621">
        <v>1</v>
      </c>
      <c r="EG621" t="s">
        <v>22</v>
      </c>
      <c r="EH621">
        <v>0</v>
      </c>
      <c r="EI621" t="s">
        <v>3</v>
      </c>
      <c r="EJ621">
        <v>4</v>
      </c>
      <c r="EK621">
        <v>0</v>
      </c>
      <c r="EL621" t="s">
        <v>23</v>
      </c>
      <c r="EM621" t="s">
        <v>24</v>
      </c>
      <c r="EO621" t="s">
        <v>3</v>
      </c>
      <c r="EQ621">
        <v>1024</v>
      </c>
      <c r="ER621">
        <v>2509.0100000000002</v>
      </c>
      <c r="ES621">
        <v>202.8</v>
      </c>
      <c r="ET621">
        <v>23.51</v>
      </c>
      <c r="EU621">
        <v>7.0000000000000007E-2</v>
      </c>
      <c r="EV621">
        <v>2282.6999999999998</v>
      </c>
      <c r="EW621">
        <v>3.44</v>
      </c>
      <c r="EX621">
        <v>0</v>
      </c>
      <c r="EY621">
        <v>0</v>
      </c>
      <c r="FQ621">
        <v>0</v>
      </c>
      <c r="FR621">
        <f t="shared" si="614"/>
        <v>0</v>
      </c>
      <c r="FS621">
        <v>0</v>
      </c>
      <c r="FX621">
        <v>70</v>
      </c>
      <c r="FY621">
        <v>10</v>
      </c>
      <c r="GA621" t="s">
        <v>3</v>
      </c>
      <c r="GD621">
        <v>0</v>
      </c>
      <c r="GF621">
        <v>-1929809553</v>
      </c>
      <c r="GG621">
        <v>2</v>
      </c>
      <c r="GH621">
        <v>1</v>
      </c>
      <c r="GI621">
        <v>-2</v>
      </c>
      <c r="GJ621">
        <v>0</v>
      </c>
      <c r="GK621">
        <f>ROUND(R621*(R12)/100,2)</f>
        <v>0.53</v>
      </c>
      <c r="GL621">
        <f t="shared" si="615"/>
        <v>0</v>
      </c>
      <c r="GM621">
        <f t="shared" si="616"/>
        <v>30129.97</v>
      </c>
      <c r="GN621">
        <f t="shared" si="617"/>
        <v>0</v>
      </c>
      <c r="GO621">
        <f t="shared" si="618"/>
        <v>0</v>
      </c>
      <c r="GP621">
        <f t="shared" si="619"/>
        <v>30129.97</v>
      </c>
      <c r="GR621">
        <v>0</v>
      </c>
      <c r="GS621">
        <v>3</v>
      </c>
      <c r="GT621">
        <v>0</v>
      </c>
      <c r="GU621" t="s">
        <v>3</v>
      </c>
      <c r="GV621">
        <f t="shared" si="620"/>
        <v>0</v>
      </c>
      <c r="GW621">
        <v>1</v>
      </c>
      <c r="GX621">
        <f t="shared" si="621"/>
        <v>0</v>
      </c>
      <c r="HA621">
        <v>0</v>
      </c>
      <c r="HB621">
        <v>0</v>
      </c>
      <c r="HC621">
        <f t="shared" si="622"/>
        <v>0</v>
      </c>
      <c r="HE621" t="s">
        <v>3</v>
      </c>
      <c r="HF621" t="s">
        <v>3</v>
      </c>
      <c r="HM621" t="s">
        <v>3</v>
      </c>
      <c r="HN621" t="s">
        <v>3</v>
      </c>
      <c r="HO621" t="s">
        <v>3</v>
      </c>
      <c r="HP621" t="s">
        <v>3</v>
      </c>
      <c r="HQ621" t="s">
        <v>3</v>
      </c>
      <c r="IK621">
        <v>0</v>
      </c>
    </row>
    <row r="622" spans="1:245" x14ac:dyDescent="0.2">
      <c r="A622">
        <v>17</v>
      </c>
      <c r="B622">
        <v>1</v>
      </c>
      <c r="D622">
        <f>ROW(EtalonRes!A571)</f>
        <v>571</v>
      </c>
      <c r="E622" t="s">
        <v>3</v>
      </c>
      <c r="F622" t="s">
        <v>271</v>
      </c>
      <c r="G622" t="s">
        <v>381</v>
      </c>
      <c r="H622" t="s">
        <v>104</v>
      </c>
      <c r="I622">
        <f>ROUND(ROUND((180+357+67+78)/100,9),9)</f>
        <v>6.82</v>
      </c>
      <c r="J622">
        <v>0</v>
      </c>
      <c r="K622">
        <f>ROUND(ROUND((180+357+67+78)/100,9),9)</f>
        <v>6.82</v>
      </c>
      <c r="O622">
        <f t="shared" si="588"/>
        <v>11411.57</v>
      </c>
      <c r="P622">
        <f t="shared" si="589"/>
        <v>384.99</v>
      </c>
      <c r="Q622">
        <f t="shared" si="590"/>
        <v>74.680000000000007</v>
      </c>
      <c r="R622">
        <f t="shared" si="591"/>
        <v>0.2</v>
      </c>
      <c r="S622">
        <f t="shared" si="592"/>
        <v>10951.9</v>
      </c>
      <c r="T622">
        <f t="shared" si="593"/>
        <v>0</v>
      </c>
      <c r="U622">
        <f t="shared" si="594"/>
        <v>16.5044</v>
      </c>
      <c r="V622">
        <f t="shared" si="595"/>
        <v>0</v>
      </c>
      <c r="W622">
        <f t="shared" si="596"/>
        <v>0</v>
      </c>
      <c r="X622">
        <f t="shared" si="597"/>
        <v>7666.33</v>
      </c>
      <c r="Y622">
        <f t="shared" si="598"/>
        <v>1095.19</v>
      </c>
      <c r="AA622">
        <v>-1</v>
      </c>
      <c r="AB622">
        <f t="shared" si="599"/>
        <v>1673.25</v>
      </c>
      <c r="AC622">
        <f t="shared" si="623"/>
        <v>56.45</v>
      </c>
      <c r="AD622">
        <f t="shared" si="624"/>
        <v>10.95</v>
      </c>
      <c r="AE622">
        <f t="shared" si="625"/>
        <v>0.03</v>
      </c>
      <c r="AF622">
        <f t="shared" si="625"/>
        <v>1605.85</v>
      </c>
      <c r="AG622">
        <f t="shared" si="601"/>
        <v>0</v>
      </c>
      <c r="AH622">
        <f t="shared" si="626"/>
        <v>2.42</v>
      </c>
      <c r="AI622">
        <f t="shared" si="626"/>
        <v>0</v>
      </c>
      <c r="AJ622">
        <f t="shared" si="603"/>
        <v>0</v>
      </c>
      <c r="AK622">
        <v>1673.25</v>
      </c>
      <c r="AL622">
        <v>56.45</v>
      </c>
      <c r="AM622">
        <v>10.95</v>
      </c>
      <c r="AN622">
        <v>0.03</v>
      </c>
      <c r="AO622">
        <v>1605.85</v>
      </c>
      <c r="AP622">
        <v>0</v>
      </c>
      <c r="AQ622">
        <v>2.42</v>
      </c>
      <c r="AR622">
        <v>0</v>
      </c>
      <c r="AS622">
        <v>0</v>
      </c>
      <c r="AT622">
        <v>70</v>
      </c>
      <c r="AU622">
        <v>10</v>
      </c>
      <c r="AV622">
        <v>1</v>
      </c>
      <c r="AW622">
        <v>1</v>
      </c>
      <c r="AZ622">
        <v>1</v>
      </c>
      <c r="BA622">
        <v>1</v>
      </c>
      <c r="BB622">
        <v>1</v>
      </c>
      <c r="BC622">
        <v>1</v>
      </c>
      <c r="BD622" t="s">
        <v>3</v>
      </c>
      <c r="BE622" t="s">
        <v>3</v>
      </c>
      <c r="BF622" t="s">
        <v>3</v>
      </c>
      <c r="BG622" t="s">
        <v>3</v>
      </c>
      <c r="BH622">
        <v>0</v>
      </c>
      <c r="BI622">
        <v>4</v>
      </c>
      <c r="BJ622" t="s">
        <v>272</v>
      </c>
      <c r="BM622">
        <v>0</v>
      </c>
      <c r="BN622">
        <v>0</v>
      </c>
      <c r="BO622" t="s">
        <v>3</v>
      </c>
      <c r="BP622">
        <v>0</v>
      </c>
      <c r="BQ622">
        <v>1</v>
      </c>
      <c r="BR622">
        <v>0</v>
      </c>
      <c r="BS622">
        <v>1</v>
      </c>
      <c r="BT622">
        <v>1</v>
      </c>
      <c r="BU622">
        <v>1</v>
      </c>
      <c r="BV622">
        <v>1</v>
      </c>
      <c r="BW622">
        <v>1</v>
      </c>
      <c r="BX622">
        <v>1</v>
      </c>
      <c r="BY622" t="s">
        <v>3</v>
      </c>
      <c r="BZ622">
        <v>70</v>
      </c>
      <c r="CA622">
        <v>10</v>
      </c>
      <c r="CB622" t="s">
        <v>3</v>
      </c>
      <c r="CE622">
        <v>0</v>
      </c>
      <c r="CF622">
        <v>0</v>
      </c>
      <c r="CG622">
        <v>0</v>
      </c>
      <c r="CM622">
        <v>0</v>
      </c>
      <c r="CN622" t="s">
        <v>3</v>
      </c>
      <c r="CO622">
        <v>0</v>
      </c>
      <c r="CP622">
        <f t="shared" si="604"/>
        <v>11411.57</v>
      </c>
      <c r="CQ622">
        <f t="shared" si="605"/>
        <v>56.45</v>
      </c>
      <c r="CR622">
        <f t="shared" si="627"/>
        <v>10.95</v>
      </c>
      <c r="CS622">
        <f t="shared" si="606"/>
        <v>0.03</v>
      </c>
      <c r="CT622">
        <f t="shared" si="607"/>
        <v>1605.85</v>
      </c>
      <c r="CU622">
        <f t="shared" si="608"/>
        <v>0</v>
      </c>
      <c r="CV622">
        <f t="shared" si="609"/>
        <v>2.42</v>
      </c>
      <c r="CW622">
        <f t="shared" si="610"/>
        <v>0</v>
      </c>
      <c r="CX622">
        <f t="shared" si="611"/>
        <v>0</v>
      </c>
      <c r="CY622">
        <f t="shared" si="612"/>
        <v>7666.33</v>
      </c>
      <c r="CZ622">
        <f t="shared" si="613"/>
        <v>1095.19</v>
      </c>
      <c r="DC622" t="s">
        <v>3</v>
      </c>
      <c r="DD622" t="s">
        <v>3</v>
      </c>
      <c r="DE622" t="s">
        <v>3</v>
      </c>
      <c r="DF622" t="s">
        <v>3</v>
      </c>
      <c r="DG622" t="s">
        <v>3</v>
      </c>
      <c r="DH622" t="s">
        <v>3</v>
      </c>
      <c r="DI622" t="s">
        <v>3</v>
      </c>
      <c r="DJ622" t="s">
        <v>3</v>
      </c>
      <c r="DK622" t="s">
        <v>3</v>
      </c>
      <c r="DL622" t="s">
        <v>3</v>
      </c>
      <c r="DM622" t="s">
        <v>3</v>
      </c>
      <c r="DN622">
        <v>0</v>
      </c>
      <c r="DO622">
        <v>0</v>
      </c>
      <c r="DP622">
        <v>1</v>
      </c>
      <c r="DQ622">
        <v>1</v>
      </c>
      <c r="DU622">
        <v>1003</v>
      </c>
      <c r="DV622" t="s">
        <v>104</v>
      </c>
      <c r="DW622" t="s">
        <v>104</v>
      </c>
      <c r="DX622">
        <v>100</v>
      </c>
      <c r="DZ622" t="s">
        <v>3</v>
      </c>
      <c r="EA622" t="s">
        <v>3</v>
      </c>
      <c r="EB622" t="s">
        <v>3</v>
      </c>
      <c r="EC622" t="s">
        <v>3</v>
      </c>
      <c r="EE622">
        <v>1441815344</v>
      </c>
      <c r="EF622">
        <v>1</v>
      </c>
      <c r="EG622" t="s">
        <v>22</v>
      </c>
      <c r="EH622">
        <v>0</v>
      </c>
      <c r="EI622" t="s">
        <v>3</v>
      </c>
      <c r="EJ622">
        <v>4</v>
      </c>
      <c r="EK622">
        <v>0</v>
      </c>
      <c r="EL622" t="s">
        <v>23</v>
      </c>
      <c r="EM622" t="s">
        <v>24</v>
      </c>
      <c r="EO622" t="s">
        <v>3</v>
      </c>
      <c r="EQ622">
        <v>1024</v>
      </c>
      <c r="ER622">
        <v>1673.25</v>
      </c>
      <c r="ES622">
        <v>56.45</v>
      </c>
      <c r="ET622">
        <v>10.95</v>
      </c>
      <c r="EU622">
        <v>0.03</v>
      </c>
      <c r="EV622">
        <v>1605.85</v>
      </c>
      <c r="EW622">
        <v>2.42</v>
      </c>
      <c r="EX622">
        <v>0</v>
      </c>
      <c r="EY622">
        <v>0</v>
      </c>
      <c r="FQ622">
        <v>0</v>
      </c>
      <c r="FR622">
        <f t="shared" si="614"/>
        <v>0</v>
      </c>
      <c r="FS622">
        <v>0</v>
      </c>
      <c r="FX622">
        <v>70</v>
      </c>
      <c r="FY622">
        <v>10</v>
      </c>
      <c r="GA622" t="s">
        <v>3</v>
      </c>
      <c r="GD622">
        <v>0</v>
      </c>
      <c r="GF622">
        <v>1032671561</v>
      </c>
      <c r="GG622">
        <v>2</v>
      </c>
      <c r="GH622">
        <v>1</v>
      </c>
      <c r="GI622">
        <v>-2</v>
      </c>
      <c r="GJ622">
        <v>0</v>
      </c>
      <c r="GK622">
        <f>ROUND(R622*(R12)/100,2)</f>
        <v>0.22</v>
      </c>
      <c r="GL622">
        <f t="shared" si="615"/>
        <v>0</v>
      </c>
      <c r="GM622">
        <f t="shared" si="616"/>
        <v>20173.310000000001</v>
      </c>
      <c r="GN622">
        <f t="shared" si="617"/>
        <v>0</v>
      </c>
      <c r="GO622">
        <f t="shared" si="618"/>
        <v>0</v>
      </c>
      <c r="GP622">
        <f t="shared" si="619"/>
        <v>20173.310000000001</v>
      </c>
      <c r="GR622">
        <v>0</v>
      </c>
      <c r="GS622">
        <v>3</v>
      </c>
      <c r="GT622">
        <v>0</v>
      </c>
      <c r="GU622" t="s">
        <v>3</v>
      </c>
      <c r="GV622">
        <f t="shared" si="620"/>
        <v>0</v>
      </c>
      <c r="GW622">
        <v>1</v>
      </c>
      <c r="GX622">
        <f t="shared" si="621"/>
        <v>0</v>
      </c>
      <c r="HA622">
        <v>0</v>
      </c>
      <c r="HB622">
        <v>0</v>
      </c>
      <c r="HC622">
        <f t="shared" si="622"/>
        <v>0</v>
      </c>
      <c r="HE622" t="s">
        <v>3</v>
      </c>
      <c r="HF622" t="s">
        <v>3</v>
      </c>
      <c r="HM622" t="s">
        <v>3</v>
      </c>
      <c r="HN622" t="s">
        <v>3</v>
      </c>
      <c r="HO622" t="s">
        <v>3</v>
      </c>
      <c r="HP622" t="s">
        <v>3</v>
      </c>
      <c r="HQ622" t="s">
        <v>3</v>
      </c>
      <c r="IK622">
        <v>0</v>
      </c>
    </row>
    <row r="623" spans="1:245" x14ac:dyDescent="0.2">
      <c r="A623">
        <v>17</v>
      </c>
      <c r="B623">
        <v>1</v>
      </c>
      <c r="D623">
        <f>ROW(EtalonRes!A577)</f>
        <v>577</v>
      </c>
      <c r="E623" t="s">
        <v>3</v>
      </c>
      <c r="F623" t="s">
        <v>378</v>
      </c>
      <c r="G623" t="s">
        <v>379</v>
      </c>
      <c r="H623" t="s">
        <v>104</v>
      </c>
      <c r="I623">
        <f>ROUND(ROUND((17+98+74)/100,9),9)</f>
        <v>1.89</v>
      </c>
      <c r="J623">
        <v>0</v>
      </c>
      <c r="K623">
        <f>ROUND(ROUND((17+98+74)/100,9),9)</f>
        <v>1.89</v>
      </c>
      <c r="O623">
        <f t="shared" si="588"/>
        <v>16566.3</v>
      </c>
      <c r="P623">
        <f t="shared" si="589"/>
        <v>1717.67</v>
      </c>
      <c r="Q623">
        <f t="shared" si="590"/>
        <v>95.82</v>
      </c>
      <c r="R623">
        <f t="shared" si="591"/>
        <v>1.53</v>
      </c>
      <c r="S623">
        <f t="shared" si="592"/>
        <v>14752.81</v>
      </c>
      <c r="T623">
        <f t="shared" si="593"/>
        <v>0</v>
      </c>
      <c r="U623">
        <f t="shared" si="594"/>
        <v>20.1096</v>
      </c>
      <c r="V623">
        <f t="shared" si="595"/>
        <v>0</v>
      </c>
      <c r="W623">
        <f t="shared" si="596"/>
        <v>0</v>
      </c>
      <c r="X623">
        <f t="shared" si="597"/>
        <v>10326.969999999999</v>
      </c>
      <c r="Y623">
        <f t="shared" si="598"/>
        <v>1475.28</v>
      </c>
      <c r="AA623">
        <v>-1</v>
      </c>
      <c r="AB623">
        <f t="shared" si="599"/>
        <v>8765.24</v>
      </c>
      <c r="AC623">
        <f t="shared" si="623"/>
        <v>908.82</v>
      </c>
      <c r="AD623">
        <f t="shared" si="624"/>
        <v>50.7</v>
      </c>
      <c r="AE623">
        <f t="shared" si="625"/>
        <v>0.81</v>
      </c>
      <c r="AF623">
        <f t="shared" si="625"/>
        <v>7805.72</v>
      </c>
      <c r="AG623">
        <f t="shared" si="601"/>
        <v>0</v>
      </c>
      <c r="AH623">
        <f t="shared" si="626"/>
        <v>10.64</v>
      </c>
      <c r="AI623">
        <f t="shared" si="626"/>
        <v>0</v>
      </c>
      <c r="AJ623">
        <f t="shared" si="603"/>
        <v>0</v>
      </c>
      <c r="AK623">
        <v>8765.24</v>
      </c>
      <c r="AL623">
        <v>908.82</v>
      </c>
      <c r="AM623">
        <v>50.7</v>
      </c>
      <c r="AN623">
        <v>0.81</v>
      </c>
      <c r="AO623">
        <v>7805.72</v>
      </c>
      <c r="AP623">
        <v>0</v>
      </c>
      <c r="AQ623">
        <v>10.64</v>
      </c>
      <c r="AR623">
        <v>0</v>
      </c>
      <c r="AS623">
        <v>0</v>
      </c>
      <c r="AT623">
        <v>70</v>
      </c>
      <c r="AU623">
        <v>10</v>
      </c>
      <c r="AV623">
        <v>1</v>
      </c>
      <c r="AW623">
        <v>1</v>
      </c>
      <c r="AZ623">
        <v>1</v>
      </c>
      <c r="BA623">
        <v>1</v>
      </c>
      <c r="BB623">
        <v>1</v>
      </c>
      <c r="BC623">
        <v>1</v>
      </c>
      <c r="BD623" t="s">
        <v>3</v>
      </c>
      <c r="BE623" t="s">
        <v>3</v>
      </c>
      <c r="BF623" t="s">
        <v>3</v>
      </c>
      <c r="BG623" t="s">
        <v>3</v>
      </c>
      <c r="BH623">
        <v>0</v>
      </c>
      <c r="BI623">
        <v>4</v>
      </c>
      <c r="BJ623" t="s">
        <v>380</v>
      </c>
      <c r="BM623">
        <v>0</v>
      </c>
      <c r="BN623">
        <v>0</v>
      </c>
      <c r="BO623" t="s">
        <v>3</v>
      </c>
      <c r="BP623">
        <v>0</v>
      </c>
      <c r="BQ623">
        <v>1</v>
      </c>
      <c r="BR623">
        <v>0</v>
      </c>
      <c r="BS623">
        <v>1</v>
      </c>
      <c r="BT623">
        <v>1</v>
      </c>
      <c r="BU623">
        <v>1</v>
      </c>
      <c r="BV623">
        <v>1</v>
      </c>
      <c r="BW623">
        <v>1</v>
      </c>
      <c r="BX623">
        <v>1</v>
      </c>
      <c r="BY623" t="s">
        <v>3</v>
      </c>
      <c r="BZ623">
        <v>70</v>
      </c>
      <c r="CA623">
        <v>10</v>
      </c>
      <c r="CB623" t="s">
        <v>3</v>
      </c>
      <c r="CE623">
        <v>0</v>
      </c>
      <c r="CF623">
        <v>0</v>
      </c>
      <c r="CG623">
        <v>0</v>
      </c>
      <c r="CM623">
        <v>0</v>
      </c>
      <c r="CN623" t="s">
        <v>3</v>
      </c>
      <c r="CO623">
        <v>0</v>
      </c>
      <c r="CP623">
        <f t="shared" si="604"/>
        <v>16566.3</v>
      </c>
      <c r="CQ623">
        <f t="shared" si="605"/>
        <v>908.82</v>
      </c>
      <c r="CR623">
        <f t="shared" si="627"/>
        <v>50.7</v>
      </c>
      <c r="CS623">
        <f t="shared" si="606"/>
        <v>0.81</v>
      </c>
      <c r="CT623">
        <f t="shared" si="607"/>
        <v>7805.72</v>
      </c>
      <c r="CU623">
        <f t="shared" si="608"/>
        <v>0</v>
      </c>
      <c r="CV623">
        <f t="shared" si="609"/>
        <v>10.64</v>
      </c>
      <c r="CW623">
        <f t="shared" si="610"/>
        <v>0</v>
      </c>
      <c r="CX623">
        <f t="shared" si="611"/>
        <v>0</v>
      </c>
      <c r="CY623">
        <f t="shared" si="612"/>
        <v>10326.966999999999</v>
      </c>
      <c r="CZ623">
        <f t="shared" si="613"/>
        <v>1475.2809999999999</v>
      </c>
      <c r="DC623" t="s">
        <v>3</v>
      </c>
      <c r="DD623" t="s">
        <v>3</v>
      </c>
      <c r="DE623" t="s">
        <v>3</v>
      </c>
      <c r="DF623" t="s">
        <v>3</v>
      </c>
      <c r="DG623" t="s">
        <v>3</v>
      </c>
      <c r="DH623" t="s">
        <v>3</v>
      </c>
      <c r="DI623" t="s">
        <v>3</v>
      </c>
      <c r="DJ623" t="s">
        <v>3</v>
      </c>
      <c r="DK623" t="s">
        <v>3</v>
      </c>
      <c r="DL623" t="s">
        <v>3</v>
      </c>
      <c r="DM623" t="s">
        <v>3</v>
      </c>
      <c r="DN623">
        <v>0</v>
      </c>
      <c r="DO623">
        <v>0</v>
      </c>
      <c r="DP623">
        <v>1</v>
      </c>
      <c r="DQ623">
        <v>1</v>
      </c>
      <c r="DU623">
        <v>1003</v>
      </c>
      <c r="DV623" t="s">
        <v>104</v>
      </c>
      <c r="DW623" t="s">
        <v>104</v>
      </c>
      <c r="DX623">
        <v>100</v>
      </c>
      <c r="DZ623" t="s">
        <v>3</v>
      </c>
      <c r="EA623" t="s">
        <v>3</v>
      </c>
      <c r="EB623" t="s">
        <v>3</v>
      </c>
      <c r="EC623" t="s">
        <v>3</v>
      </c>
      <c r="EE623">
        <v>1441815344</v>
      </c>
      <c r="EF623">
        <v>1</v>
      </c>
      <c r="EG623" t="s">
        <v>22</v>
      </c>
      <c r="EH623">
        <v>0</v>
      </c>
      <c r="EI623" t="s">
        <v>3</v>
      </c>
      <c r="EJ623">
        <v>4</v>
      </c>
      <c r="EK623">
        <v>0</v>
      </c>
      <c r="EL623" t="s">
        <v>23</v>
      </c>
      <c r="EM623" t="s">
        <v>24</v>
      </c>
      <c r="EO623" t="s">
        <v>3</v>
      </c>
      <c r="EQ623">
        <v>1024</v>
      </c>
      <c r="ER623">
        <v>8765.24</v>
      </c>
      <c r="ES623">
        <v>908.82</v>
      </c>
      <c r="ET623">
        <v>50.7</v>
      </c>
      <c r="EU623">
        <v>0.81</v>
      </c>
      <c r="EV623">
        <v>7805.72</v>
      </c>
      <c r="EW623">
        <v>10.64</v>
      </c>
      <c r="EX623">
        <v>0</v>
      </c>
      <c r="EY623">
        <v>0</v>
      </c>
      <c r="FQ623">
        <v>0</v>
      </c>
      <c r="FR623">
        <f t="shared" si="614"/>
        <v>0</v>
      </c>
      <c r="FS623">
        <v>0</v>
      </c>
      <c r="FX623">
        <v>70</v>
      </c>
      <c r="FY623">
        <v>10</v>
      </c>
      <c r="GA623" t="s">
        <v>3</v>
      </c>
      <c r="GD623">
        <v>0</v>
      </c>
      <c r="GF623">
        <v>138948143</v>
      </c>
      <c r="GG623">
        <v>2</v>
      </c>
      <c r="GH623">
        <v>1</v>
      </c>
      <c r="GI623">
        <v>-2</v>
      </c>
      <c r="GJ623">
        <v>0</v>
      </c>
      <c r="GK623">
        <f>ROUND(R623*(R12)/100,2)</f>
        <v>1.65</v>
      </c>
      <c r="GL623">
        <f t="shared" si="615"/>
        <v>0</v>
      </c>
      <c r="GM623">
        <f t="shared" si="616"/>
        <v>28370.2</v>
      </c>
      <c r="GN623">
        <f t="shared" si="617"/>
        <v>0</v>
      </c>
      <c r="GO623">
        <f t="shared" si="618"/>
        <v>0</v>
      </c>
      <c r="GP623">
        <f t="shared" si="619"/>
        <v>28370.2</v>
      </c>
      <c r="GR623">
        <v>0</v>
      </c>
      <c r="GS623">
        <v>3</v>
      </c>
      <c r="GT623">
        <v>0</v>
      </c>
      <c r="GU623" t="s">
        <v>3</v>
      </c>
      <c r="GV623">
        <f t="shared" si="620"/>
        <v>0</v>
      </c>
      <c r="GW623">
        <v>1</v>
      </c>
      <c r="GX623">
        <f t="shared" si="621"/>
        <v>0</v>
      </c>
      <c r="HA623">
        <v>0</v>
      </c>
      <c r="HB623">
        <v>0</v>
      </c>
      <c r="HC623">
        <f t="shared" si="622"/>
        <v>0</v>
      </c>
      <c r="HE623" t="s">
        <v>3</v>
      </c>
      <c r="HF623" t="s">
        <v>3</v>
      </c>
      <c r="HM623" t="s">
        <v>3</v>
      </c>
      <c r="HN623" t="s">
        <v>3</v>
      </c>
      <c r="HO623" t="s">
        <v>3</v>
      </c>
      <c r="HP623" t="s">
        <v>3</v>
      </c>
      <c r="HQ623" t="s">
        <v>3</v>
      </c>
      <c r="IK623">
        <v>0</v>
      </c>
    </row>
    <row r="624" spans="1:245" x14ac:dyDescent="0.2">
      <c r="A624">
        <v>17</v>
      </c>
      <c r="B624">
        <v>1</v>
      </c>
      <c r="D624">
        <f>ROW(EtalonRes!A583)</f>
        <v>583</v>
      </c>
      <c r="E624" t="s">
        <v>3</v>
      </c>
      <c r="F624" t="s">
        <v>557</v>
      </c>
      <c r="G624" t="s">
        <v>558</v>
      </c>
      <c r="H624" t="s">
        <v>104</v>
      </c>
      <c r="I624">
        <f>ROUND(ROUND((17+180)/100,9),9)</f>
        <v>1.97</v>
      </c>
      <c r="J624">
        <v>0</v>
      </c>
      <c r="K624">
        <f>ROUND(ROUND((17+180)/100,9),9)</f>
        <v>1.97</v>
      </c>
      <c r="O624">
        <f t="shared" si="588"/>
        <v>22202.02</v>
      </c>
      <c r="P624">
        <f t="shared" si="589"/>
        <v>6724.87</v>
      </c>
      <c r="Q624">
        <f t="shared" si="590"/>
        <v>99.88</v>
      </c>
      <c r="R624">
        <f t="shared" si="591"/>
        <v>1.6</v>
      </c>
      <c r="S624">
        <f t="shared" si="592"/>
        <v>15377.27</v>
      </c>
      <c r="T624">
        <f t="shared" si="593"/>
        <v>0</v>
      </c>
      <c r="U624">
        <f t="shared" si="594"/>
        <v>20.960800000000003</v>
      </c>
      <c r="V624">
        <f t="shared" si="595"/>
        <v>0</v>
      </c>
      <c r="W624">
        <f t="shared" si="596"/>
        <v>0</v>
      </c>
      <c r="X624">
        <f t="shared" si="597"/>
        <v>10764.09</v>
      </c>
      <c r="Y624">
        <f t="shared" si="598"/>
        <v>1537.73</v>
      </c>
      <c r="AA624">
        <v>-1</v>
      </c>
      <c r="AB624">
        <f t="shared" si="599"/>
        <v>11270.06</v>
      </c>
      <c r="AC624">
        <f t="shared" si="623"/>
        <v>3413.64</v>
      </c>
      <c r="AD624">
        <f t="shared" si="624"/>
        <v>50.7</v>
      </c>
      <c r="AE624">
        <f t="shared" si="625"/>
        <v>0.81</v>
      </c>
      <c r="AF624">
        <f t="shared" si="625"/>
        <v>7805.72</v>
      </c>
      <c r="AG624">
        <f t="shared" si="601"/>
        <v>0</v>
      </c>
      <c r="AH624">
        <f t="shared" si="626"/>
        <v>10.64</v>
      </c>
      <c r="AI624">
        <f t="shared" si="626"/>
        <v>0</v>
      </c>
      <c r="AJ624">
        <f t="shared" si="603"/>
        <v>0</v>
      </c>
      <c r="AK624">
        <v>11270.06</v>
      </c>
      <c r="AL624">
        <v>3413.64</v>
      </c>
      <c r="AM624">
        <v>50.7</v>
      </c>
      <c r="AN624">
        <v>0.81</v>
      </c>
      <c r="AO624">
        <v>7805.72</v>
      </c>
      <c r="AP624">
        <v>0</v>
      </c>
      <c r="AQ624">
        <v>10.64</v>
      </c>
      <c r="AR624">
        <v>0</v>
      </c>
      <c r="AS624">
        <v>0</v>
      </c>
      <c r="AT624">
        <v>70</v>
      </c>
      <c r="AU624">
        <v>10</v>
      </c>
      <c r="AV624">
        <v>1</v>
      </c>
      <c r="AW624">
        <v>1</v>
      </c>
      <c r="AZ624">
        <v>1</v>
      </c>
      <c r="BA624">
        <v>1</v>
      </c>
      <c r="BB624">
        <v>1</v>
      </c>
      <c r="BC624">
        <v>1</v>
      </c>
      <c r="BD624" t="s">
        <v>3</v>
      </c>
      <c r="BE624" t="s">
        <v>3</v>
      </c>
      <c r="BF624" t="s">
        <v>3</v>
      </c>
      <c r="BG624" t="s">
        <v>3</v>
      </c>
      <c r="BH624">
        <v>0</v>
      </c>
      <c r="BI624">
        <v>4</v>
      </c>
      <c r="BJ624" t="s">
        <v>559</v>
      </c>
      <c r="BM624">
        <v>0</v>
      </c>
      <c r="BN624">
        <v>0</v>
      </c>
      <c r="BO624" t="s">
        <v>3</v>
      </c>
      <c r="BP624">
        <v>0</v>
      </c>
      <c r="BQ624">
        <v>1</v>
      </c>
      <c r="BR624">
        <v>0</v>
      </c>
      <c r="BS624">
        <v>1</v>
      </c>
      <c r="BT624">
        <v>1</v>
      </c>
      <c r="BU624">
        <v>1</v>
      </c>
      <c r="BV624">
        <v>1</v>
      </c>
      <c r="BW624">
        <v>1</v>
      </c>
      <c r="BX624">
        <v>1</v>
      </c>
      <c r="BY624" t="s">
        <v>3</v>
      </c>
      <c r="BZ624">
        <v>70</v>
      </c>
      <c r="CA624">
        <v>10</v>
      </c>
      <c r="CB624" t="s">
        <v>3</v>
      </c>
      <c r="CE624">
        <v>0</v>
      </c>
      <c r="CF624">
        <v>0</v>
      </c>
      <c r="CG624">
        <v>0</v>
      </c>
      <c r="CM624">
        <v>0</v>
      </c>
      <c r="CN624" t="s">
        <v>3</v>
      </c>
      <c r="CO624">
        <v>0</v>
      </c>
      <c r="CP624">
        <f t="shared" si="604"/>
        <v>22202.02</v>
      </c>
      <c r="CQ624">
        <f t="shared" si="605"/>
        <v>3413.64</v>
      </c>
      <c r="CR624">
        <f t="shared" si="627"/>
        <v>50.7</v>
      </c>
      <c r="CS624">
        <f t="shared" si="606"/>
        <v>0.81</v>
      </c>
      <c r="CT624">
        <f t="shared" si="607"/>
        <v>7805.72</v>
      </c>
      <c r="CU624">
        <f t="shared" si="608"/>
        <v>0</v>
      </c>
      <c r="CV624">
        <f t="shared" si="609"/>
        <v>10.64</v>
      </c>
      <c r="CW624">
        <f t="shared" si="610"/>
        <v>0</v>
      </c>
      <c r="CX624">
        <f t="shared" si="611"/>
        <v>0</v>
      </c>
      <c r="CY624">
        <f t="shared" si="612"/>
        <v>10764.089000000002</v>
      </c>
      <c r="CZ624">
        <f t="shared" si="613"/>
        <v>1537.7270000000001</v>
      </c>
      <c r="DC624" t="s">
        <v>3</v>
      </c>
      <c r="DD624" t="s">
        <v>3</v>
      </c>
      <c r="DE624" t="s">
        <v>3</v>
      </c>
      <c r="DF624" t="s">
        <v>3</v>
      </c>
      <c r="DG624" t="s">
        <v>3</v>
      </c>
      <c r="DH624" t="s">
        <v>3</v>
      </c>
      <c r="DI624" t="s">
        <v>3</v>
      </c>
      <c r="DJ624" t="s">
        <v>3</v>
      </c>
      <c r="DK624" t="s">
        <v>3</v>
      </c>
      <c r="DL624" t="s">
        <v>3</v>
      </c>
      <c r="DM624" t="s">
        <v>3</v>
      </c>
      <c r="DN624">
        <v>0</v>
      </c>
      <c r="DO624">
        <v>0</v>
      </c>
      <c r="DP624">
        <v>1</v>
      </c>
      <c r="DQ624">
        <v>1</v>
      </c>
      <c r="DU624">
        <v>1003</v>
      </c>
      <c r="DV624" t="s">
        <v>104</v>
      </c>
      <c r="DW624" t="s">
        <v>104</v>
      </c>
      <c r="DX624">
        <v>100</v>
      </c>
      <c r="DZ624" t="s">
        <v>3</v>
      </c>
      <c r="EA624" t="s">
        <v>3</v>
      </c>
      <c r="EB624" t="s">
        <v>3</v>
      </c>
      <c r="EC624" t="s">
        <v>3</v>
      </c>
      <c r="EE624">
        <v>1441815344</v>
      </c>
      <c r="EF624">
        <v>1</v>
      </c>
      <c r="EG624" t="s">
        <v>22</v>
      </c>
      <c r="EH624">
        <v>0</v>
      </c>
      <c r="EI624" t="s">
        <v>3</v>
      </c>
      <c r="EJ624">
        <v>4</v>
      </c>
      <c r="EK624">
        <v>0</v>
      </c>
      <c r="EL624" t="s">
        <v>23</v>
      </c>
      <c r="EM624" t="s">
        <v>24</v>
      </c>
      <c r="EO624" t="s">
        <v>3</v>
      </c>
      <c r="EQ624">
        <v>1024</v>
      </c>
      <c r="ER624">
        <v>11270.06</v>
      </c>
      <c r="ES624">
        <v>3413.64</v>
      </c>
      <c r="ET624">
        <v>50.7</v>
      </c>
      <c r="EU624">
        <v>0.81</v>
      </c>
      <c r="EV624">
        <v>7805.72</v>
      </c>
      <c r="EW624">
        <v>10.64</v>
      </c>
      <c r="EX624">
        <v>0</v>
      </c>
      <c r="EY624">
        <v>0</v>
      </c>
      <c r="FQ624">
        <v>0</v>
      </c>
      <c r="FR624">
        <f t="shared" si="614"/>
        <v>0</v>
      </c>
      <c r="FS624">
        <v>0</v>
      </c>
      <c r="FX624">
        <v>70</v>
      </c>
      <c r="FY624">
        <v>10</v>
      </c>
      <c r="GA624" t="s">
        <v>3</v>
      </c>
      <c r="GD624">
        <v>0</v>
      </c>
      <c r="GF624">
        <v>52811012</v>
      </c>
      <c r="GG624">
        <v>2</v>
      </c>
      <c r="GH624">
        <v>1</v>
      </c>
      <c r="GI624">
        <v>-2</v>
      </c>
      <c r="GJ624">
        <v>0</v>
      </c>
      <c r="GK624">
        <f>ROUND(R624*(R12)/100,2)</f>
        <v>1.73</v>
      </c>
      <c r="GL624">
        <f t="shared" si="615"/>
        <v>0</v>
      </c>
      <c r="GM624">
        <f t="shared" si="616"/>
        <v>34505.57</v>
      </c>
      <c r="GN624">
        <f t="shared" si="617"/>
        <v>0</v>
      </c>
      <c r="GO624">
        <f t="shared" si="618"/>
        <v>0</v>
      </c>
      <c r="GP624">
        <f t="shared" si="619"/>
        <v>34505.57</v>
      </c>
      <c r="GR624">
        <v>0</v>
      </c>
      <c r="GS624">
        <v>3</v>
      </c>
      <c r="GT624">
        <v>0</v>
      </c>
      <c r="GU624" t="s">
        <v>3</v>
      </c>
      <c r="GV624">
        <f t="shared" si="620"/>
        <v>0</v>
      </c>
      <c r="GW624">
        <v>1</v>
      </c>
      <c r="GX624">
        <f t="shared" si="621"/>
        <v>0</v>
      </c>
      <c r="HA624">
        <v>0</v>
      </c>
      <c r="HB624">
        <v>0</v>
      </c>
      <c r="HC624">
        <f t="shared" si="622"/>
        <v>0</v>
      </c>
      <c r="HE624" t="s">
        <v>3</v>
      </c>
      <c r="HF624" t="s">
        <v>3</v>
      </c>
      <c r="HM624" t="s">
        <v>3</v>
      </c>
      <c r="HN624" t="s">
        <v>3</v>
      </c>
      <c r="HO624" t="s">
        <v>3</v>
      </c>
      <c r="HP624" t="s">
        <v>3</v>
      </c>
      <c r="HQ624" t="s">
        <v>3</v>
      </c>
      <c r="IK624">
        <v>0</v>
      </c>
    </row>
    <row r="625" spans="1:245" x14ac:dyDescent="0.2">
      <c r="A625">
        <v>19</v>
      </c>
      <c r="B625">
        <v>1</v>
      </c>
      <c r="F625" t="s">
        <v>3</v>
      </c>
      <c r="G625" t="s">
        <v>560</v>
      </c>
      <c r="H625" t="s">
        <v>3</v>
      </c>
      <c r="AA625">
        <v>1</v>
      </c>
      <c r="IK625">
        <v>0</v>
      </c>
    </row>
    <row r="626" spans="1:245" x14ac:dyDescent="0.2">
      <c r="A626">
        <v>17</v>
      </c>
      <c r="B626">
        <v>1</v>
      </c>
      <c r="D626">
        <f>ROW(EtalonRes!A584)</f>
        <v>584</v>
      </c>
      <c r="E626" t="s">
        <v>3</v>
      </c>
      <c r="F626" t="s">
        <v>102</v>
      </c>
      <c r="G626" t="s">
        <v>103</v>
      </c>
      <c r="H626" t="s">
        <v>104</v>
      </c>
      <c r="I626">
        <f>ROUND((350)*0.25*0.1/100,9)</f>
        <v>8.7499999999999994E-2</v>
      </c>
      <c r="J626">
        <v>0</v>
      </c>
      <c r="K626">
        <f>ROUND((350)*0.25*0.1/100,9)</f>
        <v>8.7499999999999994E-2</v>
      </c>
      <c r="O626">
        <f>ROUND(CP626,2)</f>
        <v>177.08</v>
      </c>
      <c r="P626">
        <f>ROUND(CQ626*I626,2)</f>
        <v>0</v>
      </c>
      <c r="Q626">
        <f>ROUND(CR626*I626,2)</f>
        <v>0</v>
      </c>
      <c r="R626">
        <f>ROUND(CS626*I626,2)</f>
        <v>0</v>
      </c>
      <c r="S626">
        <f>ROUND(CT626*I626,2)</f>
        <v>177.08</v>
      </c>
      <c r="T626">
        <f>ROUND(CU626*I626,2)</f>
        <v>0</v>
      </c>
      <c r="U626">
        <f>CV626*I626</f>
        <v>0.315</v>
      </c>
      <c r="V626">
        <f>CW626*I626</f>
        <v>0</v>
      </c>
      <c r="W626">
        <f>ROUND(CX626*I626,2)</f>
        <v>0</v>
      </c>
      <c r="X626">
        <f t="shared" ref="X626:Y628" si="628">ROUND(CY626,2)</f>
        <v>123.96</v>
      </c>
      <c r="Y626">
        <f t="shared" si="628"/>
        <v>17.71</v>
      </c>
      <c r="AA626">
        <v>-1</v>
      </c>
      <c r="AB626">
        <f>ROUND((AC626+AD626+AF626),6)</f>
        <v>2023.8</v>
      </c>
      <c r="AC626">
        <f>ROUND(((ES626*4)),6)</f>
        <v>0</v>
      </c>
      <c r="AD626">
        <f>ROUND(((((ET626*4))-((EU626*4)))+AE626),6)</f>
        <v>0</v>
      </c>
      <c r="AE626">
        <f>ROUND(((EU626*4)),6)</f>
        <v>0</v>
      </c>
      <c r="AF626">
        <f>ROUND(((EV626*4)),6)</f>
        <v>2023.8</v>
      </c>
      <c r="AG626">
        <f>ROUND((AP626),6)</f>
        <v>0</v>
      </c>
      <c r="AH626">
        <f>((EW626*4))</f>
        <v>3.6</v>
      </c>
      <c r="AI626">
        <f>((EX626*4))</f>
        <v>0</v>
      </c>
      <c r="AJ626">
        <f>(AS626)</f>
        <v>0</v>
      </c>
      <c r="AK626">
        <v>505.95</v>
      </c>
      <c r="AL626">
        <v>0</v>
      </c>
      <c r="AM626">
        <v>0</v>
      </c>
      <c r="AN626">
        <v>0</v>
      </c>
      <c r="AO626">
        <v>505.95</v>
      </c>
      <c r="AP626">
        <v>0</v>
      </c>
      <c r="AQ626">
        <v>0.9</v>
      </c>
      <c r="AR626">
        <v>0</v>
      </c>
      <c r="AS626">
        <v>0</v>
      </c>
      <c r="AT626">
        <v>70</v>
      </c>
      <c r="AU626">
        <v>10</v>
      </c>
      <c r="AV626">
        <v>1</v>
      </c>
      <c r="AW626">
        <v>1</v>
      </c>
      <c r="AZ626">
        <v>1</v>
      </c>
      <c r="BA626">
        <v>1</v>
      </c>
      <c r="BB626">
        <v>1</v>
      </c>
      <c r="BC626">
        <v>1</v>
      </c>
      <c r="BD626" t="s">
        <v>3</v>
      </c>
      <c r="BE626" t="s">
        <v>3</v>
      </c>
      <c r="BF626" t="s">
        <v>3</v>
      </c>
      <c r="BG626" t="s">
        <v>3</v>
      </c>
      <c r="BH626">
        <v>0</v>
      </c>
      <c r="BI626">
        <v>4</v>
      </c>
      <c r="BJ626" t="s">
        <v>105</v>
      </c>
      <c r="BM626">
        <v>0</v>
      </c>
      <c r="BN626">
        <v>0</v>
      </c>
      <c r="BO626" t="s">
        <v>3</v>
      </c>
      <c r="BP626">
        <v>0</v>
      </c>
      <c r="BQ626">
        <v>1</v>
      </c>
      <c r="BR626">
        <v>0</v>
      </c>
      <c r="BS626">
        <v>1</v>
      </c>
      <c r="BT626">
        <v>1</v>
      </c>
      <c r="BU626">
        <v>1</v>
      </c>
      <c r="BV626">
        <v>1</v>
      </c>
      <c r="BW626">
        <v>1</v>
      </c>
      <c r="BX626">
        <v>1</v>
      </c>
      <c r="BY626" t="s">
        <v>3</v>
      </c>
      <c r="BZ626">
        <v>70</v>
      </c>
      <c r="CA626">
        <v>10</v>
      </c>
      <c r="CB626" t="s">
        <v>3</v>
      </c>
      <c r="CE626">
        <v>0</v>
      </c>
      <c r="CF626">
        <v>0</v>
      </c>
      <c r="CG626">
        <v>0</v>
      </c>
      <c r="CM626">
        <v>0</v>
      </c>
      <c r="CN626" t="s">
        <v>3</v>
      </c>
      <c r="CO626">
        <v>0</v>
      </c>
      <c r="CP626">
        <f>(P626+Q626+S626)</f>
        <v>177.08</v>
      </c>
      <c r="CQ626">
        <f>(AC626*BC626*AW626)</f>
        <v>0</v>
      </c>
      <c r="CR626">
        <f>(((((ET626*4))*BB626-((EU626*4))*BS626)+AE626*BS626)*AV626)</f>
        <v>0</v>
      </c>
      <c r="CS626">
        <f>(AE626*BS626*AV626)</f>
        <v>0</v>
      </c>
      <c r="CT626">
        <f>(AF626*BA626*AV626)</f>
        <v>2023.8</v>
      </c>
      <c r="CU626">
        <f>AG626</f>
        <v>0</v>
      </c>
      <c r="CV626">
        <f>(AH626*AV626)</f>
        <v>3.6</v>
      </c>
      <c r="CW626">
        <f t="shared" ref="CW626:CX628" si="629">AI626</f>
        <v>0</v>
      </c>
      <c r="CX626">
        <f t="shared" si="629"/>
        <v>0</v>
      </c>
      <c r="CY626">
        <f>((S626*BZ626)/100)</f>
        <v>123.956</v>
      </c>
      <c r="CZ626">
        <f>((S626*CA626)/100)</f>
        <v>17.708000000000002</v>
      </c>
      <c r="DC626" t="s">
        <v>3</v>
      </c>
      <c r="DD626" t="s">
        <v>106</v>
      </c>
      <c r="DE626" t="s">
        <v>106</v>
      </c>
      <c r="DF626" t="s">
        <v>106</v>
      </c>
      <c r="DG626" t="s">
        <v>106</v>
      </c>
      <c r="DH626" t="s">
        <v>3</v>
      </c>
      <c r="DI626" t="s">
        <v>106</v>
      </c>
      <c r="DJ626" t="s">
        <v>106</v>
      </c>
      <c r="DK626" t="s">
        <v>3</v>
      </c>
      <c r="DL626" t="s">
        <v>3</v>
      </c>
      <c r="DM626" t="s">
        <v>3</v>
      </c>
      <c r="DN626">
        <v>0</v>
      </c>
      <c r="DO626">
        <v>0</v>
      </c>
      <c r="DP626">
        <v>1</v>
      </c>
      <c r="DQ626">
        <v>1</v>
      </c>
      <c r="DU626">
        <v>1003</v>
      </c>
      <c r="DV626" t="s">
        <v>104</v>
      </c>
      <c r="DW626" t="s">
        <v>104</v>
      </c>
      <c r="DX626">
        <v>100</v>
      </c>
      <c r="DZ626" t="s">
        <v>3</v>
      </c>
      <c r="EA626" t="s">
        <v>3</v>
      </c>
      <c r="EB626" t="s">
        <v>3</v>
      </c>
      <c r="EC626" t="s">
        <v>3</v>
      </c>
      <c r="EE626">
        <v>1441815344</v>
      </c>
      <c r="EF626">
        <v>1</v>
      </c>
      <c r="EG626" t="s">
        <v>22</v>
      </c>
      <c r="EH626">
        <v>0</v>
      </c>
      <c r="EI626" t="s">
        <v>3</v>
      </c>
      <c r="EJ626">
        <v>4</v>
      </c>
      <c r="EK626">
        <v>0</v>
      </c>
      <c r="EL626" t="s">
        <v>23</v>
      </c>
      <c r="EM626" t="s">
        <v>24</v>
      </c>
      <c r="EO626" t="s">
        <v>3</v>
      </c>
      <c r="EQ626">
        <v>1024</v>
      </c>
      <c r="ER626">
        <v>505.95</v>
      </c>
      <c r="ES626">
        <v>0</v>
      </c>
      <c r="ET626">
        <v>0</v>
      </c>
      <c r="EU626">
        <v>0</v>
      </c>
      <c r="EV626">
        <v>505.95</v>
      </c>
      <c r="EW626">
        <v>0.9</v>
      </c>
      <c r="EX626">
        <v>0</v>
      </c>
      <c r="EY626">
        <v>0</v>
      </c>
      <c r="FQ626">
        <v>0</v>
      </c>
      <c r="FR626">
        <f>ROUND(IF(BI626=3,GM626,0),2)</f>
        <v>0</v>
      </c>
      <c r="FS626">
        <v>0</v>
      </c>
      <c r="FX626">
        <v>70</v>
      </c>
      <c r="FY626">
        <v>10</v>
      </c>
      <c r="GA626" t="s">
        <v>3</v>
      </c>
      <c r="GD626">
        <v>0</v>
      </c>
      <c r="GF626">
        <v>-341239612</v>
      </c>
      <c r="GG626">
        <v>2</v>
      </c>
      <c r="GH626">
        <v>1</v>
      </c>
      <c r="GI626">
        <v>-2</v>
      </c>
      <c r="GJ626">
        <v>0</v>
      </c>
      <c r="GK626">
        <f>ROUND(R626*(R12)/100,2)</f>
        <v>0</v>
      </c>
      <c r="GL626">
        <f>ROUND(IF(AND(BH626=3,BI626=3,FS626&lt;&gt;0),P626,0),2)</f>
        <v>0</v>
      </c>
      <c r="GM626">
        <f>ROUND(O626+X626+Y626+GK626,2)+GX626</f>
        <v>318.75</v>
      </c>
      <c r="GN626">
        <f>IF(OR(BI626=0,BI626=1),GM626-GX626,0)</f>
        <v>0</v>
      </c>
      <c r="GO626">
        <f>IF(BI626=2,GM626-GX626,0)</f>
        <v>0</v>
      </c>
      <c r="GP626">
        <f>IF(BI626=4,GM626-GX626,0)</f>
        <v>318.75</v>
      </c>
      <c r="GR626">
        <v>0</v>
      </c>
      <c r="GS626">
        <v>3</v>
      </c>
      <c r="GT626">
        <v>0</v>
      </c>
      <c r="GU626" t="s">
        <v>3</v>
      </c>
      <c r="GV626">
        <f>ROUND((GT626),6)</f>
        <v>0</v>
      </c>
      <c r="GW626">
        <v>1</v>
      </c>
      <c r="GX626">
        <f>ROUND(HC626*I626,2)</f>
        <v>0</v>
      </c>
      <c r="HA626">
        <v>0</v>
      </c>
      <c r="HB626">
        <v>0</v>
      </c>
      <c r="HC626">
        <f>GV626*GW626</f>
        <v>0</v>
      </c>
      <c r="HE626" t="s">
        <v>3</v>
      </c>
      <c r="HF626" t="s">
        <v>3</v>
      </c>
      <c r="HM626" t="s">
        <v>3</v>
      </c>
      <c r="HN626" t="s">
        <v>3</v>
      </c>
      <c r="HO626" t="s">
        <v>3</v>
      </c>
      <c r="HP626" t="s">
        <v>3</v>
      </c>
      <c r="HQ626" t="s">
        <v>3</v>
      </c>
      <c r="IK626">
        <v>0</v>
      </c>
    </row>
    <row r="627" spans="1:245" x14ac:dyDescent="0.2">
      <c r="A627">
        <v>17</v>
      </c>
      <c r="B627">
        <v>1</v>
      </c>
      <c r="D627">
        <f>ROW(EtalonRes!A585)</f>
        <v>585</v>
      </c>
      <c r="E627" t="s">
        <v>3</v>
      </c>
      <c r="F627" t="s">
        <v>107</v>
      </c>
      <c r="G627" t="s">
        <v>108</v>
      </c>
      <c r="H627" t="s">
        <v>104</v>
      </c>
      <c r="I627">
        <f>ROUND((350)*0.75*0.1/100,9)</f>
        <v>0.26250000000000001</v>
      </c>
      <c r="J627">
        <v>0</v>
      </c>
      <c r="K627">
        <f>ROUND((350)*0.75*0.1/100,9)</f>
        <v>0.26250000000000001</v>
      </c>
      <c r="O627">
        <f>ROUND(CP627,2)</f>
        <v>1558.34</v>
      </c>
      <c r="P627">
        <f>ROUND(CQ627*I627,2)</f>
        <v>0</v>
      </c>
      <c r="Q627">
        <f>ROUND(CR627*I627,2)</f>
        <v>0</v>
      </c>
      <c r="R627">
        <f>ROUND(CS627*I627,2)</f>
        <v>0</v>
      </c>
      <c r="S627">
        <f>ROUND(CT627*I627,2)</f>
        <v>1558.34</v>
      </c>
      <c r="T627">
        <f>ROUND(CU627*I627,2)</f>
        <v>0</v>
      </c>
      <c r="U627">
        <f>CV627*I627</f>
        <v>2.7720000000000002</v>
      </c>
      <c r="V627">
        <f>CW627*I627</f>
        <v>0</v>
      </c>
      <c r="W627">
        <f>ROUND(CX627*I627,2)</f>
        <v>0</v>
      </c>
      <c r="X627">
        <f t="shared" si="628"/>
        <v>1090.8399999999999</v>
      </c>
      <c r="Y627">
        <f t="shared" si="628"/>
        <v>155.83000000000001</v>
      </c>
      <c r="AA627">
        <v>-1</v>
      </c>
      <c r="AB627">
        <f>ROUND((AC627+AD627+AF627),6)</f>
        <v>5936.52</v>
      </c>
      <c r="AC627">
        <f>ROUND(((ES627*4)),6)</f>
        <v>0</v>
      </c>
      <c r="AD627">
        <f>ROUND(((((ET627*4))-((EU627*4)))+AE627),6)</f>
        <v>0</v>
      </c>
      <c r="AE627">
        <f>ROUND(((EU627*4)),6)</f>
        <v>0</v>
      </c>
      <c r="AF627">
        <f>ROUND(((EV627*4)),6)</f>
        <v>5936.52</v>
      </c>
      <c r="AG627">
        <f>ROUND((AP627),6)</f>
        <v>0</v>
      </c>
      <c r="AH627">
        <f>((EW627*4))</f>
        <v>10.56</v>
      </c>
      <c r="AI627">
        <f>((EX627*4))</f>
        <v>0</v>
      </c>
      <c r="AJ627">
        <f>(AS627)</f>
        <v>0</v>
      </c>
      <c r="AK627">
        <v>1484.13</v>
      </c>
      <c r="AL627">
        <v>0</v>
      </c>
      <c r="AM627">
        <v>0</v>
      </c>
      <c r="AN627">
        <v>0</v>
      </c>
      <c r="AO627">
        <v>1484.13</v>
      </c>
      <c r="AP627">
        <v>0</v>
      </c>
      <c r="AQ627">
        <v>2.64</v>
      </c>
      <c r="AR627">
        <v>0</v>
      </c>
      <c r="AS627">
        <v>0</v>
      </c>
      <c r="AT627">
        <v>70</v>
      </c>
      <c r="AU627">
        <v>10</v>
      </c>
      <c r="AV627">
        <v>1</v>
      </c>
      <c r="AW627">
        <v>1</v>
      </c>
      <c r="AZ627">
        <v>1</v>
      </c>
      <c r="BA627">
        <v>1</v>
      </c>
      <c r="BB627">
        <v>1</v>
      </c>
      <c r="BC627">
        <v>1</v>
      </c>
      <c r="BD627" t="s">
        <v>3</v>
      </c>
      <c r="BE627" t="s">
        <v>3</v>
      </c>
      <c r="BF627" t="s">
        <v>3</v>
      </c>
      <c r="BG627" t="s">
        <v>3</v>
      </c>
      <c r="BH627">
        <v>0</v>
      </c>
      <c r="BI627">
        <v>4</v>
      </c>
      <c r="BJ627" t="s">
        <v>109</v>
      </c>
      <c r="BM627">
        <v>0</v>
      </c>
      <c r="BN627">
        <v>0</v>
      </c>
      <c r="BO627" t="s">
        <v>3</v>
      </c>
      <c r="BP627">
        <v>0</v>
      </c>
      <c r="BQ627">
        <v>1</v>
      </c>
      <c r="BR627">
        <v>0</v>
      </c>
      <c r="BS627">
        <v>1</v>
      </c>
      <c r="BT627">
        <v>1</v>
      </c>
      <c r="BU627">
        <v>1</v>
      </c>
      <c r="BV627">
        <v>1</v>
      </c>
      <c r="BW627">
        <v>1</v>
      </c>
      <c r="BX627">
        <v>1</v>
      </c>
      <c r="BY627" t="s">
        <v>3</v>
      </c>
      <c r="BZ627">
        <v>70</v>
      </c>
      <c r="CA627">
        <v>10</v>
      </c>
      <c r="CB627" t="s">
        <v>3</v>
      </c>
      <c r="CE627">
        <v>0</v>
      </c>
      <c r="CF627">
        <v>0</v>
      </c>
      <c r="CG627">
        <v>0</v>
      </c>
      <c r="CM627">
        <v>0</v>
      </c>
      <c r="CN627" t="s">
        <v>3</v>
      </c>
      <c r="CO627">
        <v>0</v>
      </c>
      <c r="CP627">
        <f>(P627+Q627+S627)</f>
        <v>1558.34</v>
      </c>
      <c r="CQ627">
        <f>(AC627*BC627*AW627)</f>
        <v>0</v>
      </c>
      <c r="CR627">
        <f>(((((ET627*4))*BB627-((EU627*4))*BS627)+AE627*BS627)*AV627)</f>
        <v>0</v>
      </c>
      <c r="CS627">
        <f>(AE627*BS627*AV627)</f>
        <v>0</v>
      </c>
      <c r="CT627">
        <f>(AF627*BA627*AV627)</f>
        <v>5936.52</v>
      </c>
      <c r="CU627">
        <f>AG627</f>
        <v>0</v>
      </c>
      <c r="CV627">
        <f>(AH627*AV627)</f>
        <v>10.56</v>
      </c>
      <c r="CW627">
        <f t="shared" si="629"/>
        <v>0</v>
      </c>
      <c r="CX627">
        <f t="shared" si="629"/>
        <v>0</v>
      </c>
      <c r="CY627">
        <f>((S627*BZ627)/100)</f>
        <v>1090.838</v>
      </c>
      <c r="CZ627">
        <f>((S627*CA627)/100)</f>
        <v>155.834</v>
      </c>
      <c r="DC627" t="s">
        <v>3</v>
      </c>
      <c r="DD627" t="s">
        <v>106</v>
      </c>
      <c r="DE627" t="s">
        <v>106</v>
      </c>
      <c r="DF627" t="s">
        <v>106</v>
      </c>
      <c r="DG627" t="s">
        <v>106</v>
      </c>
      <c r="DH627" t="s">
        <v>3</v>
      </c>
      <c r="DI627" t="s">
        <v>106</v>
      </c>
      <c r="DJ627" t="s">
        <v>106</v>
      </c>
      <c r="DK627" t="s">
        <v>3</v>
      </c>
      <c r="DL627" t="s">
        <v>3</v>
      </c>
      <c r="DM627" t="s">
        <v>3</v>
      </c>
      <c r="DN627">
        <v>0</v>
      </c>
      <c r="DO627">
        <v>0</v>
      </c>
      <c r="DP627">
        <v>1</v>
      </c>
      <c r="DQ627">
        <v>1</v>
      </c>
      <c r="DU627">
        <v>1003</v>
      </c>
      <c r="DV627" t="s">
        <v>104</v>
      </c>
      <c r="DW627" t="s">
        <v>104</v>
      </c>
      <c r="DX627">
        <v>100</v>
      </c>
      <c r="DZ627" t="s">
        <v>3</v>
      </c>
      <c r="EA627" t="s">
        <v>3</v>
      </c>
      <c r="EB627" t="s">
        <v>3</v>
      </c>
      <c r="EC627" t="s">
        <v>3</v>
      </c>
      <c r="EE627">
        <v>1441815344</v>
      </c>
      <c r="EF627">
        <v>1</v>
      </c>
      <c r="EG627" t="s">
        <v>22</v>
      </c>
      <c r="EH627">
        <v>0</v>
      </c>
      <c r="EI627" t="s">
        <v>3</v>
      </c>
      <c r="EJ627">
        <v>4</v>
      </c>
      <c r="EK627">
        <v>0</v>
      </c>
      <c r="EL627" t="s">
        <v>23</v>
      </c>
      <c r="EM627" t="s">
        <v>24</v>
      </c>
      <c r="EO627" t="s">
        <v>3</v>
      </c>
      <c r="EQ627">
        <v>1024</v>
      </c>
      <c r="ER627">
        <v>1484.13</v>
      </c>
      <c r="ES627">
        <v>0</v>
      </c>
      <c r="ET627">
        <v>0</v>
      </c>
      <c r="EU627">
        <v>0</v>
      </c>
      <c r="EV627">
        <v>1484.13</v>
      </c>
      <c r="EW627">
        <v>2.64</v>
      </c>
      <c r="EX627">
        <v>0</v>
      </c>
      <c r="EY627">
        <v>0</v>
      </c>
      <c r="FQ627">
        <v>0</v>
      </c>
      <c r="FR627">
        <f>ROUND(IF(BI627=3,GM627,0),2)</f>
        <v>0</v>
      </c>
      <c r="FS627">
        <v>0</v>
      </c>
      <c r="FX627">
        <v>70</v>
      </c>
      <c r="FY627">
        <v>10</v>
      </c>
      <c r="GA627" t="s">
        <v>3</v>
      </c>
      <c r="GD627">
        <v>0</v>
      </c>
      <c r="GF627">
        <v>1802126441</v>
      </c>
      <c r="GG627">
        <v>2</v>
      </c>
      <c r="GH627">
        <v>1</v>
      </c>
      <c r="GI627">
        <v>-2</v>
      </c>
      <c r="GJ627">
        <v>0</v>
      </c>
      <c r="GK627">
        <f>ROUND(R627*(R12)/100,2)</f>
        <v>0</v>
      </c>
      <c r="GL627">
        <f>ROUND(IF(AND(BH627=3,BI627=3,FS627&lt;&gt;0),P627,0),2)</f>
        <v>0</v>
      </c>
      <c r="GM627">
        <f>ROUND(O627+X627+Y627+GK627,2)+GX627</f>
        <v>2805.01</v>
      </c>
      <c r="GN627">
        <f>IF(OR(BI627=0,BI627=1),GM627-GX627,0)</f>
        <v>0</v>
      </c>
      <c r="GO627">
        <f>IF(BI627=2,GM627-GX627,0)</f>
        <v>0</v>
      </c>
      <c r="GP627">
        <f>IF(BI627=4,GM627-GX627,0)</f>
        <v>2805.01</v>
      </c>
      <c r="GR627">
        <v>0</v>
      </c>
      <c r="GS627">
        <v>3</v>
      </c>
      <c r="GT627">
        <v>0</v>
      </c>
      <c r="GU627" t="s">
        <v>3</v>
      </c>
      <c r="GV627">
        <f>ROUND((GT627),6)</f>
        <v>0</v>
      </c>
      <c r="GW627">
        <v>1</v>
      </c>
      <c r="GX627">
        <f>ROUND(HC627*I627,2)</f>
        <v>0</v>
      </c>
      <c r="HA627">
        <v>0</v>
      </c>
      <c r="HB627">
        <v>0</v>
      </c>
      <c r="HC627">
        <f>GV627*GW627</f>
        <v>0</v>
      </c>
      <c r="HE627" t="s">
        <v>3</v>
      </c>
      <c r="HF627" t="s">
        <v>3</v>
      </c>
      <c r="HM627" t="s">
        <v>3</v>
      </c>
      <c r="HN627" t="s">
        <v>3</v>
      </c>
      <c r="HO627" t="s">
        <v>3</v>
      </c>
      <c r="HP627" t="s">
        <v>3</v>
      </c>
      <c r="HQ627" t="s">
        <v>3</v>
      </c>
      <c r="IK627">
        <v>0</v>
      </c>
    </row>
    <row r="628" spans="1:245" x14ac:dyDescent="0.2">
      <c r="A628">
        <v>17</v>
      </c>
      <c r="B628">
        <v>1</v>
      </c>
      <c r="D628">
        <f>ROW(EtalonRes!A586)</f>
        <v>586</v>
      </c>
      <c r="E628" t="s">
        <v>3</v>
      </c>
      <c r="F628" t="s">
        <v>125</v>
      </c>
      <c r="G628" t="s">
        <v>561</v>
      </c>
      <c r="H628" t="s">
        <v>94</v>
      </c>
      <c r="I628">
        <f>ROUND(ROUND(27/10,9),9)</f>
        <v>2.7</v>
      </c>
      <c r="J628">
        <v>0</v>
      </c>
      <c r="K628">
        <f>ROUND(ROUND(27/10,9),9)</f>
        <v>2.7</v>
      </c>
      <c r="O628">
        <f>ROUND(CP628,2)</f>
        <v>916.97</v>
      </c>
      <c r="P628">
        <f>ROUND(CQ628*I628,2)</f>
        <v>0</v>
      </c>
      <c r="Q628">
        <f>ROUND(CR628*I628,2)</f>
        <v>0</v>
      </c>
      <c r="R628">
        <f>ROUND(CS628*I628,2)</f>
        <v>0</v>
      </c>
      <c r="S628">
        <f>ROUND(CT628*I628,2)</f>
        <v>916.97</v>
      </c>
      <c r="T628">
        <f>ROUND(CU628*I628,2)</f>
        <v>0</v>
      </c>
      <c r="U628">
        <f>CV628*I628</f>
        <v>1.4850000000000003</v>
      </c>
      <c r="V628">
        <f>CW628*I628</f>
        <v>0</v>
      </c>
      <c r="W628">
        <f>ROUND(CX628*I628,2)</f>
        <v>0</v>
      </c>
      <c r="X628">
        <f t="shared" si="628"/>
        <v>641.88</v>
      </c>
      <c r="Y628">
        <f t="shared" si="628"/>
        <v>91.7</v>
      </c>
      <c r="AA628">
        <v>-1</v>
      </c>
      <c r="AB628">
        <f>ROUND((AC628+AD628+AF628),6)</f>
        <v>339.62</v>
      </c>
      <c r="AC628">
        <f>ROUND((ES628),6)</f>
        <v>0</v>
      </c>
      <c r="AD628">
        <f>ROUND((((ET628)-(EU628))+AE628),6)</f>
        <v>0</v>
      </c>
      <c r="AE628">
        <f>ROUND((EU628),6)</f>
        <v>0</v>
      </c>
      <c r="AF628">
        <f>ROUND((EV628),6)</f>
        <v>339.62</v>
      </c>
      <c r="AG628">
        <f>ROUND((AP628),6)</f>
        <v>0</v>
      </c>
      <c r="AH628">
        <f>(EW628)</f>
        <v>0.55000000000000004</v>
      </c>
      <c r="AI628">
        <f>(EX628)</f>
        <v>0</v>
      </c>
      <c r="AJ628">
        <f>(AS628)</f>
        <v>0</v>
      </c>
      <c r="AK628">
        <v>339.62</v>
      </c>
      <c r="AL628">
        <v>0</v>
      </c>
      <c r="AM628">
        <v>0</v>
      </c>
      <c r="AN628">
        <v>0</v>
      </c>
      <c r="AO628">
        <v>339.62</v>
      </c>
      <c r="AP628">
        <v>0</v>
      </c>
      <c r="AQ628">
        <v>0.55000000000000004</v>
      </c>
      <c r="AR628">
        <v>0</v>
      </c>
      <c r="AS628">
        <v>0</v>
      </c>
      <c r="AT628">
        <v>70</v>
      </c>
      <c r="AU628">
        <v>10</v>
      </c>
      <c r="AV628">
        <v>1</v>
      </c>
      <c r="AW628">
        <v>1</v>
      </c>
      <c r="AZ628">
        <v>1</v>
      </c>
      <c r="BA628">
        <v>1</v>
      </c>
      <c r="BB628">
        <v>1</v>
      </c>
      <c r="BC628">
        <v>1</v>
      </c>
      <c r="BD628" t="s">
        <v>3</v>
      </c>
      <c r="BE628" t="s">
        <v>3</v>
      </c>
      <c r="BF628" t="s">
        <v>3</v>
      </c>
      <c r="BG628" t="s">
        <v>3</v>
      </c>
      <c r="BH628">
        <v>0</v>
      </c>
      <c r="BI628">
        <v>4</v>
      </c>
      <c r="BJ628" t="s">
        <v>127</v>
      </c>
      <c r="BM628">
        <v>0</v>
      </c>
      <c r="BN628">
        <v>0</v>
      </c>
      <c r="BO628" t="s">
        <v>3</v>
      </c>
      <c r="BP628">
        <v>0</v>
      </c>
      <c r="BQ628">
        <v>1</v>
      </c>
      <c r="BR628">
        <v>0</v>
      </c>
      <c r="BS628">
        <v>1</v>
      </c>
      <c r="BT628">
        <v>1</v>
      </c>
      <c r="BU628">
        <v>1</v>
      </c>
      <c r="BV628">
        <v>1</v>
      </c>
      <c r="BW628">
        <v>1</v>
      </c>
      <c r="BX628">
        <v>1</v>
      </c>
      <c r="BY628" t="s">
        <v>3</v>
      </c>
      <c r="BZ628">
        <v>70</v>
      </c>
      <c r="CA628">
        <v>10</v>
      </c>
      <c r="CB628" t="s">
        <v>3</v>
      </c>
      <c r="CE628">
        <v>0</v>
      </c>
      <c r="CF628">
        <v>0</v>
      </c>
      <c r="CG628">
        <v>0</v>
      </c>
      <c r="CM628">
        <v>0</v>
      </c>
      <c r="CN628" t="s">
        <v>3</v>
      </c>
      <c r="CO628">
        <v>0</v>
      </c>
      <c r="CP628">
        <f>(P628+Q628+S628)</f>
        <v>916.97</v>
      </c>
      <c r="CQ628">
        <f>(AC628*BC628*AW628)</f>
        <v>0</v>
      </c>
      <c r="CR628">
        <f>((((ET628)*BB628-(EU628)*BS628)+AE628*BS628)*AV628)</f>
        <v>0</v>
      </c>
      <c r="CS628">
        <f>(AE628*BS628*AV628)</f>
        <v>0</v>
      </c>
      <c r="CT628">
        <f>(AF628*BA628*AV628)</f>
        <v>339.62</v>
      </c>
      <c r="CU628">
        <f>AG628</f>
        <v>0</v>
      </c>
      <c r="CV628">
        <f>(AH628*AV628)</f>
        <v>0.55000000000000004</v>
      </c>
      <c r="CW628">
        <f t="shared" si="629"/>
        <v>0</v>
      </c>
      <c r="CX628">
        <f t="shared" si="629"/>
        <v>0</v>
      </c>
      <c r="CY628">
        <f>((S628*BZ628)/100)</f>
        <v>641.87900000000002</v>
      </c>
      <c r="CZ628">
        <f>((S628*CA628)/100)</f>
        <v>91.697000000000003</v>
      </c>
      <c r="DC628" t="s">
        <v>3</v>
      </c>
      <c r="DD628" t="s">
        <v>3</v>
      </c>
      <c r="DE628" t="s">
        <v>3</v>
      </c>
      <c r="DF628" t="s">
        <v>3</v>
      </c>
      <c r="DG628" t="s">
        <v>3</v>
      </c>
      <c r="DH628" t="s">
        <v>3</v>
      </c>
      <c r="DI628" t="s">
        <v>3</v>
      </c>
      <c r="DJ628" t="s">
        <v>3</v>
      </c>
      <c r="DK628" t="s">
        <v>3</v>
      </c>
      <c r="DL628" t="s">
        <v>3</v>
      </c>
      <c r="DM628" t="s">
        <v>3</v>
      </c>
      <c r="DN628">
        <v>0</v>
      </c>
      <c r="DO628">
        <v>0</v>
      </c>
      <c r="DP628">
        <v>1</v>
      </c>
      <c r="DQ628">
        <v>1</v>
      </c>
      <c r="DU628">
        <v>16987630</v>
      </c>
      <c r="DV628" t="s">
        <v>94</v>
      </c>
      <c r="DW628" t="s">
        <v>94</v>
      </c>
      <c r="DX628">
        <v>10</v>
      </c>
      <c r="DZ628" t="s">
        <v>3</v>
      </c>
      <c r="EA628" t="s">
        <v>3</v>
      </c>
      <c r="EB628" t="s">
        <v>3</v>
      </c>
      <c r="EC628" t="s">
        <v>3</v>
      </c>
      <c r="EE628">
        <v>1441815344</v>
      </c>
      <c r="EF628">
        <v>1</v>
      </c>
      <c r="EG628" t="s">
        <v>22</v>
      </c>
      <c r="EH628">
        <v>0</v>
      </c>
      <c r="EI628" t="s">
        <v>3</v>
      </c>
      <c r="EJ628">
        <v>4</v>
      </c>
      <c r="EK628">
        <v>0</v>
      </c>
      <c r="EL628" t="s">
        <v>23</v>
      </c>
      <c r="EM628" t="s">
        <v>24</v>
      </c>
      <c r="EO628" t="s">
        <v>3</v>
      </c>
      <c r="EQ628">
        <v>1024</v>
      </c>
      <c r="ER628">
        <v>339.62</v>
      </c>
      <c r="ES628">
        <v>0</v>
      </c>
      <c r="ET628">
        <v>0</v>
      </c>
      <c r="EU628">
        <v>0</v>
      </c>
      <c r="EV628">
        <v>339.62</v>
      </c>
      <c r="EW628">
        <v>0.55000000000000004</v>
      </c>
      <c r="EX628">
        <v>0</v>
      </c>
      <c r="EY628">
        <v>0</v>
      </c>
      <c r="FQ628">
        <v>0</v>
      </c>
      <c r="FR628">
        <f>ROUND(IF(BI628=3,GM628,0),2)</f>
        <v>0</v>
      </c>
      <c r="FS628">
        <v>0</v>
      </c>
      <c r="FX628">
        <v>70</v>
      </c>
      <c r="FY628">
        <v>10</v>
      </c>
      <c r="GA628" t="s">
        <v>3</v>
      </c>
      <c r="GD628">
        <v>0</v>
      </c>
      <c r="GF628">
        <v>1803897289</v>
      </c>
      <c r="GG628">
        <v>2</v>
      </c>
      <c r="GH628">
        <v>1</v>
      </c>
      <c r="GI628">
        <v>-2</v>
      </c>
      <c r="GJ628">
        <v>0</v>
      </c>
      <c r="GK628">
        <f>ROUND(R628*(R12)/100,2)</f>
        <v>0</v>
      </c>
      <c r="GL628">
        <f>ROUND(IF(AND(BH628=3,BI628=3,FS628&lt;&gt;0),P628,0),2)</f>
        <v>0</v>
      </c>
      <c r="GM628">
        <f>ROUND(O628+X628+Y628+GK628,2)+GX628</f>
        <v>1650.55</v>
      </c>
      <c r="GN628">
        <f>IF(OR(BI628=0,BI628=1),GM628-GX628,0)</f>
        <v>0</v>
      </c>
      <c r="GO628">
        <f>IF(BI628=2,GM628-GX628,0)</f>
        <v>0</v>
      </c>
      <c r="GP628">
        <f>IF(BI628=4,GM628-GX628,0)</f>
        <v>1650.55</v>
      </c>
      <c r="GR628">
        <v>0</v>
      </c>
      <c r="GS628">
        <v>3</v>
      </c>
      <c r="GT628">
        <v>0</v>
      </c>
      <c r="GU628" t="s">
        <v>3</v>
      </c>
      <c r="GV628">
        <f>ROUND((GT628),6)</f>
        <v>0</v>
      </c>
      <c r="GW628">
        <v>1</v>
      </c>
      <c r="GX628">
        <f>ROUND(HC628*I628,2)</f>
        <v>0</v>
      </c>
      <c r="HA628">
        <v>0</v>
      </c>
      <c r="HB628">
        <v>0</v>
      </c>
      <c r="HC628">
        <f>GV628*GW628</f>
        <v>0</v>
      </c>
      <c r="HE628" t="s">
        <v>3</v>
      </c>
      <c r="HF628" t="s">
        <v>3</v>
      </c>
      <c r="HM628" t="s">
        <v>3</v>
      </c>
      <c r="HN628" t="s">
        <v>3</v>
      </c>
      <c r="HO628" t="s">
        <v>3</v>
      </c>
      <c r="HP628" t="s">
        <v>3</v>
      </c>
      <c r="HQ628" t="s">
        <v>3</v>
      </c>
      <c r="IK628">
        <v>0</v>
      </c>
    </row>
    <row r="630" spans="1:245" x14ac:dyDescent="0.2">
      <c r="A630" s="2">
        <v>51</v>
      </c>
      <c r="B630" s="2">
        <f>B593</f>
        <v>1</v>
      </c>
      <c r="C630" s="2">
        <f>A593</f>
        <v>5</v>
      </c>
      <c r="D630" s="2">
        <f>ROW(A593)</f>
        <v>593</v>
      </c>
      <c r="E630" s="2"/>
      <c r="F630" s="2" t="str">
        <f>IF(F593&lt;&gt;"",F593,"")</f>
        <v>Новый подраздел</v>
      </c>
      <c r="G630" s="2" t="str">
        <f>IF(G593&lt;&gt;"",G593,"")</f>
        <v>Кондиционирование</v>
      </c>
      <c r="H630" s="2">
        <v>0</v>
      </c>
      <c r="I630" s="2"/>
      <c r="J630" s="2"/>
      <c r="K630" s="2"/>
      <c r="L630" s="2"/>
      <c r="M630" s="2"/>
      <c r="N630" s="2"/>
      <c r="O630" s="2">
        <f t="shared" ref="O630:T630" si="630">ROUND(AB630,2)</f>
        <v>68343.679999999993</v>
      </c>
      <c r="P630" s="2">
        <f t="shared" si="630"/>
        <v>1488.96</v>
      </c>
      <c r="Q630" s="2">
        <f t="shared" si="630"/>
        <v>5384.92</v>
      </c>
      <c r="R630" s="2">
        <f t="shared" si="630"/>
        <v>3371.82</v>
      </c>
      <c r="S630" s="2">
        <f t="shared" si="630"/>
        <v>61469.8</v>
      </c>
      <c r="T630" s="2">
        <f t="shared" si="630"/>
        <v>0</v>
      </c>
      <c r="U630" s="2">
        <f>AH630</f>
        <v>94.96</v>
      </c>
      <c r="V630" s="2">
        <f>AI630</f>
        <v>0</v>
      </c>
      <c r="W630" s="2">
        <f>ROUND(AJ630,2)</f>
        <v>0</v>
      </c>
      <c r="X630" s="2">
        <f>ROUND(AK630,2)</f>
        <v>43028.87</v>
      </c>
      <c r="Y630" s="2">
        <f>ROUND(AL630,2)</f>
        <v>6146.98</v>
      </c>
      <c r="Z630" s="2"/>
      <c r="AA630" s="2"/>
      <c r="AB630" s="2">
        <f>ROUND(SUMIF(AA597:AA628,"=1472506909",O597:O628),2)</f>
        <v>68343.679999999993</v>
      </c>
      <c r="AC630" s="2">
        <f>ROUND(SUMIF(AA597:AA628,"=1472506909",P597:P628),2)</f>
        <v>1488.96</v>
      </c>
      <c r="AD630" s="2">
        <f>ROUND(SUMIF(AA597:AA628,"=1472506909",Q597:Q628),2)</f>
        <v>5384.92</v>
      </c>
      <c r="AE630" s="2">
        <f>ROUND(SUMIF(AA597:AA628,"=1472506909",R597:R628),2)</f>
        <v>3371.82</v>
      </c>
      <c r="AF630" s="2">
        <f>ROUND(SUMIF(AA597:AA628,"=1472506909",S597:S628),2)</f>
        <v>61469.8</v>
      </c>
      <c r="AG630" s="2">
        <f>ROUND(SUMIF(AA597:AA628,"=1472506909",T597:T628),2)</f>
        <v>0</v>
      </c>
      <c r="AH630" s="2">
        <f>SUMIF(AA597:AA628,"=1472506909",U597:U628)</f>
        <v>94.96</v>
      </c>
      <c r="AI630" s="2">
        <f>SUMIF(AA597:AA628,"=1472506909",V597:V628)</f>
        <v>0</v>
      </c>
      <c r="AJ630" s="2">
        <f>ROUND(SUMIF(AA597:AA628,"=1472506909",W597:W628),2)</f>
        <v>0</v>
      </c>
      <c r="AK630" s="2">
        <f>ROUND(SUMIF(AA597:AA628,"=1472506909",X597:X628),2)</f>
        <v>43028.87</v>
      </c>
      <c r="AL630" s="2">
        <f>ROUND(SUMIF(AA597:AA628,"=1472506909",Y597:Y628),2)</f>
        <v>6146.98</v>
      </c>
      <c r="AM630" s="2"/>
      <c r="AN630" s="2"/>
      <c r="AO630" s="2">
        <f t="shared" ref="AO630:BD630" si="631">ROUND(BX630,2)</f>
        <v>0</v>
      </c>
      <c r="AP630" s="2">
        <f t="shared" si="631"/>
        <v>0</v>
      </c>
      <c r="AQ630" s="2">
        <f t="shared" si="631"/>
        <v>0</v>
      </c>
      <c r="AR630" s="2">
        <f t="shared" si="631"/>
        <v>121161.09</v>
      </c>
      <c r="AS630" s="2">
        <f t="shared" si="631"/>
        <v>0</v>
      </c>
      <c r="AT630" s="2">
        <f t="shared" si="631"/>
        <v>0</v>
      </c>
      <c r="AU630" s="2">
        <f t="shared" si="631"/>
        <v>121161.09</v>
      </c>
      <c r="AV630" s="2">
        <f t="shared" si="631"/>
        <v>1488.96</v>
      </c>
      <c r="AW630" s="2">
        <f t="shared" si="631"/>
        <v>1488.96</v>
      </c>
      <c r="AX630" s="2">
        <f t="shared" si="631"/>
        <v>0</v>
      </c>
      <c r="AY630" s="2">
        <f t="shared" si="631"/>
        <v>1488.96</v>
      </c>
      <c r="AZ630" s="2">
        <f t="shared" si="631"/>
        <v>0</v>
      </c>
      <c r="BA630" s="2">
        <f t="shared" si="631"/>
        <v>0</v>
      </c>
      <c r="BB630" s="2">
        <f t="shared" si="631"/>
        <v>0</v>
      </c>
      <c r="BC630" s="2">
        <f t="shared" si="631"/>
        <v>0</v>
      </c>
      <c r="BD630" s="2">
        <f t="shared" si="631"/>
        <v>0</v>
      </c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>
        <f>ROUND(SUMIF(AA597:AA628,"=1472506909",FQ597:FQ628),2)</f>
        <v>0</v>
      </c>
      <c r="BY630" s="2">
        <f>ROUND(SUMIF(AA597:AA628,"=1472506909",FR597:FR628),2)</f>
        <v>0</v>
      </c>
      <c r="BZ630" s="2">
        <f>ROUND(SUMIF(AA597:AA628,"=1472506909",GL597:GL628),2)</f>
        <v>0</v>
      </c>
      <c r="CA630" s="2">
        <f>ROUND(SUMIF(AA597:AA628,"=1472506909",GM597:GM628),2)</f>
        <v>121161.09</v>
      </c>
      <c r="CB630" s="2">
        <f>ROUND(SUMIF(AA597:AA628,"=1472506909",GN597:GN628),2)</f>
        <v>0</v>
      </c>
      <c r="CC630" s="2">
        <f>ROUND(SUMIF(AA597:AA628,"=1472506909",GO597:GO628),2)</f>
        <v>0</v>
      </c>
      <c r="CD630" s="2">
        <f>ROUND(SUMIF(AA597:AA628,"=1472506909",GP597:GP628),2)</f>
        <v>121161.09</v>
      </c>
      <c r="CE630" s="2">
        <f>AC630-BX630</f>
        <v>1488.96</v>
      </c>
      <c r="CF630" s="2">
        <f>AC630-BY630</f>
        <v>1488.96</v>
      </c>
      <c r="CG630" s="2">
        <f>BX630-BZ630</f>
        <v>0</v>
      </c>
      <c r="CH630" s="2">
        <f>AC630-BX630-BY630+BZ630</f>
        <v>1488.96</v>
      </c>
      <c r="CI630" s="2">
        <f>BY630-BZ630</f>
        <v>0</v>
      </c>
      <c r="CJ630" s="2">
        <f>ROUND(SUMIF(AA597:AA628,"=1472506909",GX597:GX628),2)</f>
        <v>0</v>
      </c>
      <c r="CK630" s="2">
        <f>ROUND(SUMIF(AA597:AA628,"=1472506909",GY597:GY628),2)</f>
        <v>0</v>
      </c>
      <c r="CL630" s="2">
        <f>ROUND(SUMIF(AA597:AA628,"=1472506909",GZ597:GZ628),2)</f>
        <v>0</v>
      </c>
      <c r="CM630" s="2">
        <f>ROUND(SUMIF(AA597:AA628,"=1472506909",HD597:HD628),2)</f>
        <v>0</v>
      </c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Y630" s="2"/>
      <c r="CZ630" s="2"/>
      <c r="DA630" s="2"/>
      <c r="DB630" s="2"/>
      <c r="DC630" s="2"/>
      <c r="DD630" s="2"/>
      <c r="DE630" s="2"/>
      <c r="DF630" s="2"/>
      <c r="DG630" s="3"/>
      <c r="DH630" s="3"/>
      <c r="DI630" s="3"/>
      <c r="DJ630" s="3"/>
      <c r="DK630" s="3"/>
      <c r="DL630" s="3"/>
      <c r="DM630" s="3"/>
      <c r="DN630" s="3"/>
      <c r="DO630" s="3"/>
      <c r="DP630" s="3"/>
      <c r="DQ630" s="3"/>
      <c r="DR630" s="3"/>
      <c r="DS630" s="3"/>
      <c r="DT630" s="3"/>
      <c r="DU630" s="3"/>
      <c r="DV630" s="3"/>
      <c r="DW630" s="3"/>
      <c r="DX630" s="3"/>
      <c r="DY630" s="3"/>
      <c r="DZ630" s="3"/>
      <c r="EA630" s="3"/>
      <c r="EB630" s="3"/>
      <c r="EC630" s="3"/>
      <c r="ED630" s="3"/>
      <c r="EE630" s="3"/>
      <c r="EF630" s="3"/>
      <c r="EG630" s="3"/>
      <c r="EH630" s="3"/>
      <c r="EI630" s="3"/>
      <c r="EJ630" s="3"/>
      <c r="EK630" s="3"/>
      <c r="EL630" s="3"/>
      <c r="EM630" s="3"/>
      <c r="EN630" s="3"/>
      <c r="EO630" s="3"/>
      <c r="EP630" s="3"/>
      <c r="EQ630" s="3"/>
      <c r="ER630" s="3"/>
      <c r="ES630" s="3"/>
      <c r="ET630" s="3"/>
      <c r="EU630" s="3"/>
      <c r="EV630" s="3"/>
      <c r="EW630" s="3"/>
      <c r="EX630" s="3"/>
      <c r="EY630" s="3"/>
      <c r="EZ630" s="3"/>
      <c r="FA630" s="3"/>
      <c r="FB630" s="3"/>
      <c r="FC630" s="3"/>
      <c r="FD630" s="3"/>
      <c r="FE630" s="3"/>
      <c r="FF630" s="3"/>
      <c r="FG630" s="3"/>
      <c r="FH630" s="3"/>
      <c r="FI630" s="3"/>
      <c r="FJ630" s="3"/>
      <c r="FK630" s="3"/>
      <c r="FL630" s="3"/>
      <c r="FM630" s="3"/>
      <c r="FN630" s="3"/>
      <c r="FO630" s="3"/>
      <c r="FP630" s="3"/>
      <c r="FQ630" s="3"/>
      <c r="FR630" s="3"/>
      <c r="FS630" s="3"/>
      <c r="FT630" s="3"/>
      <c r="FU630" s="3"/>
      <c r="FV630" s="3"/>
      <c r="FW630" s="3"/>
      <c r="FX630" s="3"/>
      <c r="FY630" s="3"/>
      <c r="FZ630" s="3"/>
      <c r="GA630" s="3"/>
      <c r="GB630" s="3"/>
      <c r="GC630" s="3"/>
      <c r="GD630" s="3"/>
      <c r="GE630" s="3"/>
      <c r="GF630" s="3"/>
      <c r="GG630" s="3"/>
      <c r="GH630" s="3"/>
      <c r="GI630" s="3"/>
      <c r="GJ630" s="3"/>
      <c r="GK630" s="3"/>
      <c r="GL630" s="3"/>
      <c r="GM630" s="3"/>
      <c r="GN630" s="3"/>
      <c r="GO630" s="3"/>
      <c r="GP630" s="3"/>
      <c r="GQ630" s="3"/>
      <c r="GR630" s="3"/>
      <c r="GS630" s="3"/>
      <c r="GT630" s="3"/>
      <c r="GU630" s="3"/>
      <c r="GV630" s="3"/>
      <c r="GW630" s="3"/>
      <c r="GX630" s="3">
        <v>0</v>
      </c>
    </row>
    <row r="632" spans="1:245" x14ac:dyDescent="0.2">
      <c r="A632" s="4">
        <v>50</v>
      </c>
      <c r="B632" s="4">
        <v>0</v>
      </c>
      <c r="C632" s="4">
        <v>0</v>
      </c>
      <c r="D632" s="4">
        <v>1</v>
      </c>
      <c r="E632" s="4">
        <v>201</v>
      </c>
      <c r="F632" s="4">
        <f>ROUND(Source!O630,O632)</f>
        <v>68343.679999999993</v>
      </c>
      <c r="G632" s="4" t="s">
        <v>36</v>
      </c>
      <c r="H632" s="4" t="s">
        <v>37</v>
      </c>
      <c r="I632" s="4"/>
      <c r="J632" s="4"/>
      <c r="K632" s="4">
        <v>201</v>
      </c>
      <c r="L632" s="4">
        <v>1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68343.679999999993</v>
      </c>
      <c r="X632" s="4">
        <v>1</v>
      </c>
      <c r="Y632" s="4">
        <v>68343.679999999993</v>
      </c>
      <c r="Z632" s="4"/>
      <c r="AA632" s="4"/>
      <c r="AB632" s="4"/>
    </row>
    <row r="633" spans="1:245" x14ac:dyDescent="0.2">
      <c r="A633" s="4">
        <v>50</v>
      </c>
      <c r="B633" s="4">
        <v>0</v>
      </c>
      <c r="C633" s="4">
        <v>0</v>
      </c>
      <c r="D633" s="4">
        <v>1</v>
      </c>
      <c r="E633" s="4">
        <v>202</v>
      </c>
      <c r="F633" s="4">
        <f>ROUND(Source!P630,O633)</f>
        <v>1488.96</v>
      </c>
      <c r="G633" s="4" t="s">
        <v>38</v>
      </c>
      <c r="H633" s="4" t="s">
        <v>39</v>
      </c>
      <c r="I633" s="4"/>
      <c r="J633" s="4"/>
      <c r="K633" s="4">
        <v>202</v>
      </c>
      <c r="L633" s="4">
        <v>2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1488.96</v>
      </c>
      <c r="X633" s="4">
        <v>1</v>
      </c>
      <c r="Y633" s="4">
        <v>1488.96</v>
      </c>
      <c r="Z633" s="4"/>
      <c r="AA633" s="4"/>
      <c r="AB633" s="4"/>
    </row>
    <row r="634" spans="1:245" x14ac:dyDescent="0.2">
      <c r="A634" s="4">
        <v>50</v>
      </c>
      <c r="B634" s="4">
        <v>0</v>
      </c>
      <c r="C634" s="4">
        <v>0</v>
      </c>
      <c r="D634" s="4">
        <v>1</v>
      </c>
      <c r="E634" s="4">
        <v>222</v>
      </c>
      <c r="F634" s="4">
        <f>ROUND(Source!AO630,O634)</f>
        <v>0</v>
      </c>
      <c r="G634" s="4" t="s">
        <v>40</v>
      </c>
      <c r="H634" s="4" t="s">
        <v>41</v>
      </c>
      <c r="I634" s="4"/>
      <c r="J634" s="4"/>
      <c r="K634" s="4">
        <v>222</v>
      </c>
      <c r="L634" s="4">
        <v>3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245" x14ac:dyDescent="0.2">
      <c r="A635" s="4">
        <v>50</v>
      </c>
      <c r="B635" s="4">
        <v>0</v>
      </c>
      <c r="C635" s="4">
        <v>0</v>
      </c>
      <c r="D635" s="4">
        <v>1</v>
      </c>
      <c r="E635" s="4">
        <v>225</v>
      </c>
      <c r="F635" s="4">
        <f>ROUND(Source!AV630,O635)</f>
        <v>1488.96</v>
      </c>
      <c r="G635" s="4" t="s">
        <v>42</v>
      </c>
      <c r="H635" s="4" t="s">
        <v>43</v>
      </c>
      <c r="I635" s="4"/>
      <c r="J635" s="4"/>
      <c r="K635" s="4">
        <v>225</v>
      </c>
      <c r="L635" s="4">
        <v>4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1488.96</v>
      </c>
      <c r="X635" s="4">
        <v>1</v>
      </c>
      <c r="Y635" s="4">
        <v>1488.96</v>
      </c>
      <c r="Z635" s="4"/>
      <c r="AA635" s="4"/>
      <c r="AB635" s="4"/>
    </row>
    <row r="636" spans="1:245" x14ac:dyDescent="0.2">
      <c r="A636" s="4">
        <v>50</v>
      </c>
      <c r="B636" s="4">
        <v>0</v>
      </c>
      <c r="C636" s="4">
        <v>0</v>
      </c>
      <c r="D636" s="4">
        <v>1</v>
      </c>
      <c r="E636" s="4">
        <v>226</v>
      </c>
      <c r="F636" s="4">
        <f>ROUND(Source!AW630,O636)</f>
        <v>1488.96</v>
      </c>
      <c r="G636" s="4" t="s">
        <v>44</v>
      </c>
      <c r="H636" s="4" t="s">
        <v>45</v>
      </c>
      <c r="I636" s="4"/>
      <c r="J636" s="4"/>
      <c r="K636" s="4">
        <v>226</v>
      </c>
      <c r="L636" s="4">
        <v>5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1488.96</v>
      </c>
      <c r="X636" s="4">
        <v>1</v>
      </c>
      <c r="Y636" s="4">
        <v>1488.96</v>
      </c>
      <c r="Z636" s="4"/>
      <c r="AA636" s="4"/>
      <c r="AB636" s="4"/>
    </row>
    <row r="637" spans="1:245" x14ac:dyDescent="0.2">
      <c r="A637" s="4">
        <v>50</v>
      </c>
      <c r="B637" s="4">
        <v>0</v>
      </c>
      <c r="C637" s="4">
        <v>0</v>
      </c>
      <c r="D637" s="4">
        <v>1</v>
      </c>
      <c r="E637" s="4">
        <v>227</v>
      </c>
      <c r="F637" s="4">
        <f>ROUND(Source!AX630,O637)</f>
        <v>0</v>
      </c>
      <c r="G637" s="4" t="s">
        <v>46</v>
      </c>
      <c r="H637" s="4" t="s">
        <v>47</v>
      </c>
      <c r="I637" s="4"/>
      <c r="J637" s="4"/>
      <c r="K637" s="4">
        <v>227</v>
      </c>
      <c r="L637" s="4">
        <v>6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0</v>
      </c>
      <c r="X637" s="4">
        <v>1</v>
      </c>
      <c r="Y637" s="4">
        <v>0</v>
      </c>
      <c r="Z637" s="4"/>
      <c r="AA637" s="4"/>
      <c r="AB637" s="4"/>
    </row>
    <row r="638" spans="1:245" x14ac:dyDescent="0.2">
      <c r="A638" s="4">
        <v>50</v>
      </c>
      <c r="B638" s="4">
        <v>0</v>
      </c>
      <c r="C638" s="4">
        <v>0</v>
      </c>
      <c r="D638" s="4">
        <v>1</v>
      </c>
      <c r="E638" s="4">
        <v>228</v>
      </c>
      <c r="F638" s="4">
        <f>ROUND(Source!AY630,O638)</f>
        <v>1488.96</v>
      </c>
      <c r="G638" s="4" t="s">
        <v>48</v>
      </c>
      <c r="H638" s="4" t="s">
        <v>49</v>
      </c>
      <c r="I638" s="4"/>
      <c r="J638" s="4"/>
      <c r="K638" s="4">
        <v>228</v>
      </c>
      <c r="L638" s="4">
        <v>7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1488.96</v>
      </c>
      <c r="X638" s="4">
        <v>1</v>
      </c>
      <c r="Y638" s="4">
        <v>1488.96</v>
      </c>
      <c r="Z638" s="4"/>
      <c r="AA638" s="4"/>
      <c r="AB638" s="4"/>
    </row>
    <row r="639" spans="1:245" x14ac:dyDescent="0.2">
      <c r="A639" s="4">
        <v>50</v>
      </c>
      <c r="B639" s="4">
        <v>0</v>
      </c>
      <c r="C639" s="4">
        <v>0</v>
      </c>
      <c r="D639" s="4">
        <v>1</v>
      </c>
      <c r="E639" s="4">
        <v>216</v>
      </c>
      <c r="F639" s="4">
        <f>ROUND(Source!AP630,O639)</f>
        <v>0</v>
      </c>
      <c r="G639" s="4" t="s">
        <v>50</v>
      </c>
      <c r="H639" s="4" t="s">
        <v>51</v>
      </c>
      <c r="I639" s="4"/>
      <c r="J639" s="4"/>
      <c r="K639" s="4">
        <v>216</v>
      </c>
      <c r="L639" s="4">
        <v>8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45" x14ac:dyDescent="0.2">
      <c r="A640" s="4">
        <v>50</v>
      </c>
      <c r="B640" s="4">
        <v>0</v>
      </c>
      <c r="C640" s="4">
        <v>0</v>
      </c>
      <c r="D640" s="4">
        <v>1</v>
      </c>
      <c r="E640" s="4">
        <v>223</v>
      </c>
      <c r="F640" s="4">
        <f>ROUND(Source!AQ630,O640)</f>
        <v>0</v>
      </c>
      <c r="G640" s="4" t="s">
        <v>52</v>
      </c>
      <c r="H640" s="4" t="s">
        <v>53</v>
      </c>
      <c r="I640" s="4"/>
      <c r="J640" s="4"/>
      <c r="K640" s="4">
        <v>223</v>
      </c>
      <c r="L640" s="4">
        <v>9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0</v>
      </c>
      <c r="X640" s="4">
        <v>1</v>
      </c>
      <c r="Y640" s="4">
        <v>0</v>
      </c>
      <c r="Z640" s="4"/>
      <c r="AA640" s="4"/>
      <c r="AB640" s="4"/>
    </row>
    <row r="641" spans="1:28" x14ac:dyDescent="0.2">
      <c r="A641" s="4">
        <v>50</v>
      </c>
      <c r="B641" s="4">
        <v>0</v>
      </c>
      <c r="C641" s="4">
        <v>0</v>
      </c>
      <c r="D641" s="4">
        <v>1</v>
      </c>
      <c r="E641" s="4">
        <v>229</v>
      </c>
      <c r="F641" s="4">
        <f>ROUND(Source!AZ630,O641)</f>
        <v>0</v>
      </c>
      <c r="G641" s="4" t="s">
        <v>54</v>
      </c>
      <c r="H641" s="4" t="s">
        <v>55</v>
      </c>
      <c r="I641" s="4"/>
      <c r="J641" s="4"/>
      <c r="K641" s="4">
        <v>229</v>
      </c>
      <c r="L641" s="4">
        <v>10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0</v>
      </c>
      <c r="X641" s="4">
        <v>1</v>
      </c>
      <c r="Y641" s="4">
        <v>0</v>
      </c>
      <c r="Z641" s="4"/>
      <c r="AA641" s="4"/>
      <c r="AB641" s="4"/>
    </row>
    <row r="642" spans="1:28" x14ac:dyDescent="0.2">
      <c r="A642" s="4">
        <v>50</v>
      </c>
      <c r="B642" s="4">
        <v>0</v>
      </c>
      <c r="C642" s="4">
        <v>0</v>
      </c>
      <c r="D642" s="4">
        <v>1</v>
      </c>
      <c r="E642" s="4">
        <v>203</v>
      </c>
      <c r="F642" s="4">
        <f>ROUND(Source!Q630,O642)</f>
        <v>5384.92</v>
      </c>
      <c r="G642" s="4" t="s">
        <v>56</v>
      </c>
      <c r="H642" s="4" t="s">
        <v>57</v>
      </c>
      <c r="I642" s="4"/>
      <c r="J642" s="4"/>
      <c r="K642" s="4">
        <v>203</v>
      </c>
      <c r="L642" s="4">
        <v>11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5384.92</v>
      </c>
      <c r="X642" s="4">
        <v>1</v>
      </c>
      <c r="Y642" s="4">
        <v>5384.92</v>
      </c>
      <c r="Z642" s="4"/>
      <c r="AA642" s="4"/>
      <c r="AB642" s="4"/>
    </row>
    <row r="643" spans="1:28" x14ac:dyDescent="0.2">
      <c r="A643" s="4">
        <v>50</v>
      </c>
      <c r="B643" s="4">
        <v>0</v>
      </c>
      <c r="C643" s="4">
        <v>0</v>
      </c>
      <c r="D643" s="4">
        <v>1</v>
      </c>
      <c r="E643" s="4">
        <v>231</v>
      </c>
      <c r="F643" s="4">
        <f>ROUND(Source!BB630,O643)</f>
        <v>0</v>
      </c>
      <c r="G643" s="4" t="s">
        <v>58</v>
      </c>
      <c r="H643" s="4" t="s">
        <v>59</v>
      </c>
      <c r="I643" s="4"/>
      <c r="J643" s="4"/>
      <c r="K643" s="4">
        <v>231</v>
      </c>
      <c r="L643" s="4">
        <v>12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0</v>
      </c>
      <c r="X643" s="4">
        <v>1</v>
      </c>
      <c r="Y643" s="4">
        <v>0</v>
      </c>
      <c r="Z643" s="4"/>
      <c r="AA643" s="4"/>
      <c r="AB643" s="4"/>
    </row>
    <row r="644" spans="1:28" x14ac:dyDescent="0.2">
      <c r="A644" s="4">
        <v>50</v>
      </c>
      <c r="B644" s="4">
        <v>0</v>
      </c>
      <c r="C644" s="4">
        <v>0</v>
      </c>
      <c r="D644" s="4">
        <v>1</v>
      </c>
      <c r="E644" s="4">
        <v>204</v>
      </c>
      <c r="F644" s="4">
        <f>ROUND(Source!R630,O644)</f>
        <v>3371.82</v>
      </c>
      <c r="G644" s="4" t="s">
        <v>60</v>
      </c>
      <c r="H644" s="4" t="s">
        <v>61</v>
      </c>
      <c r="I644" s="4"/>
      <c r="J644" s="4"/>
      <c r="K644" s="4">
        <v>204</v>
      </c>
      <c r="L644" s="4">
        <v>13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3371.82</v>
      </c>
      <c r="X644" s="4">
        <v>1</v>
      </c>
      <c r="Y644" s="4">
        <v>3371.82</v>
      </c>
      <c r="Z644" s="4"/>
      <c r="AA644" s="4"/>
      <c r="AB644" s="4"/>
    </row>
    <row r="645" spans="1:28" x14ac:dyDescent="0.2">
      <c r="A645" s="4">
        <v>50</v>
      </c>
      <c r="B645" s="4">
        <v>0</v>
      </c>
      <c r="C645" s="4">
        <v>0</v>
      </c>
      <c r="D645" s="4">
        <v>1</v>
      </c>
      <c r="E645" s="4">
        <v>205</v>
      </c>
      <c r="F645" s="4">
        <f>ROUND(Source!S630,O645)</f>
        <v>61469.8</v>
      </c>
      <c r="G645" s="4" t="s">
        <v>62</v>
      </c>
      <c r="H645" s="4" t="s">
        <v>63</v>
      </c>
      <c r="I645" s="4"/>
      <c r="J645" s="4"/>
      <c r="K645" s="4">
        <v>205</v>
      </c>
      <c r="L645" s="4">
        <v>14</v>
      </c>
      <c r="M645" s="4">
        <v>3</v>
      </c>
      <c r="N645" s="4" t="s">
        <v>3</v>
      </c>
      <c r="O645" s="4">
        <v>2</v>
      </c>
      <c r="P645" s="4"/>
      <c r="Q645" s="4"/>
      <c r="R645" s="4"/>
      <c r="S645" s="4"/>
      <c r="T645" s="4"/>
      <c r="U645" s="4"/>
      <c r="V645" s="4"/>
      <c r="W645" s="4">
        <v>61469.8</v>
      </c>
      <c r="X645" s="4">
        <v>1</v>
      </c>
      <c r="Y645" s="4">
        <v>61469.8</v>
      </c>
      <c r="Z645" s="4"/>
      <c r="AA645" s="4"/>
      <c r="AB645" s="4"/>
    </row>
    <row r="646" spans="1:28" x14ac:dyDescent="0.2">
      <c r="A646" s="4">
        <v>50</v>
      </c>
      <c r="B646" s="4">
        <v>0</v>
      </c>
      <c r="C646" s="4">
        <v>0</v>
      </c>
      <c r="D646" s="4">
        <v>1</v>
      </c>
      <c r="E646" s="4">
        <v>232</v>
      </c>
      <c r="F646" s="4">
        <f>ROUND(Source!BC630,O646)</f>
        <v>0</v>
      </c>
      <c r="G646" s="4" t="s">
        <v>64</v>
      </c>
      <c r="H646" s="4" t="s">
        <v>65</v>
      </c>
      <c r="I646" s="4"/>
      <c r="J646" s="4"/>
      <c r="K646" s="4">
        <v>232</v>
      </c>
      <c r="L646" s="4">
        <v>15</v>
      </c>
      <c r="M646" s="4">
        <v>3</v>
      </c>
      <c r="N646" s="4" t="s">
        <v>3</v>
      </c>
      <c r="O646" s="4">
        <v>2</v>
      </c>
      <c r="P646" s="4"/>
      <c r="Q646" s="4"/>
      <c r="R646" s="4"/>
      <c r="S646" s="4"/>
      <c r="T646" s="4"/>
      <c r="U646" s="4"/>
      <c r="V646" s="4"/>
      <c r="W646" s="4">
        <v>0</v>
      </c>
      <c r="X646" s="4">
        <v>1</v>
      </c>
      <c r="Y646" s="4">
        <v>0</v>
      </c>
      <c r="Z646" s="4"/>
      <c r="AA646" s="4"/>
      <c r="AB646" s="4"/>
    </row>
    <row r="647" spans="1:28" x14ac:dyDescent="0.2">
      <c r="A647" s="4">
        <v>50</v>
      </c>
      <c r="B647" s="4">
        <v>0</v>
      </c>
      <c r="C647" s="4">
        <v>0</v>
      </c>
      <c r="D647" s="4">
        <v>1</v>
      </c>
      <c r="E647" s="4">
        <v>214</v>
      </c>
      <c r="F647" s="4">
        <f>ROUND(Source!AS630,O647)</f>
        <v>0</v>
      </c>
      <c r="G647" s="4" t="s">
        <v>66</v>
      </c>
      <c r="H647" s="4" t="s">
        <v>67</v>
      </c>
      <c r="I647" s="4"/>
      <c r="J647" s="4"/>
      <c r="K647" s="4">
        <v>214</v>
      </c>
      <c r="L647" s="4">
        <v>16</v>
      </c>
      <c r="M647" s="4">
        <v>3</v>
      </c>
      <c r="N647" s="4" t="s">
        <v>3</v>
      </c>
      <c r="O647" s="4">
        <v>2</v>
      </c>
      <c r="P647" s="4"/>
      <c r="Q647" s="4"/>
      <c r="R647" s="4"/>
      <c r="S647" s="4"/>
      <c r="T647" s="4"/>
      <c r="U647" s="4"/>
      <c r="V647" s="4"/>
      <c r="W647" s="4">
        <v>0</v>
      </c>
      <c r="X647" s="4">
        <v>1</v>
      </c>
      <c r="Y647" s="4">
        <v>0</v>
      </c>
      <c r="Z647" s="4"/>
      <c r="AA647" s="4"/>
      <c r="AB647" s="4"/>
    </row>
    <row r="648" spans="1:28" x14ac:dyDescent="0.2">
      <c r="A648" s="4">
        <v>50</v>
      </c>
      <c r="B648" s="4">
        <v>0</v>
      </c>
      <c r="C648" s="4">
        <v>0</v>
      </c>
      <c r="D648" s="4">
        <v>1</v>
      </c>
      <c r="E648" s="4">
        <v>215</v>
      </c>
      <c r="F648" s="4">
        <f>ROUND(Source!AT630,O648)</f>
        <v>0</v>
      </c>
      <c r="G648" s="4" t="s">
        <v>68</v>
      </c>
      <c r="H648" s="4" t="s">
        <v>69</v>
      </c>
      <c r="I648" s="4"/>
      <c r="J648" s="4"/>
      <c r="K648" s="4">
        <v>215</v>
      </c>
      <c r="L648" s="4">
        <v>17</v>
      </c>
      <c r="M648" s="4">
        <v>3</v>
      </c>
      <c r="N648" s="4" t="s">
        <v>3</v>
      </c>
      <c r="O648" s="4">
        <v>2</v>
      </c>
      <c r="P648" s="4"/>
      <c r="Q648" s="4"/>
      <c r="R648" s="4"/>
      <c r="S648" s="4"/>
      <c r="T648" s="4"/>
      <c r="U648" s="4"/>
      <c r="V648" s="4"/>
      <c r="W648" s="4">
        <v>0</v>
      </c>
      <c r="X648" s="4">
        <v>1</v>
      </c>
      <c r="Y648" s="4">
        <v>0</v>
      </c>
      <c r="Z648" s="4"/>
      <c r="AA648" s="4"/>
      <c r="AB648" s="4"/>
    </row>
    <row r="649" spans="1:28" x14ac:dyDescent="0.2">
      <c r="A649" s="4">
        <v>50</v>
      </c>
      <c r="B649" s="4">
        <v>0</v>
      </c>
      <c r="C649" s="4">
        <v>0</v>
      </c>
      <c r="D649" s="4">
        <v>1</v>
      </c>
      <c r="E649" s="4">
        <v>217</v>
      </c>
      <c r="F649" s="4">
        <f>ROUND(Source!AU630,O649)</f>
        <v>121161.09</v>
      </c>
      <c r="G649" s="4" t="s">
        <v>70</v>
      </c>
      <c r="H649" s="4" t="s">
        <v>71</v>
      </c>
      <c r="I649" s="4"/>
      <c r="J649" s="4"/>
      <c r="K649" s="4">
        <v>217</v>
      </c>
      <c r="L649" s="4">
        <v>18</v>
      </c>
      <c r="M649" s="4">
        <v>3</v>
      </c>
      <c r="N649" s="4" t="s">
        <v>3</v>
      </c>
      <c r="O649" s="4">
        <v>2</v>
      </c>
      <c r="P649" s="4"/>
      <c r="Q649" s="4"/>
      <c r="R649" s="4"/>
      <c r="S649" s="4"/>
      <c r="T649" s="4"/>
      <c r="U649" s="4"/>
      <c r="V649" s="4"/>
      <c r="W649" s="4">
        <v>121161.09</v>
      </c>
      <c r="X649" s="4">
        <v>1</v>
      </c>
      <c r="Y649" s="4">
        <v>121161.09</v>
      </c>
      <c r="Z649" s="4"/>
      <c r="AA649" s="4"/>
      <c r="AB649" s="4"/>
    </row>
    <row r="650" spans="1:28" x14ac:dyDescent="0.2">
      <c r="A650" s="4">
        <v>50</v>
      </c>
      <c r="B650" s="4">
        <v>0</v>
      </c>
      <c r="C650" s="4">
        <v>0</v>
      </c>
      <c r="D650" s="4">
        <v>1</v>
      </c>
      <c r="E650" s="4">
        <v>230</v>
      </c>
      <c r="F650" s="4">
        <f>ROUND(Source!BA630,O650)</f>
        <v>0</v>
      </c>
      <c r="G650" s="4" t="s">
        <v>72</v>
      </c>
      <c r="H650" s="4" t="s">
        <v>73</v>
      </c>
      <c r="I650" s="4"/>
      <c r="J650" s="4"/>
      <c r="K650" s="4">
        <v>230</v>
      </c>
      <c r="L650" s="4">
        <v>19</v>
      </c>
      <c r="M650" s="4">
        <v>3</v>
      </c>
      <c r="N650" s="4" t="s">
        <v>3</v>
      </c>
      <c r="O650" s="4">
        <v>2</v>
      </c>
      <c r="P650" s="4"/>
      <c r="Q650" s="4"/>
      <c r="R650" s="4"/>
      <c r="S650" s="4"/>
      <c r="T650" s="4"/>
      <c r="U650" s="4"/>
      <c r="V650" s="4"/>
      <c r="W650" s="4">
        <v>0</v>
      </c>
      <c r="X650" s="4">
        <v>1</v>
      </c>
      <c r="Y650" s="4">
        <v>0</v>
      </c>
      <c r="Z650" s="4"/>
      <c r="AA650" s="4"/>
      <c r="AB650" s="4"/>
    </row>
    <row r="651" spans="1:28" x14ac:dyDescent="0.2">
      <c r="A651" s="4">
        <v>50</v>
      </c>
      <c r="B651" s="4">
        <v>0</v>
      </c>
      <c r="C651" s="4">
        <v>0</v>
      </c>
      <c r="D651" s="4">
        <v>1</v>
      </c>
      <c r="E651" s="4">
        <v>206</v>
      </c>
      <c r="F651" s="4">
        <f>ROUND(Source!T630,O651)</f>
        <v>0</v>
      </c>
      <c r="G651" s="4" t="s">
        <v>74</v>
      </c>
      <c r="H651" s="4" t="s">
        <v>75</v>
      </c>
      <c r="I651" s="4"/>
      <c r="J651" s="4"/>
      <c r="K651" s="4">
        <v>206</v>
      </c>
      <c r="L651" s="4">
        <v>20</v>
      </c>
      <c r="M651" s="4">
        <v>3</v>
      </c>
      <c r="N651" s="4" t="s">
        <v>3</v>
      </c>
      <c r="O651" s="4">
        <v>2</v>
      </c>
      <c r="P651" s="4"/>
      <c r="Q651" s="4"/>
      <c r="R651" s="4"/>
      <c r="S651" s="4"/>
      <c r="T651" s="4"/>
      <c r="U651" s="4"/>
      <c r="V651" s="4"/>
      <c r="W651" s="4">
        <v>0</v>
      </c>
      <c r="X651" s="4">
        <v>1</v>
      </c>
      <c r="Y651" s="4">
        <v>0</v>
      </c>
      <c r="Z651" s="4"/>
      <c r="AA651" s="4"/>
      <c r="AB651" s="4"/>
    </row>
    <row r="652" spans="1:28" x14ac:dyDescent="0.2">
      <c r="A652" s="4">
        <v>50</v>
      </c>
      <c r="B652" s="4">
        <v>0</v>
      </c>
      <c r="C652" s="4">
        <v>0</v>
      </c>
      <c r="D652" s="4">
        <v>1</v>
      </c>
      <c r="E652" s="4">
        <v>207</v>
      </c>
      <c r="F652" s="4">
        <f>Source!U630</f>
        <v>94.96</v>
      </c>
      <c r="G652" s="4" t="s">
        <v>76</v>
      </c>
      <c r="H652" s="4" t="s">
        <v>77</v>
      </c>
      <c r="I652" s="4"/>
      <c r="J652" s="4"/>
      <c r="K652" s="4">
        <v>207</v>
      </c>
      <c r="L652" s="4">
        <v>21</v>
      </c>
      <c r="M652" s="4">
        <v>3</v>
      </c>
      <c r="N652" s="4" t="s">
        <v>3</v>
      </c>
      <c r="O652" s="4">
        <v>-1</v>
      </c>
      <c r="P652" s="4"/>
      <c r="Q652" s="4"/>
      <c r="R652" s="4"/>
      <c r="S652" s="4"/>
      <c r="T652" s="4"/>
      <c r="U652" s="4"/>
      <c r="V652" s="4"/>
      <c r="W652" s="4">
        <v>94.96</v>
      </c>
      <c r="X652" s="4">
        <v>1</v>
      </c>
      <c r="Y652" s="4">
        <v>94.96</v>
      </c>
      <c r="Z652" s="4"/>
      <c r="AA652" s="4"/>
      <c r="AB652" s="4"/>
    </row>
    <row r="653" spans="1:28" x14ac:dyDescent="0.2">
      <c r="A653" s="4">
        <v>50</v>
      </c>
      <c r="B653" s="4">
        <v>0</v>
      </c>
      <c r="C653" s="4">
        <v>0</v>
      </c>
      <c r="D653" s="4">
        <v>1</v>
      </c>
      <c r="E653" s="4">
        <v>208</v>
      </c>
      <c r="F653" s="4">
        <f>Source!V630</f>
        <v>0</v>
      </c>
      <c r="G653" s="4" t="s">
        <v>78</v>
      </c>
      <c r="H653" s="4" t="s">
        <v>79</v>
      </c>
      <c r="I653" s="4"/>
      <c r="J653" s="4"/>
      <c r="K653" s="4">
        <v>208</v>
      </c>
      <c r="L653" s="4">
        <v>22</v>
      </c>
      <c r="M653" s="4">
        <v>3</v>
      </c>
      <c r="N653" s="4" t="s">
        <v>3</v>
      </c>
      <c r="O653" s="4">
        <v>-1</v>
      </c>
      <c r="P653" s="4"/>
      <c r="Q653" s="4"/>
      <c r="R653" s="4"/>
      <c r="S653" s="4"/>
      <c r="T653" s="4"/>
      <c r="U653" s="4"/>
      <c r="V653" s="4"/>
      <c r="W653" s="4">
        <v>0</v>
      </c>
      <c r="X653" s="4">
        <v>1</v>
      </c>
      <c r="Y653" s="4">
        <v>0</v>
      </c>
      <c r="Z653" s="4"/>
      <c r="AA653" s="4"/>
      <c r="AB653" s="4"/>
    </row>
    <row r="654" spans="1:28" x14ac:dyDescent="0.2">
      <c r="A654" s="4">
        <v>50</v>
      </c>
      <c r="B654" s="4">
        <v>0</v>
      </c>
      <c r="C654" s="4">
        <v>0</v>
      </c>
      <c r="D654" s="4">
        <v>1</v>
      </c>
      <c r="E654" s="4">
        <v>209</v>
      </c>
      <c r="F654" s="4">
        <f>ROUND(Source!W630,O654)</f>
        <v>0</v>
      </c>
      <c r="G654" s="4" t="s">
        <v>80</v>
      </c>
      <c r="H654" s="4" t="s">
        <v>81</v>
      </c>
      <c r="I654" s="4"/>
      <c r="J654" s="4"/>
      <c r="K654" s="4">
        <v>209</v>
      </c>
      <c r="L654" s="4">
        <v>23</v>
      </c>
      <c r="M654" s="4">
        <v>3</v>
      </c>
      <c r="N654" s="4" t="s">
        <v>3</v>
      </c>
      <c r="O654" s="4">
        <v>2</v>
      </c>
      <c r="P654" s="4"/>
      <c r="Q654" s="4"/>
      <c r="R654" s="4"/>
      <c r="S654" s="4"/>
      <c r="T654" s="4"/>
      <c r="U654" s="4"/>
      <c r="V654" s="4"/>
      <c r="W654" s="4">
        <v>0</v>
      </c>
      <c r="X654" s="4">
        <v>1</v>
      </c>
      <c r="Y654" s="4">
        <v>0</v>
      </c>
      <c r="Z654" s="4"/>
      <c r="AA654" s="4"/>
      <c r="AB654" s="4"/>
    </row>
    <row r="655" spans="1:28" x14ac:dyDescent="0.2">
      <c r="A655" s="4">
        <v>50</v>
      </c>
      <c r="B655" s="4">
        <v>0</v>
      </c>
      <c r="C655" s="4">
        <v>0</v>
      </c>
      <c r="D655" s="4">
        <v>1</v>
      </c>
      <c r="E655" s="4">
        <v>233</v>
      </c>
      <c r="F655" s="4">
        <f>ROUND(Source!BD630,O655)</f>
        <v>0</v>
      </c>
      <c r="G655" s="4" t="s">
        <v>82</v>
      </c>
      <c r="H655" s="4" t="s">
        <v>83</v>
      </c>
      <c r="I655" s="4"/>
      <c r="J655" s="4"/>
      <c r="K655" s="4">
        <v>233</v>
      </c>
      <c r="L655" s="4">
        <v>24</v>
      </c>
      <c r="M655" s="4">
        <v>3</v>
      </c>
      <c r="N655" s="4" t="s">
        <v>3</v>
      </c>
      <c r="O655" s="4">
        <v>2</v>
      </c>
      <c r="P655" s="4"/>
      <c r="Q655" s="4"/>
      <c r="R655" s="4"/>
      <c r="S655" s="4"/>
      <c r="T655" s="4"/>
      <c r="U655" s="4"/>
      <c r="V655" s="4"/>
      <c r="W655" s="4">
        <v>0</v>
      </c>
      <c r="X655" s="4">
        <v>1</v>
      </c>
      <c r="Y655" s="4">
        <v>0</v>
      </c>
      <c r="Z655" s="4"/>
      <c r="AA655" s="4"/>
      <c r="AB655" s="4"/>
    </row>
    <row r="656" spans="1:28" x14ac:dyDescent="0.2">
      <c r="A656" s="4">
        <v>50</v>
      </c>
      <c r="B656" s="4">
        <v>0</v>
      </c>
      <c r="C656" s="4">
        <v>0</v>
      </c>
      <c r="D656" s="4">
        <v>1</v>
      </c>
      <c r="E656" s="4">
        <v>210</v>
      </c>
      <c r="F656" s="4">
        <f>ROUND(Source!X630,O656)</f>
        <v>43028.87</v>
      </c>
      <c r="G656" s="4" t="s">
        <v>84</v>
      </c>
      <c r="H656" s="4" t="s">
        <v>85</v>
      </c>
      <c r="I656" s="4"/>
      <c r="J656" s="4"/>
      <c r="K656" s="4">
        <v>210</v>
      </c>
      <c r="L656" s="4">
        <v>25</v>
      </c>
      <c r="M656" s="4">
        <v>3</v>
      </c>
      <c r="N656" s="4" t="s">
        <v>3</v>
      </c>
      <c r="O656" s="4">
        <v>2</v>
      </c>
      <c r="P656" s="4"/>
      <c r="Q656" s="4"/>
      <c r="R656" s="4"/>
      <c r="S656" s="4"/>
      <c r="T656" s="4"/>
      <c r="U656" s="4"/>
      <c r="V656" s="4"/>
      <c r="W656" s="4">
        <v>43028.87</v>
      </c>
      <c r="X656" s="4">
        <v>1</v>
      </c>
      <c r="Y656" s="4">
        <v>43028.87</v>
      </c>
      <c r="Z656" s="4"/>
      <c r="AA656" s="4"/>
      <c r="AB656" s="4"/>
    </row>
    <row r="657" spans="1:245" x14ac:dyDescent="0.2">
      <c r="A657" s="4">
        <v>50</v>
      </c>
      <c r="B657" s="4">
        <v>0</v>
      </c>
      <c r="C657" s="4">
        <v>0</v>
      </c>
      <c r="D657" s="4">
        <v>1</v>
      </c>
      <c r="E657" s="4">
        <v>211</v>
      </c>
      <c r="F657" s="4">
        <f>ROUND(Source!Y630,O657)</f>
        <v>6146.98</v>
      </c>
      <c r="G657" s="4" t="s">
        <v>86</v>
      </c>
      <c r="H657" s="4" t="s">
        <v>87</v>
      </c>
      <c r="I657" s="4"/>
      <c r="J657" s="4"/>
      <c r="K657" s="4">
        <v>211</v>
      </c>
      <c r="L657" s="4">
        <v>26</v>
      </c>
      <c r="M657" s="4">
        <v>3</v>
      </c>
      <c r="N657" s="4" t="s">
        <v>3</v>
      </c>
      <c r="O657" s="4">
        <v>2</v>
      </c>
      <c r="P657" s="4"/>
      <c r="Q657" s="4"/>
      <c r="R657" s="4"/>
      <c r="S657" s="4"/>
      <c r="T657" s="4"/>
      <c r="U657" s="4"/>
      <c r="V657" s="4"/>
      <c r="W657" s="4">
        <v>6146.98</v>
      </c>
      <c r="X657" s="4">
        <v>1</v>
      </c>
      <c r="Y657" s="4">
        <v>6146.98</v>
      </c>
      <c r="Z657" s="4"/>
      <c r="AA657" s="4"/>
      <c r="AB657" s="4"/>
    </row>
    <row r="658" spans="1:245" x14ac:dyDescent="0.2">
      <c r="A658" s="4">
        <v>50</v>
      </c>
      <c r="B658" s="4">
        <v>0</v>
      </c>
      <c r="C658" s="4">
        <v>0</v>
      </c>
      <c r="D658" s="4">
        <v>1</v>
      </c>
      <c r="E658" s="4">
        <v>224</v>
      </c>
      <c r="F658" s="4">
        <f>ROUND(Source!AR630,O658)</f>
        <v>121161.09</v>
      </c>
      <c r="G658" s="4" t="s">
        <v>88</v>
      </c>
      <c r="H658" s="4" t="s">
        <v>89</v>
      </c>
      <c r="I658" s="4"/>
      <c r="J658" s="4"/>
      <c r="K658" s="4">
        <v>224</v>
      </c>
      <c r="L658" s="4">
        <v>27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121161.09</v>
      </c>
      <c r="X658" s="4">
        <v>1</v>
      </c>
      <c r="Y658" s="4">
        <v>121161.09</v>
      </c>
      <c r="Z658" s="4"/>
      <c r="AA658" s="4"/>
      <c r="AB658" s="4"/>
    </row>
    <row r="660" spans="1:245" x14ac:dyDescent="0.2">
      <c r="A660" s="1">
        <v>5</v>
      </c>
      <c r="B660" s="1">
        <v>1</v>
      </c>
      <c r="C660" s="1"/>
      <c r="D660" s="1">
        <f>ROW(A666)</f>
        <v>666</v>
      </c>
      <c r="E660" s="1"/>
      <c r="F660" s="1" t="s">
        <v>15</v>
      </c>
      <c r="G660" s="1" t="s">
        <v>562</v>
      </c>
      <c r="H660" s="1" t="s">
        <v>3</v>
      </c>
      <c r="I660" s="1">
        <v>0</v>
      </c>
      <c r="J660" s="1"/>
      <c r="K660" s="1">
        <v>0</v>
      </c>
      <c r="L660" s="1"/>
      <c r="M660" s="1" t="s">
        <v>3</v>
      </c>
      <c r="N660" s="1"/>
      <c r="O660" s="1"/>
      <c r="P660" s="1"/>
      <c r="Q660" s="1"/>
      <c r="R660" s="1"/>
      <c r="S660" s="1">
        <v>0</v>
      </c>
      <c r="T660" s="1"/>
      <c r="U660" s="1" t="s">
        <v>3</v>
      </c>
      <c r="V660" s="1">
        <v>0</v>
      </c>
      <c r="W660" s="1"/>
      <c r="X660" s="1"/>
      <c r="Y660" s="1"/>
      <c r="Z660" s="1"/>
      <c r="AA660" s="1"/>
      <c r="AB660" s="1" t="s">
        <v>3</v>
      </c>
      <c r="AC660" s="1" t="s">
        <v>3</v>
      </c>
      <c r="AD660" s="1" t="s">
        <v>3</v>
      </c>
      <c r="AE660" s="1" t="s">
        <v>3</v>
      </c>
      <c r="AF660" s="1" t="s">
        <v>3</v>
      </c>
      <c r="AG660" s="1" t="s">
        <v>3</v>
      </c>
      <c r="AH660" s="1"/>
      <c r="AI660" s="1"/>
      <c r="AJ660" s="1"/>
      <c r="AK660" s="1"/>
      <c r="AL660" s="1"/>
      <c r="AM660" s="1"/>
      <c r="AN660" s="1"/>
      <c r="AO660" s="1"/>
      <c r="AP660" s="1" t="s">
        <v>3</v>
      </c>
      <c r="AQ660" s="1" t="s">
        <v>3</v>
      </c>
      <c r="AR660" s="1" t="s">
        <v>3</v>
      </c>
      <c r="AS660" s="1"/>
      <c r="AT660" s="1"/>
      <c r="AU660" s="1"/>
      <c r="AV660" s="1"/>
      <c r="AW660" s="1"/>
      <c r="AX660" s="1"/>
      <c r="AY660" s="1"/>
      <c r="AZ660" s="1" t="s">
        <v>3</v>
      </c>
      <c r="BA660" s="1"/>
      <c r="BB660" s="1" t="s">
        <v>3</v>
      </c>
      <c r="BC660" s="1" t="s">
        <v>3</v>
      </c>
      <c r="BD660" s="1" t="s">
        <v>3</v>
      </c>
      <c r="BE660" s="1" t="s">
        <v>3</v>
      </c>
      <c r="BF660" s="1" t="s">
        <v>3</v>
      </c>
      <c r="BG660" s="1" t="s">
        <v>3</v>
      </c>
      <c r="BH660" s="1" t="s">
        <v>3</v>
      </c>
      <c r="BI660" s="1" t="s">
        <v>3</v>
      </c>
      <c r="BJ660" s="1" t="s">
        <v>3</v>
      </c>
      <c r="BK660" s="1" t="s">
        <v>3</v>
      </c>
      <c r="BL660" s="1" t="s">
        <v>3</v>
      </c>
      <c r="BM660" s="1" t="s">
        <v>3</v>
      </c>
      <c r="BN660" s="1" t="s">
        <v>3</v>
      </c>
      <c r="BO660" s="1" t="s">
        <v>3</v>
      </c>
      <c r="BP660" s="1" t="s">
        <v>3</v>
      </c>
      <c r="BQ660" s="1"/>
      <c r="BR660" s="1"/>
      <c r="BS660" s="1"/>
      <c r="BT660" s="1"/>
      <c r="BU660" s="1"/>
      <c r="BV660" s="1"/>
      <c r="BW660" s="1"/>
      <c r="BX660" s="1">
        <v>0</v>
      </c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>
        <v>0</v>
      </c>
    </row>
    <row r="662" spans="1:245" x14ac:dyDescent="0.2">
      <c r="A662" s="2">
        <v>52</v>
      </c>
      <c r="B662" s="2">
        <f t="shared" ref="B662:G662" si="632">B666</f>
        <v>1</v>
      </c>
      <c r="C662" s="2">
        <f t="shared" si="632"/>
        <v>5</v>
      </c>
      <c r="D662" s="2">
        <f t="shared" si="632"/>
        <v>660</v>
      </c>
      <c r="E662" s="2">
        <f t="shared" si="632"/>
        <v>0</v>
      </c>
      <c r="F662" s="2" t="str">
        <f t="shared" si="632"/>
        <v>Новый подраздел</v>
      </c>
      <c r="G662" s="2" t="str">
        <f t="shared" si="632"/>
        <v>Клапана сброса избыточного давления</v>
      </c>
      <c r="H662" s="2"/>
      <c r="I662" s="2"/>
      <c r="J662" s="2"/>
      <c r="K662" s="2"/>
      <c r="L662" s="2"/>
      <c r="M662" s="2"/>
      <c r="N662" s="2"/>
      <c r="O662" s="2">
        <f t="shared" ref="O662:AT662" si="633">O666</f>
        <v>43716.29</v>
      </c>
      <c r="P662" s="2">
        <f t="shared" si="633"/>
        <v>48.41</v>
      </c>
      <c r="Q662" s="2">
        <f t="shared" si="633"/>
        <v>4026.27</v>
      </c>
      <c r="R662" s="2">
        <f t="shared" si="633"/>
        <v>2553.37</v>
      </c>
      <c r="S662" s="2">
        <f t="shared" si="633"/>
        <v>39641.61</v>
      </c>
      <c r="T662" s="2">
        <f t="shared" si="633"/>
        <v>0</v>
      </c>
      <c r="U662" s="2">
        <f t="shared" si="633"/>
        <v>59.739999999999995</v>
      </c>
      <c r="V662" s="2">
        <f t="shared" si="633"/>
        <v>0</v>
      </c>
      <c r="W662" s="2">
        <f t="shared" si="633"/>
        <v>0</v>
      </c>
      <c r="X662" s="2">
        <f t="shared" si="633"/>
        <v>27749.13</v>
      </c>
      <c r="Y662" s="2">
        <f t="shared" si="633"/>
        <v>3964.16</v>
      </c>
      <c r="Z662" s="2">
        <f t="shared" si="633"/>
        <v>0</v>
      </c>
      <c r="AA662" s="2">
        <f t="shared" si="633"/>
        <v>0</v>
      </c>
      <c r="AB662" s="2">
        <f t="shared" si="633"/>
        <v>43716.29</v>
      </c>
      <c r="AC662" s="2">
        <f t="shared" si="633"/>
        <v>48.41</v>
      </c>
      <c r="AD662" s="2">
        <f t="shared" si="633"/>
        <v>4026.27</v>
      </c>
      <c r="AE662" s="2">
        <f t="shared" si="633"/>
        <v>2553.37</v>
      </c>
      <c r="AF662" s="2">
        <f t="shared" si="633"/>
        <v>39641.61</v>
      </c>
      <c r="AG662" s="2">
        <f t="shared" si="633"/>
        <v>0</v>
      </c>
      <c r="AH662" s="2">
        <f t="shared" si="633"/>
        <v>59.739999999999995</v>
      </c>
      <c r="AI662" s="2">
        <f t="shared" si="633"/>
        <v>0</v>
      </c>
      <c r="AJ662" s="2">
        <f t="shared" si="633"/>
        <v>0</v>
      </c>
      <c r="AK662" s="2">
        <f t="shared" si="633"/>
        <v>27749.13</v>
      </c>
      <c r="AL662" s="2">
        <f t="shared" si="633"/>
        <v>3964.16</v>
      </c>
      <c r="AM662" s="2">
        <f t="shared" si="633"/>
        <v>0</v>
      </c>
      <c r="AN662" s="2">
        <f t="shared" si="633"/>
        <v>0</v>
      </c>
      <c r="AO662" s="2">
        <f t="shared" si="633"/>
        <v>0</v>
      </c>
      <c r="AP662" s="2">
        <f t="shared" si="633"/>
        <v>0</v>
      </c>
      <c r="AQ662" s="2">
        <f t="shared" si="633"/>
        <v>0</v>
      </c>
      <c r="AR662" s="2">
        <f t="shared" si="633"/>
        <v>78187.22</v>
      </c>
      <c r="AS662" s="2">
        <f t="shared" si="633"/>
        <v>0</v>
      </c>
      <c r="AT662" s="2">
        <f t="shared" si="633"/>
        <v>0</v>
      </c>
      <c r="AU662" s="2">
        <f t="shared" ref="AU662:BZ662" si="634">AU666</f>
        <v>78187.22</v>
      </c>
      <c r="AV662" s="2">
        <f t="shared" si="634"/>
        <v>48.41</v>
      </c>
      <c r="AW662" s="2">
        <f t="shared" si="634"/>
        <v>48.41</v>
      </c>
      <c r="AX662" s="2">
        <f t="shared" si="634"/>
        <v>0</v>
      </c>
      <c r="AY662" s="2">
        <f t="shared" si="634"/>
        <v>48.41</v>
      </c>
      <c r="AZ662" s="2">
        <f t="shared" si="634"/>
        <v>0</v>
      </c>
      <c r="BA662" s="2">
        <f t="shared" si="634"/>
        <v>0</v>
      </c>
      <c r="BB662" s="2">
        <f t="shared" si="634"/>
        <v>0</v>
      </c>
      <c r="BC662" s="2">
        <f t="shared" si="634"/>
        <v>0</v>
      </c>
      <c r="BD662" s="2">
        <f t="shared" si="634"/>
        <v>0</v>
      </c>
      <c r="BE662" s="2">
        <f t="shared" si="634"/>
        <v>0</v>
      </c>
      <c r="BF662" s="2">
        <f t="shared" si="634"/>
        <v>0</v>
      </c>
      <c r="BG662" s="2">
        <f t="shared" si="634"/>
        <v>0</v>
      </c>
      <c r="BH662" s="2">
        <f t="shared" si="634"/>
        <v>0</v>
      </c>
      <c r="BI662" s="2">
        <f t="shared" si="634"/>
        <v>0</v>
      </c>
      <c r="BJ662" s="2">
        <f t="shared" si="634"/>
        <v>0</v>
      </c>
      <c r="BK662" s="2">
        <f t="shared" si="634"/>
        <v>0</v>
      </c>
      <c r="BL662" s="2">
        <f t="shared" si="634"/>
        <v>0</v>
      </c>
      <c r="BM662" s="2">
        <f t="shared" si="634"/>
        <v>0</v>
      </c>
      <c r="BN662" s="2">
        <f t="shared" si="634"/>
        <v>0</v>
      </c>
      <c r="BO662" s="2">
        <f t="shared" si="634"/>
        <v>0</v>
      </c>
      <c r="BP662" s="2">
        <f t="shared" si="634"/>
        <v>0</v>
      </c>
      <c r="BQ662" s="2">
        <f t="shared" si="634"/>
        <v>0</v>
      </c>
      <c r="BR662" s="2">
        <f t="shared" si="634"/>
        <v>0</v>
      </c>
      <c r="BS662" s="2">
        <f t="shared" si="634"/>
        <v>0</v>
      </c>
      <c r="BT662" s="2">
        <f t="shared" si="634"/>
        <v>0</v>
      </c>
      <c r="BU662" s="2">
        <f t="shared" si="634"/>
        <v>0</v>
      </c>
      <c r="BV662" s="2">
        <f t="shared" si="634"/>
        <v>0</v>
      </c>
      <c r="BW662" s="2">
        <f t="shared" si="634"/>
        <v>0</v>
      </c>
      <c r="BX662" s="2">
        <f t="shared" si="634"/>
        <v>0</v>
      </c>
      <c r="BY662" s="2">
        <f t="shared" si="634"/>
        <v>0</v>
      </c>
      <c r="BZ662" s="2">
        <f t="shared" si="634"/>
        <v>0</v>
      </c>
      <c r="CA662" s="2">
        <f t="shared" ref="CA662:DF662" si="635">CA666</f>
        <v>78187.22</v>
      </c>
      <c r="CB662" s="2">
        <f t="shared" si="635"/>
        <v>0</v>
      </c>
      <c r="CC662" s="2">
        <f t="shared" si="635"/>
        <v>0</v>
      </c>
      <c r="CD662" s="2">
        <f t="shared" si="635"/>
        <v>78187.22</v>
      </c>
      <c r="CE662" s="2">
        <f t="shared" si="635"/>
        <v>48.41</v>
      </c>
      <c r="CF662" s="2">
        <f t="shared" si="635"/>
        <v>48.41</v>
      </c>
      <c r="CG662" s="2">
        <f t="shared" si="635"/>
        <v>0</v>
      </c>
      <c r="CH662" s="2">
        <f t="shared" si="635"/>
        <v>48.41</v>
      </c>
      <c r="CI662" s="2">
        <f t="shared" si="635"/>
        <v>0</v>
      </c>
      <c r="CJ662" s="2">
        <f t="shared" si="635"/>
        <v>0</v>
      </c>
      <c r="CK662" s="2">
        <f t="shared" si="635"/>
        <v>0</v>
      </c>
      <c r="CL662" s="2">
        <f t="shared" si="635"/>
        <v>0</v>
      </c>
      <c r="CM662" s="2">
        <f t="shared" si="635"/>
        <v>0</v>
      </c>
      <c r="CN662" s="2">
        <f t="shared" si="635"/>
        <v>0</v>
      </c>
      <c r="CO662" s="2">
        <f t="shared" si="635"/>
        <v>0</v>
      </c>
      <c r="CP662" s="2">
        <f t="shared" si="635"/>
        <v>0</v>
      </c>
      <c r="CQ662" s="2">
        <f t="shared" si="635"/>
        <v>0</v>
      </c>
      <c r="CR662" s="2">
        <f t="shared" si="635"/>
        <v>0</v>
      </c>
      <c r="CS662" s="2">
        <f t="shared" si="635"/>
        <v>0</v>
      </c>
      <c r="CT662" s="2">
        <f t="shared" si="635"/>
        <v>0</v>
      </c>
      <c r="CU662" s="2">
        <f t="shared" si="635"/>
        <v>0</v>
      </c>
      <c r="CV662" s="2">
        <f t="shared" si="635"/>
        <v>0</v>
      </c>
      <c r="CW662" s="2">
        <f t="shared" si="635"/>
        <v>0</v>
      </c>
      <c r="CX662" s="2">
        <f t="shared" si="635"/>
        <v>0</v>
      </c>
      <c r="CY662" s="2">
        <f t="shared" si="635"/>
        <v>0</v>
      </c>
      <c r="CZ662" s="2">
        <f t="shared" si="635"/>
        <v>0</v>
      </c>
      <c r="DA662" s="2">
        <f t="shared" si="635"/>
        <v>0</v>
      </c>
      <c r="DB662" s="2">
        <f t="shared" si="635"/>
        <v>0</v>
      </c>
      <c r="DC662" s="2">
        <f t="shared" si="635"/>
        <v>0</v>
      </c>
      <c r="DD662" s="2">
        <f t="shared" si="635"/>
        <v>0</v>
      </c>
      <c r="DE662" s="2">
        <f t="shared" si="635"/>
        <v>0</v>
      </c>
      <c r="DF662" s="2">
        <f t="shared" si="635"/>
        <v>0</v>
      </c>
      <c r="DG662" s="3">
        <f t="shared" ref="DG662:EL662" si="636">DG666</f>
        <v>0</v>
      </c>
      <c r="DH662" s="3">
        <f t="shared" si="636"/>
        <v>0</v>
      </c>
      <c r="DI662" s="3">
        <f t="shared" si="636"/>
        <v>0</v>
      </c>
      <c r="DJ662" s="3">
        <f t="shared" si="636"/>
        <v>0</v>
      </c>
      <c r="DK662" s="3">
        <f t="shared" si="636"/>
        <v>0</v>
      </c>
      <c r="DL662" s="3">
        <f t="shared" si="636"/>
        <v>0</v>
      </c>
      <c r="DM662" s="3">
        <f t="shared" si="636"/>
        <v>0</v>
      </c>
      <c r="DN662" s="3">
        <f t="shared" si="636"/>
        <v>0</v>
      </c>
      <c r="DO662" s="3">
        <f t="shared" si="636"/>
        <v>0</v>
      </c>
      <c r="DP662" s="3">
        <f t="shared" si="636"/>
        <v>0</v>
      </c>
      <c r="DQ662" s="3">
        <f t="shared" si="636"/>
        <v>0</v>
      </c>
      <c r="DR662" s="3">
        <f t="shared" si="636"/>
        <v>0</v>
      </c>
      <c r="DS662" s="3">
        <f t="shared" si="636"/>
        <v>0</v>
      </c>
      <c r="DT662" s="3">
        <f t="shared" si="636"/>
        <v>0</v>
      </c>
      <c r="DU662" s="3">
        <f t="shared" si="636"/>
        <v>0</v>
      </c>
      <c r="DV662" s="3">
        <f t="shared" si="636"/>
        <v>0</v>
      </c>
      <c r="DW662" s="3">
        <f t="shared" si="636"/>
        <v>0</v>
      </c>
      <c r="DX662" s="3">
        <f t="shared" si="636"/>
        <v>0</v>
      </c>
      <c r="DY662" s="3">
        <f t="shared" si="636"/>
        <v>0</v>
      </c>
      <c r="DZ662" s="3">
        <f t="shared" si="636"/>
        <v>0</v>
      </c>
      <c r="EA662" s="3">
        <f t="shared" si="636"/>
        <v>0</v>
      </c>
      <c r="EB662" s="3">
        <f t="shared" si="636"/>
        <v>0</v>
      </c>
      <c r="EC662" s="3">
        <f t="shared" si="636"/>
        <v>0</v>
      </c>
      <c r="ED662" s="3">
        <f t="shared" si="636"/>
        <v>0</v>
      </c>
      <c r="EE662" s="3">
        <f t="shared" si="636"/>
        <v>0</v>
      </c>
      <c r="EF662" s="3">
        <f t="shared" si="636"/>
        <v>0</v>
      </c>
      <c r="EG662" s="3">
        <f t="shared" si="636"/>
        <v>0</v>
      </c>
      <c r="EH662" s="3">
        <f t="shared" si="636"/>
        <v>0</v>
      </c>
      <c r="EI662" s="3">
        <f t="shared" si="636"/>
        <v>0</v>
      </c>
      <c r="EJ662" s="3">
        <f t="shared" si="636"/>
        <v>0</v>
      </c>
      <c r="EK662" s="3">
        <f t="shared" si="636"/>
        <v>0</v>
      </c>
      <c r="EL662" s="3">
        <f t="shared" si="636"/>
        <v>0</v>
      </c>
      <c r="EM662" s="3">
        <f t="shared" ref="EM662:FR662" si="637">EM666</f>
        <v>0</v>
      </c>
      <c r="EN662" s="3">
        <f t="shared" si="637"/>
        <v>0</v>
      </c>
      <c r="EO662" s="3">
        <f t="shared" si="637"/>
        <v>0</v>
      </c>
      <c r="EP662" s="3">
        <f t="shared" si="637"/>
        <v>0</v>
      </c>
      <c r="EQ662" s="3">
        <f t="shared" si="637"/>
        <v>0</v>
      </c>
      <c r="ER662" s="3">
        <f t="shared" si="637"/>
        <v>0</v>
      </c>
      <c r="ES662" s="3">
        <f t="shared" si="637"/>
        <v>0</v>
      </c>
      <c r="ET662" s="3">
        <f t="shared" si="637"/>
        <v>0</v>
      </c>
      <c r="EU662" s="3">
        <f t="shared" si="637"/>
        <v>0</v>
      </c>
      <c r="EV662" s="3">
        <f t="shared" si="637"/>
        <v>0</v>
      </c>
      <c r="EW662" s="3">
        <f t="shared" si="637"/>
        <v>0</v>
      </c>
      <c r="EX662" s="3">
        <f t="shared" si="637"/>
        <v>0</v>
      </c>
      <c r="EY662" s="3">
        <f t="shared" si="637"/>
        <v>0</v>
      </c>
      <c r="EZ662" s="3">
        <f t="shared" si="637"/>
        <v>0</v>
      </c>
      <c r="FA662" s="3">
        <f t="shared" si="637"/>
        <v>0</v>
      </c>
      <c r="FB662" s="3">
        <f t="shared" si="637"/>
        <v>0</v>
      </c>
      <c r="FC662" s="3">
        <f t="shared" si="637"/>
        <v>0</v>
      </c>
      <c r="FD662" s="3">
        <f t="shared" si="637"/>
        <v>0</v>
      </c>
      <c r="FE662" s="3">
        <f t="shared" si="637"/>
        <v>0</v>
      </c>
      <c r="FF662" s="3">
        <f t="shared" si="637"/>
        <v>0</v>
      </c>
      <c r="FG662" s="3">
        <f t="shared" si="637"/>
        <v>0</v>
      </c>
      <c r="FH662" s="3">
        <f t="shared" si="637"/>
        <v>0</v>
      </c>
      <c r="FI662" s="3">
        <f t="shared" si="637"/>
        <v>0</v>
      </c>
      <c r="FJ662" s="3">
        <f t="shared" si="637"/>
        <v>0</v>
      </c>
      <c r="FK662" s="3">
        <f t="shared" si="637"/>
        <v>0</v>
      </c>
      <c r="FL662" s="3">
        <f t="shared" si="637"/>
        <v>0</v>
      </c>
      <c r="FM662" s="3">
        <f t="shared" si="637"/>
        <v>0</v>
      </c>
      <c r="FN662" s="3">
        <f t="shared" si="637"/>
        <v>0</v>
      </c>
      <c r="FO662" s="3">
        <f t="shared" si="637"/>
        <v>0</v>
      </c>
      <c r="FP662" s="3">
        <f t="shared" si="637"/>
        <v>0</v>
      </c>
      <c r="FQ662" s="3">
        <f t="shared" si="637"/>
        <v>0</v>
      </c>
      <c r="FR662" s="3">
        <f t="shared" si="637"/>
        <v>0</v>
      </c>
      <c r="FS662" s="3">
        <f t="shared" ref="FS662:GX662" si="638">FS666</f>
        <v>0</v>
      </c>
      <c r="FT662" s="3">
        <f t="shared" si="638"/>
        <v>0</v>
      </c>
      <c r="FU662" s="3">
        <f t="shared" si="638"/>
        <v>0</v>
      </c>
      <c r="FV662" s="3">
        <f t="shared" si="638"/>
        <v>0</v>
      </c>
      <c r="FW662" s="3">
        <f t="shared" si="638"/>
        <v>0</v>
      </c>
      <c r="FX662" s="3">
        <f t="shared" si="638"/>
        <v>0</v>
      </c>
      <c r="FY662" s="3">
        <f t="shared" si="638"/>
        <v>0</v>
      </c>
      <c r="FZ662" s="3">
        <f t="shared" si="638"/>
        <v>0</v>
      </c>
      <c r="GA662" s="3">
        <f t="shared" si="638"/>
        <v>0</v>
      </c>
      <c r="GB662" s="3">
        <f t="shared" si="638"/>
        <v>0</v>
      </c>
      <c r="GC662" s="3">
        <f t="shared" si="638"/>
        <v>0</v>
      </c>
      <c r="GD662" s="3">
        <f t="shared" si="638"/>
        <v>0</v>
      </c>
      <c r="GE662" s="3">
        <f t="shared" si="638"/>
        <v>0</v>
      </c>
      <c r="GF662" s="3">
        <f t="shared" si="638"/>
        <v>0</v>
      </c>
      <c r="GG662" s="3">
        <f t="shared" si="638"/>
        <v>0</v>
      </c>
      <c r="GH662" s="3">
        <f t="shared" si="638"/>
        <v>0</v>
      </c>
      <c r="GI662" s="3">
        <f t="shared" si="638"/>
        <v>0</v>
      </c>
      <c r="GJ662" s="3">
        <f t="shared" si="638"/>
        <v>0</v>
      </c>
      <c r="GK662" s="3">
        <f t="shared" si="638"/>
        <v>0</v>
      </c>
      <c r="GL662" s="3">
        <f t="shared" si="638"/>
        <v>0</v>
      </c>
      <c r="GM662" s="3">
        <f t="shared" si="638"/>
        <v>0</v>
      </c>
      <c r="GN662" s="3">
        <f t="shared" si="638"/>
        <v>0</v>
      </c>
      <c r="GO662" s="3">
        <f t="shared" si="638"/>
        <v>0</v>
      </c>
      <c r="GP662" s="3">
        <f t="shared" si="638"/>
        <v>0</v>
      </c>
      <c r="GQ662" s="3">
        <f t="shared" si="638"/>
        <v>0</v>
      </c>
      <c r="GR662" s="3">
        <f t="shared" si="638"/>
        <v>0</v>
      </c>
      <c r="GS662" s="3">
        <f t="shared" si="638"/>
        <v>0</v>
      </c>
      <c r="GT662" s="3">
        <f t="shared" si="638"/>
        <v>0</v>
      </c>
      <c r="GU662" s="3">
        <f t="shared" si="638"/>
        <v>0</v>
      </c>
      <c r="GV662" s="3">
        <f t="shared" si="638"/>
        <v>0</v>
      </c>
      <c r="GW662" s="3">
        <f t="shared" si="638"/>
        <v>0</v>
      </c>
      <c r="GX662" s="3">
        <f t="shared" si="638"/>
        <v>0</v>
      </c>
    </row>
    <row r="664" spans="1:245" x14ac:dyDescent="0.2">
      <c r="A664">
        <v>17</v>
      </c>
      <c r="B664">
        <v>1</v>
      </c>
      <c r="D664">
        <f>ROW(EtalonRes!A589)</f>
        <v>589</v>
      </c>
      <c r="E664" t="s">
        <v>563</v>
      </c>
      <c r="F664" t="s">
        <v>564</v>
      </c>
      <c r="G664" t="s">
        <v>565</v>
      </c>
      <c r="H664" t="s">
        <v>20</v>
      </c>
      <c r="I664">
        <f>ROUND(ROUND(4+1+5+93,9),9)</f>
        <v>103</v>
      </c>
      <c r="J664">
        <v>0</v>
      </c>
      <c r="K664">
        <f>ROUND(ROUND(4+1+5+93,9),9)</f>
        <v>103</v>
      </c>
      <c r="O664">
        <f>ROUND(CP664,2)</f>
        <v>43716.29</v>
      </c>
      <c r="P664">
        <f>ROUND(CQ664*I664,2)</f>
        <v>48.41</v>
      </c>
      <c r="Q664">
        <f>ROUND(CR664*I664,2)</f>
        <v>4026.27</v>
      </c>
      <c r="R664">
        <f>ROUND(CS664*I664,2)</f>
        <v>2553.37</v>
      </c>
      <c r="S664">
        <f>ROUND(CT664*I664,2)</f>
        <v>39641.61</v>
      </c>
      <c r="T664">
        <f>ROUND(CU664*I664,2)</f>
        <v>0</v>
      </c>
      <c r="U664">
        <f>CV664*I664</f>
        <v>59.739999999999995</v>
      </c>
      <c r="V664">
        <f>CW664*I664</f>
        <v>0</v>
      </c>
      <c r="W664">
        <f>ROUND(CX664*I664,2)</f>
        <v>0</v>
      </c>
      <c r="X664">
        <f>ROUND(CY664,2)</f>
        <v>27749.13</v>
      </c>
      <c r="Y664">
        <f>ROUND(CZ664,2)</f>
        <v>3964.16</v>
      </c>
      <c r="AA664">
        <v>1472506909</v>
      </c>
      <c r="AB664">
        <f>ROUND((AC664+AD664+AF664),6)</f>
        <v>424.43</v>
      </c>
      <c r="AC664">
        <f>ROUND((ES664),6)</f>
        <v>0.47</v>
      </c>
      <c r="AD664">
        <f>ROUND((((ET664)-(EU664))+AE664),6)</f>
        <v>39.090000000000003</v>
      </c>
      <c r="AE664">
        <f>ROUND((EU664),6)</f>
        <v>24.79</v>
      </c>
      <c r="AF664">
        <f>ROUND((EV664),6)</f>
        <v>384.87</v>
      </c>
      <c r="AG664">
        <f>ROUND((AP664),6)</f>
        <v>0</v>
      </c>
      <c r="AH664">
        <f>(EW664)</f>
        <v>0.57999999999999996</v>
      </c>
      <c r="AI664">
        <f>(EX664)</f>
        <v>0</v>
      </c>
      <c r="AJ664">
        <f>(AS664)</f>
        <v>0</v>
      </c>
      <c r="AK664">
        <v>424.43</v>
      </c>
      <c r="AL664">
        <v>0.47</v>
      </c>
      <c r="AM664">
        <v>39.090000000000003</v>
      </c>
      <c r="AN664">
        <v>24.79</v>
      </c>
      <c r="AO664">
        <v>384.87</v>
      </c>
      <c r="AP664">
        <v>0</v>
      </c>
      <c r="AQ664">
        <v>0.57999999999999996</v>
      </c>
      <c r="AR664">
        <v>0</v>
      </c>
      <c r="AS664">
        <v>0</v>
      </c>
      <c r="AT664">
        <v>70</v>
      </c>
      <c r="AU664">
        <v>10</v>
      </c>
      <c r="AV664">
        <v>1</v>
      </c>
      <c r="AW664">
        <v>1</v>
      </c>
      <c r="AZ664">
        <v>1</v>
      </c>
      <c r="BA664">
        <v>1</v>
      </c>
      <c r="BB664">
        <v>1</v>
      </c>
      <c r="BC664">
        <v>1</v>
      </c>
      <c r="BD664" t="s">
        <v>3</v>
      </c>
      <c r="BE664" t="s">
        <v>3</v>
      </c>
      <c r="BF664" t="s">
        <v>3</v>
      </c>
      <c r="BG664" t="s">
        <v>3</v>
      </c>
      <c r="BH664">
        <v>0</v>
      </c>
      <c r="BI664">
        <v>4</v>
      </c>
      <c r="BJ664" t="s">
        <v>566</v>
      </c>
      <c r="BM664">
        <v>0</v>
      </c>
      <c r="BN664">
        <v>0</v>
      </c>
      <c r="BO664" t="s">
        <v>3</v>
      </c>
      <c r="BP664">
        <v>0</v>
      </c>
      <c r="BQ664">
        <v>1</v>
      </c>
      <c r="BR664">
        <v>0</v>
      </c>
      <c r="BS664">
        <v>1</v>
      </c>
      <c r="BT664">
        <v>1</v>
      </c>
      <c r="BU664">
        <v>1</v>
      </c>
      <c r="BV664">
        <v>1</v>
      </c>
      <c r="BW664">
        <v>1</v>
      </c>
      <c r="BX664">
        <v>1</v>
      </c>
      <c r="BY664" t="s">
        <v>3</v>
      </c>
      <c r="BZ664">
        <v>70</v>
      </c>
      <c r="CA664">
        <v>10</v>
      </c>
      <c r="CB664" t="s">
        <v>3</v>
      </c>
      <c r="CE664">
        <v>0</v>
      </c>
      <c r="CF664">
        <v>0</v>
      </c>
      <c r="CG664">
        <v>0</v>
      </c>
      <c r="CM664">
        <v>0</v>
      </c>
      <c r="CN664" t="s">
        <v>3</v>
      </c>
      <c r="CO664">
        <v>0</v>
      </c>
      <c r="CP664">
        <f>(P664+Q664+S664)</f>
        <v>43716.29</v>
      </c>
      <c r="CQ664">
        <f>(AC664*BC664*AW664)</f>
        <v>0.47</v>
      </c>
      <c r="CR664">
        <f>((((ET664)*BB664-(EU664)*BS664)+AE664*BS664)*AV664)</f>
        <v>39.090000000000003</v>
      </c>
      <c r="CS664">
        <f>(AE664*BS664*AV664)</f>
        <v>24.79</v>
      </c>
      <c r="CT664">
        <f>(AF664*BA664*AV664)</f>
        <v>384.87</v>
      </c>
      <c r="CU664">
        <f>AG664</f>
        <v>0</v>
      </c>
      <c r="CV664">
        <f>(AH664*AV664)</f>
        <v>0.57999999999999996</v>
      </c>
      <c r="CW664">
        <f>AI664</f>
        <v>0</v>
      </c>
      <c r="CX664">
        <f>AJ664</f>
        <v>0</v>
      </c>
      <c r="CY664">
        <f>((S664*BZ664)/100)</f>
        <v>27749.127</v>
      </c>
      <c r="CZ664">
        <f>((S664*CA664)/100)</f>
        <v>3964.1609999999996</v>
      </c>
      <c r="DC664" t="s">
        <v>3</v>
      </c>
      <c r="DD664" t="s">
        <v>3</v>
      </c>
      <c r="DE664" t="s">
        <v>3</v>
      </c>
      <c r="DF664" t="s">
        <v>3</v>
      </c>
      <c r="DG664" t="s">
        <v>3</v>
      </c>
      <c r="DH664" t="s">
        <v>3</v>
      </c>
      <c r="DI664" t="s">
        <v>3</v>
      </c>
      <c r="DJ664" t="s">
        <v>3</v>
      </c>
      <c r="DK664" t="s">
        <v>3</v>
      </c>
      <c r="DL664" t="s">
        <v>3</v>
      </c>
      <c r="DM664" t="s">
        <v>3</v>
      </c>
      <c r="DN664">
        <v>0</v>
      </c>
      <c r="DO664">
        <v>0</v>
      </c>
      <c r="DP664">
        <v>1</v>
      </c>
      <c r="DQ664">
        <v>1</v>
      </c>
      <c r="DU664">
        <v>16987630</v>
      </c>
      <c r="DV664" t="s">
        <v>20</v>
      </c>
      <c r="DW664" t="s">
        <v>20</v>
      </c>
      <c r="DX664">
        <v>1</v>
      </c>
      <c r="DZ664" t="s">
        <v>3</v>
      </c>
      <c r="EA664" t="s">
        <v>3</v>
      </c>
      <c r="EB664" t="s">
        <v>3</v>
      </c>
      <c r="EC664" t="s">
        <v>3</v>
      </c>
      <c r="EE664">
        <v>1441815344</v>
      </c>
      <c r="EF664">
        <v>1</v>
      </c>
      <c r="EG664" t="s">
        <v>22</v>
      </c>
      <c r="EH664">
        <v>0</v>
      </c>
      <c r="EI664" t="s">
        <v>3</v>
      </c>
      <c r="EJ664">
        <v>4</v>
      </c>
      <c r="EK664">
        <v>0</v>
      </c>
      <c r="EL664" t="s">
        <v>23</v>
      </c>
      <c r="EM664" t="s">
        <v>24</v>
      </c>
      <c r="EO664" t="s">
        <v>3</v>
      </c>
      <c r="EQ664">
        <v>0</v>
      </c>
      <c r="ER664">
        <v>424.43</v>
      </c>
      <c r="ES664">
        <v>0.47</v>
      </c>
      <c r="ET664">
        <v>39.090000000000003</v>
      </c>
      <c r="EU664">
        <v>24.79</v>
      </c>
      <c r="EV664">
        <v>384.87</v>
      </c>
      <c r="EW664">
        <v>0.57999999999999996</v>
      </c>
      <c r="EX664">
        <v>0</v>
      </c>
      <c r="EY664">
        <v>0</v>
      </c>
      <c r="FQ664">
        <v>0</v>
      </c>
      <c r="FR664">
        <f>ROUND(IF(BI664=3,GM664,0),2)</f>
        <v>0</v>
      </c>
      <c r="FS664">
        <v>0</v>
      </c>
      <c r="FX664">
        <v>70</v>
      </c>
      <c r="FY664">
        <v>10</v>
      </c>
      <c r="GA664" t="s">
        <v>3</v>
      </c>
      <c r="GD664">
        <v>0</v>
      </c>
      <c r="GF664">
        <v>967732234</v>
      </c>
      <c r="GG664">
        <v>2</v>
      </c>
      <c r="GH664">
        <v>1</v>
      </c>
      <c r="GI664">
        <v>-2</v>
      </c>
      <c r="GJ664">
        <v>0</v>
      </c>
      <c r="GK664">
        <f>ROUND(R664*(R12)/100,2)</f>
        <v>2757.64</v>
      </c>
      <c r="GL664">
        <f>ROUND(IF(AND(BH664=3,BI664=3,FS664&lt;&gt;0),P664,0),2)</f>
        <v>0</v>
      </c>
      <c r="GM664">
        <f>ROUND(O664+X664+Y664+GK664,2)+GX664</f>
        <v>78187.22</v>
      </c>
      <c r="GN664">
        <f>IF(OR(BI664=0,BI664=1),GM664-GX664,0)</f>
        <v>0</v>
      </c>
      <c r="GO664">
        <f>IF(BI664=2,GM664-GX664,0)</f>
        <v>0</v>
      </c>
      <c r="GP664">
        <f>IF(BI664=4,GM664-GX664,0)</f>
        <v>78187.22</v>
      </c>
      <c r="GR664">
        <v>0</v>
      </c>
      <c r="GS664">
        <v>3</v>
      </c>
      <c r="GT664">
        <v>0</v>
      </c>
      <c r="GU664" t="s">
        <v>3</v>
      </c>
      <c r="GV664">
        <f>ROUND((GT664),6)</f>
        <v>0</v>
      </c>
      <c r="GW664">
        <v>1</v>
      </c>
      <c r="GX664">
        <f>ROUND(HC664*I664,2)</f>
        <v>0</v>
      </c>
      <c r="HA664">
        <v>0</v>
      </c>
      <c r="HB664">
        <v>0</v>
      </c>
      <c r="HC664">
        <f>GV664*GW664</f>
        <v>0</v>
      </c>
      <c r="HE664" t="s">
        <v>3</v>
      </c>
      <c r="HF664" t="s">
        <v>3</v>
      </c>
      <c r="HM664" t="s">
        <v>3</v>
      </c>
      <c r="HN664" t="s">
        <v>3</v>
      </c>
      <c r="HO664" t="s">
        <v>3</v>
      </c>
      <c r="HP664" t="s">
        <v>3</v>
      </c>
      <c r="HQ664" t="s">
        <v>3</v>
      </c>
      <c r="IK664">
        <v>0</v>
      </c>
    </row>
    <row r="666" spans="1:245" x14ac:dyDescent="0.2">
      <c r="A666" s="2">
        <v>51</v>
      </c>
      <c r="B666" s="2">
        <f>B660</f>
        <v>1</v>
      </c>
      <c r="C666" s="2">
        <f>A660</f>
        <v>5</v>
      </c>
      <c r="D666" s="2">
        <f>ROW(A660)</f>
        <v>660</v>
      </c>
      <c r="E666" s="2"/>
      <c r="F666" s="2" t="str">
        <f>IF(F660&lt;&gt;"",F660,"")</f>
        <v>Новый подраздел</v>
      </c>
      <c r="G666" s="2" t="str">
        <f>IF(G660&lt;&gt;"",G660,"")</f>
        <v>Клапана сброса избыточного давления</v>
      </c>
      <c r="H666" s="2">
        <v>0</v>
      </c>
      <c r="I666" s="2"/>
      <c r="J666" s="2"/>
      <c r="K666" s="2"/>
      <c r="L666" s="2"/>
      <c r="M666" s="2"/>
      <c r="N666" s="2"/>
      <c r="O666" s="2">
        <f t="shared" ref="O666:T666" si="639">ROUND(AB666,2)</f>
        <v>43716.29</v>
      </c>
      <c r="P666" s="2">
        <f t="shared" si="639"/>
        <v>48.41</v>
      </c>
      <c r="Q666" s="2">
        <f t="shared" si="639"/>
        <v>4026.27</v>
      </c>
      <c r="R666" s="2">
        <f t="shared" si="639"/>
        <v>2553.37</v>
      </c>
      <c r="S666" s="2">
        <f t="shared" si="639"/>
        <v>39641.61</v>
      </c>
      <c r="T666" s="2">
        <f t="shared" si="639"/>
        <v>0</v>
      </c>
      <c r="U666" s="2">
        <f>AH666</f>
        <v>59.739999999999995</v>
      </c>
      <c r="V666" s="2">
        <f>AI666</f>
        <v>0</v>
      </c>
      <c r="W666" s="2">
        <f>ROUND(AJ666,2)</f>
        <v>0</v>
      </c>
      <c r="X666" s="2">
        <f>ROUND(AK666,2)</f>
        <v>27749.13</v>
      </c>
      <c r="Y666" s="2">
        <f>ROUND(AL666,2)</f>
        <v>3964.16</v>
      </c>
      <c r="Z666" s="2"/>
      <c r="AA666" s="2"/>
      <c r="AB666" s="2">
        <f>ROUND(SUMIF(AA664:AA664,"=1472506909",O664:O664),2)</f>
        <v>43716.29</v>
      </c>
      <c r="AC666" s="2">
        <f>ROUND(SUMIF(AA664:AA664,"=1472506909",P664:P664),2)</f>
        <v>48.41</v>
      </c>
      <c r="AD666" s="2">
        <f>ROUND(SUMIF(AA664:AA664,"=1472506909",Q664:Q664),2)</f>
        <v>4026.27</v>
      </c>
      <c r="AE666" s="2">
        <f>ROUND(SUMIF(AA664:AA664,"=1472506909",R664:R664),2)</f>
        <v>2553.37</v>
      </c>
      <c r="AF666" s="2">
        <f>ROUND(SUMIF(AA664:AA664,"=1472506909",S664:S664),2)</f>
        <v>39641.61</v>
      </c>
      <c r="AG666" s="2">
        <f>ROUND(SUMIF(AA664:AA664,"=1472506909",T664:T664),2)</f>
        <v>0</v>
      </c>
      <c r="AH666" s="2">
        <f>SUMIF(AA664:AA664,"=1472506909",U664:U664)</f>
        <v>59.739999999999995</v>
      </c>
      <c r="AI666" s="2">
        <f>SUMIF(AA664:AA664,"=1472506909",V664:V664)</f>
        <v>0</v>
      </c>
      <c r="AJ666" s="2">
        <f>ROUND(SUMIF(AA664:AA664,"=1472506909",W664:W664),2)</f>
        <v>0</v>
      </c>
      <c r="AK666" s="2">
        <f>ROUND(SUMIF(AA664:AA664,"=1472506909",X664:X664),2)</f>
        <v>27749.13</v>
      </c>
      <c r="AL666" s="2">
        <f>ROUND(SUMIF(AA664:AA664,"=1472506909",Y664:Y664),2)</f>
        <v>3964.16</v>
      </c>
      <c r="AM666" s="2"/>
      <c r="AN666" s="2"/>
      <c r="AO666" s="2">
        <f t="shared" ref="AO666:BD666" si="640">ROUND(BX666,2)</f>
        <v>0</v>
      </c>
      <c r="AP666" s="2">
        <f t="shared" si="640"/>
        <v>0</v>
      </c>
      <c r="AQ666" s="2">
        <f t="shared" si="640"/>
        <v>0</v>
      </c>
      <c r="AR666" s="2">
        <f t="shared" si="640"/>
        <v>78187.22</v>
      </c>
      <c r="AS666" s="2">
        <f t="shared" si="640"/>
        <v>0</v>
      </c>
      <c r="AT666" s="2">
        <f t="shared" si="640"/>
        <v>0</v>
      </c>
      <c r="AU666" s="2">
        <f t="shared" si="640"/>
        <v>78187.22</v>
      </c>
      <c r="AV666" s="2">
        <f t="shared" si="640"/>
        <v>48.41</v>
      </c>
      <c r="AW666" s="2">
        <f t="shared" si="640"/>
        <v>48.41</v>
      </c>
      <c r="AX666" s="2">
        <f t="shared" si="640"/>
        <v>0</v>
      </c>
      <c r="AY666" s="2">
        <f t="shared" si="640"/>
        <v>48.41</v>
      </c>
      <c r="AZ666" s="2">
        <f t="shared" si="640"/>
        <v>0</v>
      </c>
      <c r="BA666" s="2">
        <f t="shared" si="640"/>
        <v>0</v>
      </c>
      <c r="BB666" s="2">
        <f t="shared" si="640"/>
        <v>0</v>
      </c>
      <c r="BC666" s="2">
        <f t="shared" si="640"/>
        <v>0</v>
      </c>
      <c r="BD666" s="2">
        <f t="shared" si="640"/>
        <v>0</v>
      </c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>
        <f>ROUND(SUMIF(AA664:AA664,"=1472506909",FQ664:FQ664),2)</f>
        <v>0</v>
      </c>
      <c r="BY666" s="2">
        <f>ROUND(SUMIF(AA664:AA664,"=1472506909",FR664:FR664),2)</f>
        <v>0</v>
      </c>
      <c r="BZ666" s="2">
        <f>ROUND(SUMIF(AA664:AA664,"=1472506909",GL664:GL664),2)</f>
        <v>0</v>
      </c>
      <c r="CA666" s="2">
        <f>ROUND(SUMIF(AA664:AA664,"=1472506909",GM664:GM664),2)</f>
        <v>78187.22</v>
      </c>
      <c r="CB666" s="2">
        <f>ROUND(SUMIF(AA664:AA664,"=1472506909",GN664:GN664),2)</f>
        <v>0</v>
      </c>
      <c r="CC666" s="2">
        <f>ROUND(SUMIF(AA664:AA664,"=1472506909",GO664:GO664),2)</f>
        <v>0</v>
      </c>
      <c r="CD666" s="2">
        <f>ROUND(SUMIF(AA664:AA664,"=1472506909",GP664:GP664),2)</f>
        <v>78187.22</v>
      </c>
      <c r="CE666" s="2">
        <f>AC666-BX666</f>
        <v>48.41</v>
      </c>
      <c r="CF666" s="2">
        <f>AC666-BY666</f>
        <v>48.41</v>
      </c>
      <c r="CG666" s="2">
        <f>BX666-BZ666</f>
        <v>0</v>
      </c>
      <c r="CH666" s="2">
        <f>AC666-BX666-BY666+BZ666</f>
        <v>48.41</v>
      </c>
      <c r="CI666" s="2">
        <f>BY666-BZ666</f>
        <v>0</v>
      </c>
      <c r="CJ666" s="2">
        <f>ROUND(SUMIF(AA664:AA664,"=1472506909",GX664:GX664),2)</f>
        <v>0</v>
      </c>
      <c r="CK666" s="2">
        <f>ROUND(SUMIF(AA664:AA664,"=1472506909",GY664:GY664),2)</f>
        <v>0</v>
      </c>
      <c r="CL666" s="2">
        <f>ROUND(SUMIF(AA664:AA664,"=1472506909",GZ664:GZ664),2)</f>
        <v>0</v>
      </c>
      <c r="CM666" s="2">
        <f>ROUND(SUMIF(AA664:AA664,"=1472506909",HD664:HD664),2)</f>
        <v>0</v>
      </c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  <c r="CZ666" s="2"/>
      <c r="DA666" s="2"/>
      <c r="DB666" s="2"/>
      <c r="DC666" s="2"/>
      <c r="DD666" s="2"/>
      <c r="DE666" s="2"/>
      <c r="DF666" s="2"/>
      <c r="DG666" s="3"/>
      <c r="DH666" s="3"/>
      <c r="DI666" s="3"/>
      <c r="DJ666" s="3"/>
      <c r="DK666" s="3"/>
      <c r="DL666" s="3"/>
      <c r="DM666" s="3"/>
      <c r="DN666" s="3"/>
      <c r="DO666" s="3"/>
      <c r="DP666" s="3"/>
      <c r="DQ666" s="3"/>
      <c r="DR666" s="3"/>
      <c r="DS666" s="3"/>
      <c r="DT666" s="3"/>
      <c r="DU666" s="3"/>
      <c r="DV666" s="3"/>
      <c r="DW666" s="3"/>
      <c r="DX666" s="3"/>
      <c r="DY666" s="3"/>
      <c r="DZ666" s="3"/>
      <c r="EA666" s="3"/>
      <c r="EB666" s="3"/>
      <c r="EC666" s="3"/>
      <c r="ED666" s="3"/>
      <c r="EE666" s="3"/>
      <c r="EF666" s="3"/>
      <c r="EG666" s="3"/>
      <c r="EH666" s="3"/>
      <c r="EI666" s="3"/>
      <c r="EJ666" s="3"/>
      <c r="EK666" s="3"/>
      <c r="EL666" s="3"/>
      <c r="EM666" s="3"/>
      <c r="EN666" s="3"/>
      <c r="EO666" s="3"/>
      <c r="EP666" s="3"/>
      <c r="EQ666" s="3"/>
      <c r="ER666" s="3"/>
      <c r="ES666" s="3"/>
      <c r="ET666" s="3"/>
      <c r="EU666" s="3"/>
      <c r="EV666" s="3"/>
      <c r="EW666" s="3"/>
      <c r="EX666" s="3"/>
      <c r="EY666" s="3"/>
      <c r="EZ666" s="3"/>
      <c r="FA666" s="3"/>
      <c r="FB666" s="3"/>
      <c r="FC666" s="3"/>
      <c r="FD666" s="3"/>
      <c r="FE666" s="3"/>
      <c r="FF666" s="3"/>
      <c r="FG666" s="3"/>
      <c r="FH666" s="3"/>
      <c r="FI666" s="3"/>
      <c r="FJ666" s="3"/>
      <c r="FK666" s="3"/>
      <c r="FL666" s="3"/>
      <c r="FM666" s="3"/>
      <c r="FN666" s="3"/>
      <c r="FO666" s="3"/>
      <c r="FP666" s="3"/>
      <c r="FQ666" s="3"/>
      <c r="FR666" s="3"/>
      <c r="FS666" s="3"/>
      <c r="FT666" s="3"/>
      <c r="FU666" s="3"/>
      <c r="FV666" s="3"/>
      <c r="FW666" s="3"/>
      <c r="FX666" s="3"/>
      <c r="FY666" s="3"/>
      <c r="FZ666" s="3"/>
      <c r="GA666" s="3"/>
      <c r="GB666" s="3"/>
      <c r="GC666" s="3"/>
      <c r="GD666" s="3"/>
      <c r="GE666" s="3"/>
      <c r="GF666" s="3"/>
      <c r="GG666" s="3"/>
      <c r="GH666" s="3"/>
      <c r="GI666" s="3"/>
      <c r="GJ666" s="3"/>
      <c r="GK666" s="3"/>
      <c r="GL666" s="3"/>
      <c r="GM666" s="3"/>
      <c r="GN666" s="3"/>
      <c r="GO666" s="3"/>
      <c r="GP666" s="3"/>
      <c r="GQ666" s="3"/>
      <c r="GR666" s="3"/>
      <c r="GS666" s="3"/>
      <c r="GT666" s="3"/>
      <c r="GU666" s="3"/>
      <c r="GV666" s="3"/>
      <c r="GW666" s="3"/>
      <c r="GX666" s="3">
        <v>0</v>
      </c>
    </row>
    <row r="668" spans="1:245" x14ac:dyDescent="0.2">
      <c r="A668" s="4">
        <v>50</v>
      </c>
      <c r="B668" s="4">
        <v>0</v>
      </c>
      <c r="C668" s="4">
        <v>0</v>
      </c>
      <c r="D668" s="4">
        <v>1</v>
      </c>
      <c r="E668" s="4">
        <v>201</v>
      </c>
      <c r="F668" s="4">
        <f>ROUND(Source!O666,O668)</f>
        <v>43716.29</v>
      </c>
      <c r="G668" s="4" t="s">
        <v>36</v>
      </c>
      <c r="H668" s="4" t="s">
        <v>37</v>
      </c>
      <c r="I668" s="4"/>
      <c r="J668" s="4"/>
      <c r="K668" s="4">
        <v>201</v>
      </c>
      <c r="L668" s="4">
        <v>1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43716.29</v>
      </c>
      <c r="X668" s="4">
        <v>1</v>
      </c>
      <c r="Y668" s="4">
        <v>43716.29</v>
      </c>
      <c r="Z668" s="4"/>
      <c r="AA668" s="4"/>
      <c r="AB668" s="4"/>
    </row>
    <row r="669" spans="1:245" x14ac:dyDescent="0.2">
      <c r="A669" s="4">
        <v>50</v>
      </c>
      <c r="B669" s="4">
        <v>0</v>
      </c>
      <c r="C669" s="4">
        <v>0</v>
      </c>
      <c r="D669" s="4">
        <v>1</v>
      </c>
      <c r="E669" s="4">
        <v>202</v>
      </c>
      <c r="F669" s="4">
        <f>ROUND(Source!P666,O669)</f>
        <v>48.41</v>
      </c>
      <c r="G669" s="4" t="s">
        <v>38</v>
      </c>
      <c r="H669" s="4" t="s">
        <v>39</v>
      </c>
      <c r="I669" s="4"/>
      <c r="J669" s="4"/>
      <c r="K669" s="4">
        <v>202</v>
      </c>
      <c r="L669" s="4">
        <v>2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48.41</v>
      </c>
      <c r="X669" s="4">
        <v>1</v>
      </c>
      <c r="Y669" s="4">
        <v>48.41</v>
      </c>
      <c r="Z669" s="4"/>
      <c r="AA669" s="4"/>
      <c r="AB669" s="4"/>
    </row>
    <row r="670" spans="1:245" x14ac:dyDescent="0.2">
      <c r="A670" s="4">
        <v>50</v>
      </c>
      <c r="B670" s="4">
        <v>0</v>
      </c>
      <c r="C670" s="4">
        <v>0</v>
      </c>
      <c r="D670" s="4">
        <v>1</v>
      </c>
      <c r="E670" s="4">
        <v>222</v>
      </c>
      <c r="F670" s="4">
        <f>ROUND(Source!AO666,O670)</f>
        <v>0</v>
      </c>
      <c r="G670" s="4" t="s">
        <v>40</v>
      </c>
      <c r="H670" s="4" t="s">
        <v>41</v>
      </c>
      <c r="I670" s="4"/>
      <c r="J670" s="4"/>
      <c r="K670" s="4">
        <v>222</v>
      </c>
      <c r="L670" s="4">
        <v>3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0</v>
      </c>
      <c r="X670" s="4">
        <v>1</v>
      </c>
      <c r="Y670" s="4">
        <v>0</v>
      </c>
      <c r="Z670" s="4"/>
      <c r="AA670" s="4"/>
      <c r="AB670" s="4"/>
    </row>
    <row r="671" spans="1:245" x14ac:dyDescent="0.2">
      <c r="A671" s="4">
        <v>50</v>
      </c>
      <c r="B671" s="4">
        <v>0</v>
      </c>
      <c r="C671" s="4">
        <v>0</v>
      </c>
      <c r="D671" s="4">
        <v>1</v>
      </c>
      <c r="E671" s="4">
        <v>225</v>
      </c>
      <c r="F671" s="4">
        <f>ROUND(Source!AV666,O671)</f>
        <v>48.41</v>
      </c>
      <c r="G671" s="4" t="s">
        <v>42</v>
      </c>
      <c r="H671" s="4" t="s">
        <v>43</v>
      </c>
      <c r="I671" s="4"/>
      <c r="J671" s="4"/>
      <c r="K671" s="4">
        <v>225</v>
      </c>
      <c r="L671" s="4">
        <v>4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48.41</v>
      </c>
      <c r="X671" s="4">
        <v>1</v>
      </c>
      <c r="Y671" s="4">
        <v>48.41</v>
      </c>
      <c r="Z671" s="4"/>
      <c r="AA671" s="4"/>
      <c r="AB671" s="4"/>
    </row>
    <row r="672" spans="1:245" x14ac:dyDescent="0.2">
      <c r="A672" s="4">
        <v>50</v>
      </c>
      <c r="B672" s="4">
        <v>0</v>
      </c>
      <c r="C672" s="4">
        <v>0</v>
      </c>
      <c r="D672" s="4">
        <v>1</v>
      </c>
      <c r="E672" s="4">
        <v>226</v>
      </c>
      <c r="F672" s="4">
        <f>ROUND(Source!AW666,O672)</f>
        <v>48.41</v>
      </c>
      <c r="G672" s="4" t="s">
        <v>44</v>
      </c>
      <c r="H672" s="4" t="s">
        <v>45</v>
      </c>
      <c r="I672" s="4"/>
      <c r="J672" s="4"/>
      <c r="K672" s="4">
        <v>226</v>
      </c>
      <c r="L672" s="4">
        <v>5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48.41</v>
      </c>
      <c r="X672" s="4">
        <v>1</v>
      </c>
      <c r="Y672" s="4">
        <v>48.41</v>
      </c>
      <c r="Z672" s="4"/>
      <c r="AA672" s="4"/>
      <c r="AB672" s="4"/>
    </row>
    <row r="673" spans="1:28" x14ac:dyDescent="0.2">
      <c r="A673" s="4">
        <v>50</v>
      </c>
      <c r="B673" s="4">
        <v>0</v>
      </c>
      <c r="C673" s="4">
        <v>0</v>
      </c>
      <c r="D673" s="4">
        <v>1</v>
      </c>
      <c r="E673" s="4">
        <v>227</v>
      </c>
      <c r="F673" s="4">
        <f>ROUND(Source!AX666,O673)</f>
        <v>0</v>
      </c>
      <c r="G673" s="4" t="s">
        <v>46</v>
      </c>
      <c r="H673" s="4" t="s">
        <v>47</v>
      </c>
      <c r="I673" s="4"/>
      <c r="J673" s="4"/>
      <c r="K673" s="4">
        <v>227</v>
      </c>
      <c r="L673" s="4">
        <v>6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0</v>
      </c>
      <c r="X673" s="4">
        <v>1</v>
      </c>
      <c r="Y673" s="4">
        <v>0</v>
      </c>
      <c r="Z673" s="4"/>
      <c r="AA673" s="4"/>
      <c r="AB673" s="4"/>
    </row>
    <row r="674" spans="1:28" x14ac:dyDescent="0.2">
      <c r="A674" s="4">
        <v>50</v>
      </c>
      <c r="B674" s="4">
        <v>0</v>
      </c>
      <c r="C674" s="4">
        <v>0</v>
      </c>
      <c r="D674" s="4">
        <v>1</v>
      </c>
      <c r="E674" s="4">
        <v>228</v>
      </c>
      <c r="F674" s="4">
        <f>ROUND(Source!AY666,O674)</f>
        <v>48.41</v>
      </c>
      <c r="G674" s="4" t="s">
        <v>48</v>
      </c>
      <c r="H674" s="4" t="s">
        <v>49</v>
      </c>
      <c r="I674" s="4"/>
      <c r="J674" s="4"/>
      <c r="K674" s="4">
        <v>228</v>
      </c>
      <c r="L674" s="4">
        <v>7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48.41</v>
      </c>
      <c r="X674" s="4">
        <v>1</v>
      </c>
      <c r="Y674" s="4">
        <v>48.41</v>
      </c>
      <c r="Z674" s="4"/>
      <c r="AA674" s="4"/>
      <c r="AB674" s="4"/>
    </row>
    <row r="675" spans="1:28" x14ac:dyDescent="0.2">
      <c r="A675" s="4">
        <v>50</v>
      </c>
      <c r="B675" s="4">
        <v>0</v>
      </c>
      <c r="C675" s="4">
        <v>0</v>
      </c>
      <c r="D675" s="4">
        <v>1</v>
      </c>
      <c r="E675" s="4">
        <v>216</v>
      </c>
      <c r="F675" s="4">
        <f>ROUND(Source!AP666,O675)</f>
        <v>0</v>
      </c>
      <c r="G675" s="4" t="s">
        <v>50</v>
      </c>
      <c r="H675" s="4" t="s">
        <v>51</v>
      </c>
      <c r="I675" s="4"/>
      <c r="J675" s="4"/>
      <c r="K675" s="4">
        <v>216</v>
      </c>
      <c r="L675" s="4">
        <v>8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0</v>
      </c>
      <c r="X675" s="4">
        <v>1</v>
      </c>
      <c r="Y675" s="4">
        <v>0</v>
      </c>
      <c r="Z675" s="4"/>
      <c r="AA675" s="4"/>
      <c r="AB675" s="4"/>
    </row>
    <row r="676" spans="1:28" x14ac:dyDescent="0.2">
      <c r="A676" s="4">
        <v>50</v>
      </c>
      <c r="B676" s="4">
        <v>0</v>
      </c>
      <c r="C676" s="4">
        <v>0</v>
      </c>
      <c r="D676" s="4">
        <v>1</v>
      </c>
      <c r="E676" s="4">
        <v>223</v>
      </c>
      <c r="F676" s="4">
        <f>ROUND(Source!AQ666,O676)</f>
        <v>0</v>
      </c>
      <c r="G676" s="4" t="s">
        <v>52</v>
      </c>
      <c r="H676" s="4" t="s">
        <v>53</v>
      </c>
      <c r="I676" s="4"/>
      <c r="J676" s="4"/>
      <c r="K676" s="4">
        <v>223</v>
      </c>
      <c r="L676" s="4">
        <v>9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0</v>
      </c>
      <c r="X676" s="4">
        <v>1</v>
      </c>
      <c r="Y676" s="4">
        <v>0</v>
      </c>
      <c r="Z676" s="4"/>
      <c r="AA676" s="4"/>
      <c r="AB676" s="4"/>
    </row>
    <row r="677" spans="1:28" x14ac:dyDescent="0.2">
      <c r="A677" s="4">
        <v>50</v>
      </c>
      <c r="B677" s="4">
        <v>0</v>
      </c>
      <c r="C677" s="4">
        <v>0</v>
      </c>
      <c r="D677" s="4">
        <v>1</v>
      </c>
      <c r="E677" s="4">
        <v>229</v>
      </c>
      <c r="F677" s="4">
        <f>ROUND(Source!AZ666,O677)</f>
        <v>0</v>
      </c>
      <c r="G677" s="4" t="s">
        <v>54</v>
      </c>
      <c r="H677" s="4" t="s">
        <v>55</v>
      </c>
      <c r="I677" s="4"/>
      <c r="J677" s="4"/>
      <c r="K677" s="4">
        <v>229</v>
      </c>
      <c r="L677" s="4">
        <v>10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0</v>
      </c>
      <c r="X677" s="4">
        <v>1</v>
      </c>
      <c r="Y677" s="4">
        <v>0</v>
      </c>
      <c r="Z677" s="4"/>
      <c r="AA677" s="4"/>
      <c r="AB677" s="4"/>
    </row>
    <row r="678" spans="1:28" x14ac:dyDescent="0.2">
      <c r="A678" s="4">
        <v>50</v>
      </c>
      <c r="B678" s="4">
        <v>0</v>
      </c>
      <c r="C678" s="4">
        <v>0</v>
      </c>
      <c r="D678" s="4">
        <v>1</v>
      </c>
      <c r="E678" s="4">
        <v>203</v>
      </c>
      <c r="F678" s="4">
        <f>ROUND(Source!Q666,O678)</f>
        <v>4026.27</v>
      </c>
      <c r="G678" s="4" t="s">
        <v>56</v>
      </c>
      <c r="H678" s="4" t="s">
        <v>57</v>
      </c>
      <c r="I678" s="4"/>
      <c r="J678" s="4"/>
      <c r="K678" s="4">
        <v>203</v>
      </c>
      <c r="L678" s="4">
        <v>11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4026.27</v>
      </c>
      <c r="X678" s="4">
        <v>1</v>
      </c>
      <c r="Y678" s="4">
        <v>4026.27</v>
      </c>
      <c r="Z678" s="4"/>
      <c r="AA678" s="4"/>
      <c r="AB678" s="4"/>
    </row>
    <row r="679" spans="1:28" x14ac:dyDescent="0.2">
      <c r="A679" s="4">
        <v>50</v>
      </c>
      <c r="B679" s="4">
        <v>0</v>
      </c>
      <c r="C679" s="4">
        <v>0</v>
      </c>
      <c r="D679" s="4">
        <v>1</v>
      </c>
      <c r="E679" s="4">
        <v>231</v>
      </c>
      <c r="F679" s="4">
        <f>ROUND(Source!BB666,O679)</f>
        <v>0</v>
      </c>
      <c r="G679" s="4" t="s">
        <v>58</v>
      </c>
      <c r="H679" s="4" t="s">
        <v>59</v>
      </c>
      <c r="I679" s="4"/>
      <c r="J679" s="4"/>
      <c r="K679" s="4">
        <v>231</v>
      </c>
      <c r="L679" s="4">
        <v>12</v>
      </c>
      <c r="M679" s="4">
        <v>3</v>
      </c>
      <c r="N679" s="4" t="s">
        <v>3</v>
      </c>
      <c r="O679" s="4">
        <v>2</v>
      </c>
      <c r="P679" s="4"/>
      <c r="Q679" s="4"/>
      <c r="R679" s="4"/>
      <c r="S679" s="4"/>
      <c r="T679" s="4"/>
      <c r="U679" s="4"/>
      <c r="V679" s="4"/>
      <c r="W679" s="4">
        <v>0</v>
      </c>
      <c r="X679" s="4">
        <v>1</v>
      </c>
      <c r="Y679" s="4">
        <v>0</v>
      </c>
      <c r="Z679" s="4"/>
      <c r="AA679" s="4"/>
      <c r="AB679" s="4"/>
    </row>
    <row r="680" spans="1:28" x14ac:dyDescent="0.2">
      <c r="A680" s="4">
        <v>50</v>
      </c>
      <c r="B680" s="4">
        <v>0</v>
      </c>
      <c r="C680" s="4">
        <v>0</v>
      </c>
      <c r="D680" s="4">
        <v>1</v>
      </c>
      <c r="E680" s="4">
        <v>204</v>
      </c>
      <c r="F680" s="4">
        <f>ROUND(Source!R666,O680)</f>
        <v>2553.37</v>
      </c>
      <c r="G680" s="4" t="s">
        <v>60</v>
      </c>
      <c r="H680" s="4" t="s">
        <v>61</v>
      </c>
      <c r="I680" s="4"/>
      <c r="J680" s="4"/>
      <c r="K680" s="4">
        <v>204</v>
      </c>
      <c r="L680" s="4">
        <v>13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2553.37</v>
      </c>
      <c r="X680" s="4">
        <v>1</v>
      </c>
      <c r="Y680" s="4">
        <v>2553.37</v>
      </c>
      <c r="Z680" s="4"/>
      <c r="AA680" s="4"/>
      <c r="AB680" s="4"/>
    </row>
    <row r="681" spans="1:28" x14ac:dyDescent="0.2">
      <c r="A681" s="4">
        <v>50</v>
      </c>
      <c r="B681" s="4">
        <v>0</v>
      </c>
      <c r="C681" s="4">
        <v>0</v>
      </c>
      <c r="D681" s="4">
        <v>1</v>
      </c>
      <c r="E681" s="4">
        <v>205</v>
      </c>
      <c r="F681" s="4">
        <f>ROUND(Source!S666,O681)</f>
        <v>39641.61</v>
      </c>
      <c r="G681" s="4" t="s">
        <v>62</v>
      </c>
      <c r="H681" s="4" t="s">
        <v>63</v>
      </c>
      <c r="I681" s="4"/>
      <c r="J681" s="4"/>
      <c r="K681" s="4">
        <v>205</v>
      </c>
      <c r="L681" s="4">
        <v>14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39641.61</v>
      </c>
      <c r="X681" s="4">
        <v>1</v>
      </c>
      <c r="Y681" s="4">
        <v>39641.61</v>
      </c>
      <c r="Z681" s="4"/>
      <c r="AA681" s="4"/>
      <c r="AB681" s="4"/>
    </row>
    <row r="682" spans="1:28" x14ac:dyDescent="0.2">
      <c r="A682" s="4">
        <v>50</v>
      </c>
      <c r="B682" s="4">
        <v>0</v>
      </c>
      <c r="C682" s="4">
        <v>0</v>
      </c>
      <c r="D682" s="4">
        <v>1</v>
      </c>
      <c r="E682" s="4">
        <v>232</v>
      </c>
      <c r="F682" s="4">
        <f>ROUND(Source!BC666,O682)</f>
        <v>0</v>
      </c>
      <c r="G682" s="4" t="s">
        <v>64</v>
      </c>
      <c r="H682" s="4" t="s">
        <v>65</v>
      </c>
      <c r="I682" s="4"/>
      <c r="J682" s="4"/>
      <c r="K682" s="4">
        <v>232</v>
      </c>
      <c r="L682" s="4">
        <v>15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0</v>
      </c>
      <c r="X682" s="4">
        <v>1</v>
      </c>
      <c r="Y682" s="4">
        <v>0</v>
      </c>
      <c r="Z682" s="4"/>
      <c r="AA682" s="4"/>
      <c r="AB682" s="4"/>
    </row>
    <row r="683" spans="1:28" x14ac:dyDescent="0.2">
      <c r="A683" s="4">
        <v>50</v>
      </c>
      <c r="B683" s="4">
        <v>0</v>
      </c>
      <c r="C683" s="4">
        <v>0</v>
      </c>
      <c r="D683" s="4">
        <v>1</v>
      </c>
      <c r="E683" s="4">
        <v>214</v>
      </c>
      <c r="F683" s="4">
        <f>ROUND(Source!AS666,O683)</f>
        <v>0</v>
      </c>
      <c r="G683" s="4" t="s">
        <v>66</v>
      </c>
      <c r="H683" s="4" t="s">
        <v>67</v>
      </c>
      <c r="I683" s="4"/>
      <c r="J683" s="4"/>
      <c r="K683" s="4">
        <v>214</v>
      </c>
      <c r="L683" s="4">
        <v>16</v>
      </c>
      <c r="M683" s="4">
        <v>3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0</v>
      </c>
      <c r="X683" s="4">
        <v>1</v>
      </c>
      <c r="Y683" s="4">
        <v>0</v>
      </c>
      <c r="Z683" s="4"/>
      <c r="AA683" s="4"/>
      <c r="AB683" s="4"/>
    </row>
    <row r="684" spans="1:28" x14ac:dyDescent="0.2">
      <c r="A684" s="4">
        <v>50</v>
      </c>
      <c r="B684" s="4">
        <v>0</v>
      </c>
      <c r="C684" s="4">
        <v>0</v>
      </c>
      <c r="D684" s="4">
        <v>1</v>
      </c>
      <c r="E684" s="4">
        <v>215</v>
      </c>
      <c r="F684" s="4">
        <f>ROUND(Source!AT666,O684)</f>
        <v>0</v>
      </c>
      <c r="G684" s="4" t="s">
        <v>68</v>
      </c>
      <c r="H684" s="4" t="s">
        <v>69</v>
      </c>
      <c r="I684" s="4"/>
      <c r="J684" s="4"/>
      <c r="K684" s="4">
        <v>215</v>
      </c>
      <c r="L684" s="4">
        <v>17</v>
      </c>
      <c r="M684" s="4">
        <v>3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0</v>
      </c>
      <c r="X684" s="4">
        <v>1</v>
      </c>
      <c r="Y684" s="4">
        <v>0</v>
      </c>
      <c r="Z684" s="4"/>
      <c r="AA684" s="4"/>
      <c r="AB684" s="4"/>
    </row>
    <row r="685" spans="1:28" x14ac:dyDescent="0.2">
      <c r="A685" s="4">
        <v>50</v>
      </c>
      <c r="B685" s="4">
        <v>0</v>
      </c>
      <c r="C685" s="4">
        <v>0</v>
      </c>
      <c r="D685" s="4">
        <v>1</v>
      </c>
      <c r="E685" s="4">
        <v>217</v>
      </c>
      <c r="F685" s="4">
        <f>ROUND(Source!AU666,O685)</f>
        <v>78187.22</v>
      </c>
      <c r="G685" s="4" t="s">
        <v>70</v>
      </c>
      <c r="H685" s="4" t="s">
        <v>71</v>
      </c>
      <c r="I685" s="4"/>
      <c r="J685" s="4"/>
      <c r="K685" s="4">
        <v>217</v>
      </c>
      <c r="L685" s="4">
        <v>18</v>
      </c>
      <c r="M685" s="4">
        <v>3</v>
      </c>
      <c r="N685" s="4" t="s">
        <v>3</v>
      </c>
      <c r="O685" s="4">
        <v>2</v>
      </c>
      <c r="P685" s="4"/>
      <c r="Q685" s="4"/>
      <c r="R685" s="4"/>
      <c r="S685" s="4"/>
      <c r="T685" s="4"/>
      <c r="U685" s="4"/>
      <c r="V685" s="4"/>
      <c r="W685" s="4">
        <v>78187.22</v>
      </c>
      <c r="X685" s="4">
        <v>1</v>
      </c>
      <c r="Y685" s="4">
        <v>78187.22</v>
      </c>
      <c r="Z685" s="4"/>
      <c r="AA685" s="4"/>
      <c r="AB685" s="4"/>
    </row>
    <row r="686" spans="1:28" x14ac:dyDescent="0.2">
      <c r="A686" s="4">
        <v>50</v>
      </c>
      <c r="B686" s="4">
        <v>0</v>
      </c>
      <c r="C686" s="4">
        <v>0</v>
      </c>
      <c r="D686" s="4">
        <v>1</v>
      </c>
      <c r="E686" s="4">
        <v>230</v>
      </c>
      <c r="F686" s="4">
        <f>ROUND(Source!BA666,O686)</f>
        <v>0</v>
      </c>
      <c r="G686" s="4" t="s">
        <v>72</v>
      </c>
      <c r="H686" s="4" t="s">
        <v>73</v>
      </c>
      <c r="I686" s="4"/>
      <c r="J686" s="4"/>
      <c r="K686" s="4">
        <v>230</v>
      </c>
      <c r="L686" s="4">
        <v>19</v>
      </c>
      <c r="M686" s="4">
        <v>3</v>
      </c>
      <c r="N686" s="4" t="s">
        <v>3</v>
      </c>
      <c r="O686" s="4">
        <v>2</v>
      </c>
      <c r="P686" s="4"/>
      <c r="Q686" s="4"/>
      <c r="R686" s="4"/>
      <c r="S686" s="4"/>
      <c r="T686" s="4"/>
      <c r="U686" s="4"/>
      <c r="V686" s="4"/>
      <c r="W686" s="4">
        <v>0</v>
      </c>
      <c r="X686" s="4">
        <v>1</v>
      </c>
      <c r="Y686" s="4">
        <v>0</v>
      </c>
      <c r="Z686" s="4"/>
      <c r="AA686" s="4"/>
      <c r="AB686" s="4"/>
    </row>
    <row r="687" spans="1:28" x14ac:dyDescent="0.2">
      <c r="A687" s="4">
        <v>50</v>
      </c>
      <c r="B687" s="4">
        <v>0</v>
      </c>
      <c r="C687" s="4">
        <v>0</v>
      </c>
      <c r="D687" s="4">
        <v>1</v>
      </c>
      <c r="E687" s="4">
        <v>206</v>
      </c>
      <c r="F687" s="4">
        <f>ROUND(Source!T666,O687)</f>
        <v>0</v>
      </c>
      <c r="G687" s="4" t="s">
        <v>74</v>
      </c>
      <c r="H687" s="4" t="s">
        <v>75</v>
      </c>
      <c r="I687" s="4"/>
      <c r="J687" s="4"/>
      <c r="K687" s="4">
        <v>206</v>
      </c>
      <c r="L687" s="4">
        <v>20</v>
      </c>
      <c r="M687" s="4">
        <v>3</v>
      </c>
      <c r="N687" s="4" t="s">
        <v>3</v>
      </c>
      <c r="O687" s="4">
        <v>2</v>
      </c>
      <c r="P687" s="4"/>
      <c r="Q687" s="4"/>
      <c r="R687" s="4"/>
      <c r="S687" s="4"/>
      <c r="T687" s="4"/>
      <c r="U687" s="4"/>
      <c r="V687" s="4"/>
      <c r="W687" s="4">
        <v>0</v>
      </c>
      <c r="X687" s="4">
        <v>1</v>
      </c>
      <c r="Y687" s="4">
        <v>0</v>
      </c>
      <c r="Z687" s="4"/>
      <c r="AA687" s="4"/>
      <c r="AB687" s="4"/>
    </row>
    <row r="688" spans="1:28" x14ac:dyDescent="0.2">
      <c r="A688" s="4">
        <v>50</v>
      </c>
      <c r="B688" s="4">
        <v>0</v>
      </c>
      <c r="C688" s="4">
        <v>0</v>
      </c>
      <c r="D688" s="4">
        <v>1</v>
      </c>
      <c r="E688" s="4">
        <v>207</v>
      </c>
      <c r="F688" s="4">
        <f>Source!U666</f>
        <v>59.739999999999995</v>
      </c>
      <c r="G688" s="4" t="s">
        <v>76</v>
      </c>
      <c r="H688" s="4" t="s">
        <v>77</v>
      </c>
      <c r="I688" s="4"/>
      <c r="J688" s="4"/>
      <c r="K688" s="4">
        <v>207</v>
      </c>
      <c r="L688" s="4">
        <v>21</v>
      </c>
      <c r="M688" s="4">
        <v>3</v>
      </c>
      <c r="N688" s="4" t="s">
        <v>3</v>
      </c>
      <c r="O688" s="4">
        <v>-1</v>
      </c>
      <c r="P688" s="4"/>
      <c r="Q688" s="4"/>
      <c r="R688" s="4"/>
      <c r="S688" s="4"/>
      <c r="T688" s="4"/>
      <c r="U688" s="4"/>
      <c r="V688" s="4"/>
      <c r="W688" s="4">
        <v>59.74</v>
      </c>
      <c r="X688" s="4">
        <v>1</v>
      </c>
      <c r="Y688" s="4">
        <v>59.74</v>
      </c>
      <c r="Z688" s="4"/>
      <c r="AA688" s="4"/>
      <c r="AB688" s="4"/>
    </row>
    <row r="689" spans="1:206" x14ac:dyDescent="0.2">
      <c r="A689" s="4">
        <v>50</v>
      </c>
      <c r="B689" s="4">
        <v>0</v>
      </c>
      <c r="C689" s="4">
        <v>0</v>
      </c>
      <c r="D689" s="4">
        <v>1</v>
      </c>
      <c r="E689" s="4">
        <v>208</v>
      </c>
      <c r="F689" s="4">
        <f>Source!V666</f>
        <v>0</v>
      </c>
      <c r="G689" s="4" t="s">
        <v>78</v>
      </c>
      <c r="H689" s="4" t="s">
        <v>79</v>
      </c>
      <c r="I689" s="4"/>
      <c r="J689" s="4"/>
      <c r="K689" s="4">
        <v>208</v>
      </c>
      <c r="L689" s="4">
        <v>22</v>
      </c>
      <c r="M689" s="4">
        <v>3</v>
      </c>
      <c r="N689" s="4" t="s">
        <v>3</v>
      </c>
      <c r="O689" s="4">
        <v>-1</v>
      </c>
      <c r="P689" s="4"/>
      <c r="Q689" s="4"/>
      <c r="R689" s="4"/>
      <c r="S689" s="4"/>
      <c r="T689" s="4"/>
      <c r="U689" s="4"/>
      <c r="V689" s="4"/>
      <c r="W689" s="4">
        <v>0</v>
      </c>
      <c r="X689" s="4">
        <v>1</v>
      </c>
      <c r="Y689" s="4">
        <v>0</v>
      </c>
      <c r="Z689" s="4"/>
      <c r="AA689" s="4"/>
      <c r="AB689" s="4"/>
    </row>
    <row r="690" spans="1:206" x14ac:dyDescent="0.2">
      <c r="A690" s="4">
        <v>50</v>
      </c>
      <c r="B690" s="4">
        <v>0</v>
      </c>
      <c r="C690" s="4">
        <v>0</v>
      </c>
      <c r="D690" s="4">
        <v>1</v>
      </c>
      <c r="E690" s="4">
        <v>209</v>
      </c>
      <c r="F690" s="4">
        <f>ROUND(Source!W666,O690)</f>
        <v>0</v>
      </c>
      <c r="G690" s="4" t="s">
        <v>80</v>
      </c>
      <c r="H690" s="4" t="s">
        <v>81</v>
      </c>
      <c r="I690" s="4"/>
      <c r="J690" s="4"/>
      <c r="K690" s="4">
        <v>209</v>
      </c>
      <c r="L690" s="4">
        <v>23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0</v>
      </c>
      <c r="X690" s="4">
        <v>1</v>
      </c>
      <c r="Y690" s="4">
        <v>0</v>
      </c>
      <c r="Z690" s="4"/>
      <c r="AA690" s="4"/>
      <c r="AB690" s="4"/>
    </row>
    <row r="691" spans="1:206" x14ac:dyDescent="0.2">
      <c r="A691" s="4">
        <v>50</v>
      </c>
      <c r="B691" s="4">
        <v>0</v>
      </c>
      <c r="C691" s="4">
        <v>0</v>
      </c>
      <c r="D691" s="4">
        <v>1</v>
      </c>
      <c r="E691" s="4">
        <v>233</v>
      </c>
      <c r="F691" s="4">
        <f>ROUND(Source!BD666,O691)</f>
        <v>0</v>
      </c>
      <c r="G691" s="4" t="s">
        <v>82</v>
      </c>
      <c r="H691" s="4" t="s">
        <v>83</v>
      </c>
      <c r="I691" s="4"/>
      <c r="J691" s="4"/>
      <c r="K691" s="4">
        <v>233</v>
      </c>
      <c r="L691" s="4">
        <v>24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0</v>
      </c>
      <c r="X691" s="4">
        <v>1</v>
      </c>
      <c r="Y691" s="4">
        <v>0</v>
      </c>
      <c r="Z691" s="4"/>
      <c r="AA691" s="4"/>
      <c r="AB691" s="4"/>
    </row>
    <row r="692" spans="1:206" x14ac:dyDescent="0.2">
      <c r="A692" s="4">
        <v>50</v>
      </c>
      <c r="B692" s="4">
        <v>0</v>
      </c>
      <c r="C692" s="4">
        <v>0</v>
      </c>
      <c r="D692" s="4">
        <v>1</v>
      </c>
      <c r="E692" s="4">
        <v>210</v>
      </c>
      <c r="F692" s="4">
        <f>ROUND(Source!X666,O692)</f>
        <v>27749.13</v>
      </c>
      <c r="G692" s="4" t="s">
        <v>84</v>
      </c>
      <c r="H692" s="4" t="s">
        <v>85</v>
      </c>
      <c r="I692" s="4"/>
      <c r="J692" s="4"/>
      <c r="K692" s="4">
        <v>210</v>
      </c>
      <c r="L692" s="4">
        <v>25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27749.13</v>
      </c>
      <c r="X692" s="4">
        <v>1</v>
      </c>
      <c r="Y692" s="4">
        <v>27749.13</v>
      </c>
      <c r="Z692" s="4"/>
      <c r="AA692" s="4"/>
      <c r="AB692" s="4"/>
    </row>
    <row r="693" spans="1:206" x14ac:dyDescent="0.2">
      <c r="A693" s="4">
        <v>50</v>
      </c>
      <c r="B693" s="4">
        <v>0</v>
      </c>
      <c r="C693" s="4">
        <v>0</v>
      </c>
      <c r="D693" s="4">
        <v>1</v>
      </c>
      <c r="E693" s="4">
        <v>211</v>
      </c>
      <c r="F693" s="4">
        <f>ROUND(Source!Y666,O693)</f>
        <v>3964.16</v>
      </c>
      <c r="G693" s="4" t="s">
        <v>86</v>
      </c>
      <c r="H693" s="4" t="s">
        <v>87</v>
      </c>
      <c r="I693" s="4"/>
      <c r="J693" s="4"/>
      <c r="K693" s="4">
        <v>211</v>
      </c>
      <c r="L693" s="4">
        <v>26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3964.16</v>
      </c>
      <c r="X693" s="4">
        <v>1</v>
      </c>
      <c r="Y693" s="4">
        <v>3964.16</v>
      </c>
      <c r="Z693" s="4"/>
      <c r="AA693" s="4"/>
      <c r="AB693" s="4"/>
    </row>
    <row r="694" spans="1:206" x14ac:dyDescent="0.2">
      <c r="A694" s="4">
        <v>50</v>
      </c>
      <c r="B694" s="4">
        <v>0</v>
      </c>
      <c r="C694" s="4">
        <v>0</v>
      </c>
      <c r="D694" s="4">
        <v>1</v>
      </c>
      <c r="E694" s="4">
        <v>224</v>
      </c>
      <c r="F694" s="4">
        <f>ROUND(Source!AR666,O694)</f>
        <v>78187.22</v>
      </c>
      <c r="G694" s="4" t="s">
        <v>88</v>
      </c>
      <c r="H694" s="4" t="s">
        <v>89</v>
      </c>
      <c r="I694" s="4"/>
      <c r="J694" s="4"/>
      <c r="K694" s="4">
        <v>224</v>
      </c>
      <c r="L694" s="4">
        <v>27</v>
      </c>
      <c r="M694" s="4">
        <v>3</v>
      </c>
      <c r="N694" s="4" t="s">
        <v>3</v>
      </c>
      <c r="O694" s="4">
        <v>2</v>
      </c>
      <c r="P694" s="4"/>
      <c r="Q694" s="4"/>
      <c r="R694" s="4"/>
      <c r="S694" s="4"/>
      <c r="T694" s="4"/>
      <c r="U694" s="4"/>
      <c r="V694" s="4"/>
      <c r="W694" s="4">
        <v>78187.22</v>
      </c>
      <c r="X694" s="4">
        <v>1</v>
      </c>
      <c r="Y694" s="4">
        <v>78187.22</v>
      </c>
      <c r="Z694" s="4"/>
      <c r="AA694" s="4"/>
      <c r="AB694" s="4"/>
    </row>
    <row r="696" spans="1:206" x14ac:dyDescent="0.2">
      <c r="A696" s="2">
        <v>51</v>
      </c>
      <c r="B696" s="2">
        <f>B505</f>
        <v>1</v>
      </c>
      <c r="C696" s="2">
        <f>A505</f>
        <v>4</v>
      </c>
      <c r="D696" s="2">
        <f>ROW(A505)</f>
        <v>505</v>
      </c>
      <c r="E696" s="2"/>
      <c r="F696" s="2" t="str">
        <f>IF(F505&lt;&gt;"",F505,"")</f>
        <v>Новый раздел</v>
      </c>
      <c r="G696" s="2" t="str">
        <f>IF(G505&lt;&gt;"",G505,"")</f>
        <v>3. Вентиляция и кондиционирование</v>
      </c>
      <c r="H696" s="2">
        <v>0</v>
      </c>
      <c r="I696" s="2"/>
      <c r="J696" s="2"/>
      <c r="K696" s="2"/>
      <c r="L696" s="2"/>
      <c r="M696" s="2"/>
      <c r="N696" s="2"/>
      <c r="O696" s="2">
        <f t="shared" ref="O696:T696" si="641">ROUND(O563+O630+O666+AB696,2)</f>
        <v>290845.90999999997</v>
      </c>
      <c r="P696" s="2">
        <f t="shared" si="641"/>
        <v>6910.81</v>
      </c>
      <c r="Q696" s="2">
        <f t="shared" si="641"/>
        <v>18807.009999999998</v>
      </c>
      <c r="R696" s="2">
        <f t="shared" si="641"/>
        <v>11728.44</v>
      </c>
      <c r="S696" s="2">
        <f t="shared" si="641"/>
        <v>265128.09000000003</v>
      </c>
      <c r="T696" s="2">
        <f t="shared" si="641"/>
        <v>0</v>
      </c>
      <c r="U696" s="2">
        <f>U563+U630+U666+AH696</f>
        <v>402.90500000000003</v>
      </c>
      <c r="V696" s="2">
        <f>V563+V630+V666+AI696</f>
        <v>0</v>
      </c>
      <c r="W696" s="2">
        <f>ROUND(W563+W630+W666+AJ696,2)</f>
        <v>0</v>
      </c>
      <c r="X696" s="2">
        <f>ROUND(X563+X630+X666+AK696,2)</f>
        <v>185589.68</v>
      </c>
      <c r="Y696" s="2">
        <f>ROUND(Y563+Y630+Y666+AL696,2)</f>
        <v>26512.799999999999</v>
      </c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>
        <f t="shared" ref="AO696:BD696" si="642">ROUND(AO563+AO630+AO666+BX696,2)</f>
        <v>0</v>
      </c>
      <c r="AP696" s="2">
        <f t="shared" si="642"/>
        <v>0</v>
      </c>
      <c r="AQ696" s="2">
        <f t="shared" si="642"/>
        <v>0</v>
      </c>
      <c r="AR696" s="2">
        <f t="shared" si="642"/>
        <v>515615.1</v>
      </c>
      <c r="AS696" s="2">
        <f t="shared" si="642"/>
        <v>0</v>
      </c>
      <c r="AT696" s="2">
        <f t="shared" si="642"/>
        <v>0</v>
      </c>
      <c r="AU696" s="2">
        <f t="shared" si="642"/>
        <v>515615.1</v>
      </c>
      <c r="AV696" s="2">
        <f t="shared" si="642"/>
        <v>6910.81</v>
      </c>
      <c r="AW696" s="2">
        <f t="shared" si="642"/>
        <v>6910.81</v>
      </c>
      <c r="AX696" s="2">
        <f t="shared" si="642"/>
        <v>0</v>
      </c>
      <c r="AY696" s="2">
        <f t="shared" si="642"/>
        <v>6910.81</v>
      </c>
      <c r="AZ696" s="2">
        <f t="shared" si="642"/>
        <v>0</v>
      </c>
      <c r="BA696" s="2">
        <f t="shared" si="642"/>
        <v>0</v>
      </c>
      <c r="BB696" s="2">
        <f t="shared" si="642"/>
        <v>0</v>
      </c>
      <c r="BC696" s="2">
        <f t="shared" si="642"/>
        <v>0</v>
      </c>
      <c r="BD696" s="2">
        <f t="shared" si="642"/>
        <v>0</v>
      </c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Y696" s="2"/>
      <c r="CZ696" s="2"/>
      <c r="DA696" s="2"/>
      <c r="DB696" s="2"/>
      <c r="DC696" s="2"/>
      <c r="DD696" s="2"/>
      <c r="DE696" s="2"/>
      <c r="DF696" s="2"/>
      <c r="DG696" s="3"/>
      <c r="DH696" s="3"/>
      <c r="DI696" s="3"/>
      <c r="DJ696" s="3"/>
      <c r="DK696" s="3"/>
      <c r="DL696" s="3"/>
      <c r="DM696" s="3"/>
      <c r="DN696" s="3"/>
      <c r="DO696" s="3"/>
      <c r="DP696" s="3"/>
      <c r="DQ696" s="3"/>
      <c r="DR696" s="3"/>
      <c r="DS696" s="3"/>
      <c r="DT696" s="3"/>
      <c r="DU696" s="3"/>
      <c r="DV696" s="3"/>
      <c r="DW696" s="3"/>
      <c r="DX696" s="3"/>
      <c r="DY696" s="3"/>
      <c r="DZ696" s="3"/>
      <c r="EA696" s="3"/>
      <c r="EB696" s="3"/>
      <c r="EC696" s="3"/>
      <c r="ED696" s="3"/>
      <c r="EE696" s="3"/>
      <c r="EF696" s="3"/>
      <c r="EG696" s="3"/>
      <c r="EH696" s="3"/>
      <c r="EI696" s="3"/>
      <c r="EJ696" s="3"/>
      <c r="EK696" s="3"/>
      <c r="EL696" s="3"/>
      <c r="EM696" s="3"/>
      <c r="EN696" s="3"/>
      <c r="EO696" s="3"/>
      <c r="EP696" s="3"/>
      <c r="EQ696" s="3"/>
      <c r="ER696" s="3"/>
      <c r="ES696" s="3"/>
      <c r="ET696" s="3"/>
      <c r="EU696" s="3"/>
      <c r="EV696" s="3"/>
      <c r="EW696" s="3"/>
      <c r="EX696" s="3"/>
      <c r="EY696" s="3"/>
      <c r="EZ696" s="3"/>
      <c r="FA696" s="3"/>
      <c r="FB696" s="3"/>
      <c r="FC696" s="3"/>
      <c r="FD696" s="3"/>
      <c r="FE696" s="3"/>
      <c r="FF696" s="3"/>
      <c r="FG696" s="3"/>
      <c r="FH696" s="3"/>
      <c r="FI696" s="3"/>
      <c r="FJ696" s="3"/>
      <c r="FK696" s="3"/>
      <c r="FL696" s="3"/>
      <c r="FM696" s="3"/>
      <c r="FN696" s="3"/>
      <c r="FO696" s="3"/>
      <c r="FP696" s="3"/>
      <c r="FQ696" s="3"/>
      <c r="FR696" s="3"/>
      <c r="FS696" s="3"/>
      <c r="FT696" s="3"/>
      <c r="FU696" s="3"/>
      <c r="FV696" s="3"/>
      <c r="FW696" s="3"/>
      <c r="FX696" s="3"/>
      <c r="FY696" s="3"/>
      <c r="FZ696" s="3"/>
      <c r="GA696" s="3"/>
      <c r="GB696" s="3"/>
      <c r="GC696" s="3"/>
      <c r="GD696" s="3"/>
      <c r="GE696" s="3"/>
      <c r="GF696" s="3"/>
      <c r="GG696" s="3"/>
      <c r="GH696" s="3"/>
      <c r="GI696" s="3"/>
      <c r="GJ696" s="3"/>
      <c r="GK696" s="3"/>
      <c r="GL696" s="3"/>
      <c r="GM696" s="3"/>
      <c r="GN696" s="3"/>
      <c r="GO696" s="3"/>
      <c r="GP696" s="3"/>
      <c r="GQ696" s="3"/>
      <c r="GR696" s="3"/>
      <c r="GS696" s="3"/>
      <c r="GT696" s="3"/>
      <c r="GU696" s="3"/>
      <c r="GV696" s="3"/>
      <c r="GW696" s="3"/>
      <c r="GX696" s="3">
        <v>0</v>
      </c>
    </row>
    <row r="698" spans="1:206" x14ac:dyDescent="0.2">
      <c r="A698" s="4">
        <v>50</v>
      </c>
      <c r="B698" s="4">
        <v>0</v>
      </c>
      <c r="C698" s="4">
        <v>0</v>
      </c>
      <c r="D698" s="4">
        <v>1</v>
      </c>
      <c r="E698" s="4">
        <v>201</v>
      </c>
      <c r="F698" s="4">
        <f>ROUND(Source!O696,O698)</f>
        <v>290845.90999999997</v>
      </c>
      <c r="G698" s="4" t="s">
        <v>36</v>
      </c>
      <c r="H698" s="4" t="s">
        <v>37</v>
      </c>
      <c r="I698" s="4"/>
      <c r="J698" s="4"/>
      <c r="K698" s="4">
        <v>201</v>
      </c>
      <c r="L698" s="4">
        <v>1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290845.90999999997</v>
      </c>
      <c r="X698" s="4">
        <v>1</v>
      </c>
      <c r="Y698" s="4">
        <v>290845.90999999997</v>
      </c>
      <c r="Z698" s="4"/>
      <c r="AA698" s="4"/>
      <c r="AB698" s="4"/>
    </row>
    <row r="699" spans="1:206" x14ac:dyDescent="0.2">
      <c r="A699" s="4">
        <v>50</v>
      </c>
      <c r="B699" s="4">
        <v>0</v>
      </c>
      <c r="C699" s="4">
        <v>0</v>
      </c>
      <c r="D699" s="4">
        <v>1</v>
      </c>
      <c r="E699" s="4">
        <v>202</v>
      </c>
      <c r="F699" s="4">
        <f>ROUND(Source!P696,O699)</f>
        <v>6910.81</v>
      </c>
      <c r="G699" s="4" t="s">
        <v>38</v>
      </c>
      <c r="H699" s="4" t="s">
        <v>39</v>
      </c>
      <c r="I699" s="4"/>
      <c r="J699" s="4"/>
      <c r="K699" s="4">
        <v>202</v>
      </c>
      <c r="L699" s="4">
        <v>2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6910.81</v>
      </c>
      <c r="X699" s="4">
        <v>1</v>
      </c>
      <c r="Y699" s="4">
        <v>6910.81</v>
      </c>
      <c r="Z699" s="4"/>
      <c r="AA699" s="4"/>
      <c r="AB699" s="4"/>
    </row>
    <row r="700" spans="1:206" x14ac:dyDescent="0.2">
      <c r="A700" s="4">
        <v>50</v>
      </c>
      <c r="B700" s="4">
        <v>0</v>
      </c>
      <c r="C700" s="4">
        <v>0</v>
      </c>
      <c r="D700" s="4">
        <v>1</v>
      </c>
      <c r="E700" s="4">
        <v>222</v>
      </c>
      <c r="F700" s="4">
        <f>ROUND(Source!AO696,O700)</f>
        <v>0</v>
      </c>
      <c r="G700" s="4" t="s">
        <v>40</v>
      </c>
      <c r="H700" s="4" t="s">
        <v>41</v>
      </c>
      <c r="I700" s="4"/>
      <c r="J700" s="4"/>
      <c r="K700" s="4">
        <v>222</v>
      </c>
      <c r="L700" s="4">
        <v>3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0</v>
      </c>
      <c r="X700" s="4">
        <v>1</v>
      </c>
      <c r="Y700" s="4">
        <v>0</v>
      </c>
      <c r="Z700" s="4"/>
      <c r="AA700" s="4"/>
      <c r="AB700" s="4"/>
    </row>
    <row r="701" spans="1:206" x14ac:dyDescent="0.2">
      <c r="A701" s="4">
        <v>50</v>
      </c>
      <c r="B701" s="4">
        <v>0</v>
      </c>
      <c r="C701" s="4">
        <v>0</v>
      </c>
      <c r="D701" s="4">
        <v>1</v>
      </c>
      <c r="E701" s="4">
        <v>225</v>
      </c>
      <c r="F701" s="4">
        <f>ROUND(Source!AV696,O701)</f>
        <v>6910.81</v>
      </c>
      <c r="G701" s="4" t="s">
        <v>42</v>
      </c>
      <c r="H701" s="4" t="s">
        <v>43</v>
      </c>
      <c r="I701" s="4"/>
      <c r="J701" s="4"/>
      <c r="K701" s="4">
        <v>225</v>
      </c>
      <c r="L701" s="4">
        <v>4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6910.81</v>
      </c>
      <c r="X701" s="4">
        <v>1</v>
      </c>
      <c r="Y701" s="4">
        <v>6910.81</v>
      </c>
      <c r="Z701" s="4"/>
      <c r="AA701" s="4"/>
      <c r="AB701" s="4"/>
    </row>
    <row r="702" spans="1:206" x14ac:dyDescent="0.2">
      <c r="A702" s="4">
        <v>50</v>
      </c>
      <c r="B702" s="4">
        <v>0</v>
      </c>
      <c r="C702" s="4">
        <v>0</v>
      </c>
      <c r="D702" s="4">
        <v>1</v>
      </c>
      <c r="E702" s="4">
        <v>226</v>
      </c>
      <c r="F702" s="4">
        <f>ROUND(Source!AW696,O702)</f>
        <v>6910.81</v>
      </c>
      <c r="G702" s="4" t="s">
        <v>44</v>
      </c>
      <c r="H702" s="4" t="s">
        <v>45</v>
      </c>
      <c r="I702" s="4"/>
      <c r="J702" s="4"/>
      <c r="K702" s="4">
        <v>226</v>
      </c>
      <c r="L702" s="4">
        <v>5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6910.81</v>
      </c>
      <c r="X702" s="4">
        <v>1</v>
      </c>
      <c r="Y702" s="4">
        <v>6910.81</v>
      </c>
      <c r="Z702" s="4"/>
      <c r="AA702" s="4"/>
      <c r="AB702" s="4"/>
    </row>
    <row r="703" spans="1:206" x14ac:dyDescent="0.2">
      <c r="A703" s="4">
        <v>50</v>
      </c>
      <c r="B703" s="4">
        <v>0</v>
      </c>
      <c r="C703" s="4">
        <v>0</v>
      </c>
      <c r="D703" s="4">
        <v>1</v>
      </c>
      <c r="E703" s="4">
        <v>227</v>
      </c>
      <c r="F703" s="4">
        <f>ROUND(Source!AX696,O703)</f>
        <v>0</v>
      </c>
      <c r="G703" s="4" t="s">
        <v>46</v>
      </c>
      <c r="H703" s="4" t="s">
        <v>47</v>
      </c>
      <c r="I703" s="4"/>
      <c r="J703" s="4"/>
      <c r="K703" s="4">
        <v>227</v>
      </c>
      <c r="L703" s="4">
        <v>6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0</v>
      </c>
      <c r="X703" s="4">
        <v>1</v>
      </c>
      <c r="Y703" s="4">
        <v>0</v>
      </c>
      <c r="Z703" s="4"/>
      <c r="AA703" s="4"/>
      <c r="AB703" s="4"/>
    </row>
    <row r="704" spans="1:206" x14ac:dyDescent="0.2">
      <c r="A704" s="4">
        <v>50</v>
      </c>
      <c r="B704" s="4">
        <v>0</v>
      </c>
      <c r="C704" s="4">
        <v>0</v>
      </c>
      <c r="D704" s="4">
        <v>1</v>
      </c>
      <c r="E704" s="4">
        <v>228</v>
      </c>
      <c r="F704" s="4">
        <f>ROUND(Source!AY696,O704)</f>
        <v>6910.81</v>
      </c>
      <c r="G704" s="4" t="s">
        <v>48</v>
      </c>
      <c r="H704" s="4" t="s">
        <v>49</v>
      </c>
      <c r="I704" s="4"/>
      <c r="J704" s="4"/>
      <c r="K704" s="4">
        <v>228</v>
      </c>
      <c r="L704" s="4">
        <v>7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6910.81</v>
      </c>
      <c r="X704" s="4">
        <v>1</v>
      </c>
      <c r="Y704" s="4">
        <v>6910.81</v>
      </c>
      <c r="Z704" s="4"/>
      <c r="AA704" s="4"/>
      <c r="AB704" s="4"/>
    </row>
    <row r="705" spans="1:28" x14ac:dyDescent="0.2">
      <c r="A705" s="4">
        <v>50</v>
      </c>
      <c r="B705" s="4">
        <v>0</v>
      </c>
      <c r="C705" s="4">
        <v>0</v>
      </c>
      <c r="D705" s="4">
        <v>1</v>
      </c>
      <c r="E705" s="4">
        <v>216</v>
      </c>
      <c r="F705" s="4">
        <f>ROUND(Source!AP696,O705)</f>
        <v>0</v>
      </c>
      <c r="G705" s="4" t="s">
        <v>50</v>
      </c>
      <c r="H705" s="4" t="s">
        <v>51</v>
      </c>
      <c r="I705" s="4"/>
      <c r="J705" s="4"/>
      <c r="K705" s="4">
        <v>216</v>
      </c>
      <c r="L705" s="4">
        <v>8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0</v>
      </c>
      <c r="X705" s="4">
        <v>1</v>
      </c>
      <c r="Y705" s="4">
        <v>0</v>
      </c>
      <c r="Z705" s="4"/>
      <c r="AA705" s="4"/>
      <c r="AB705" s="4"/>
    </row>
    <row r="706" spans="1:28" x14ac:dyDescent="0.2">
      <c r="A706" s="4">
        <v>50</v>
      </c>
      <c r="B706" s="4">
        <v>0</v>
      </c>
      <c r="C706" s="4">
        <v>0</v>
      </c>
      <c r="D706" s="4">
        <v>1</v>
      </c>
      <c r="E706" s="4">
        <v>223</v>
      </c>
      <c r="F706" s="4">
        <f>ROUND(Source!AQ696,O706)</f>
        <v>0</v>
      </c>
      <c r="G706" s="4" t="s">
        <v>52</v>
      </c>
      <c r="H706" s="4" t="s">
        <v>53</v>
      </c>
      <c r="I706" s="4"/>
      <c r="J706" s="4"/>
      <c r="K706" s="4">
        <v>223</v>
      </c>
      <c r="L706" s="4">
        <v>9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0</v>
      </c>
      <c r="X706" s="4">
        <v>1</v>
      </c>
      <c r="Y706" s="4">
        <v>0</v>
      </c>
      <c r="Z706" s="4"/>
      <c r="AA706" s="4"/>
      <c r="AB706" s="4"/>
    </row>
    <row r="707" spans="1:28" x14ac:dyDescent="0.2">
      <c r="A707" s="4">
        <v>50</v>
      </c>
      <c r="B707" s="4">
        <v>0</v>
      </c>
      <c r="C707" s="4">
        <v>0</v>
      </c>
      <c r="D707" s="4">
        <v>1</v>
      </c>
      <c r="E707" s="4">
        <v>229</v>
      </c>
      <c r="F707" s="4">
        <f>ROUND(Source!AZ696,O707)</f>
        <v>0</v>
      </c>
      <c r="G707" s="4" t="s">
        <v>54</v>
      </c>
      <c r="H707" s="4" t="s">
        <v>55</v>
      </c>
      <c r="I707" s="4"/>
      <c r="J707" s="4"/>
      <c r="K707" s="4">
        <v>229</v>
      </c>
      <c r="L707" s="4">
        <v>10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8" x14ac:dyDescent="0.2">
      <c r="A708" s="4">
        <v>50</v>
      </c>
      <c r="B708" s="4">
        <v>0</v>
      </c>
      <c r="C708" s="4">
        <v>0</v>
      </c>
      <c r="D708" s="4">
        <v>1</v>
      </c>
      <c r="E708" s="4">
        <v>203</v>
      </c>
      <c r="F708" s="4">
        <f>ROUND(Source!Q696,O708)</f>
        <v>18807.009999999998</v>
      </c>
      <c r="G708" s="4" t="s">
        <v>56</v>
      </c>
      <c r="H708" s="4" t="s">
        <v>57</v>
      </c>
      <c r="I708" s="4"/>
      <c r="J708" s="4"/>
      <c r="K708" s="4">
        <v>203</v>
      </c>
      <c r="L708" s="4">
        <v>11</v>
      </c>
      <c r="M708" s="4">
        <v>3</v>
      </c>
      <c r="N708" s="4" t="s">
        <v>3</v>
      </c>
      <c r="O708" s="4">
        <v>2</v>
      </c>
      <c r="P708" s="4"/>
      <c r="Q708" s="4"/>
      <c r="R708" s="4"/>
      <c r="S708" s="4"/>
      <c r="T708" s="4"/>
      <c r="U708" s="4"/>
      <c r="V708" s="4"/>
      <c r="W708" s="4">
        <v>18807.009999999998</v>
      </c>
      <c r="X708" s="4">
        <v>1</v>
      </c>
      <c r="Y708" s="4">
        <v>18807.009999999998</v>
      </c>
      <c r="Z708" s="4"/>
      <c r="AA708" s="4"/>
      <c r="AB708" s="4"/>
    </row>
    <row r="709" spans="1:28" x14ac:dyDescent="0.2">
      <c r="A709" s="4">
        <v>50</v>
      </c>
      <c r="B709" s="4">
        <v>0</v>
      </c>
      <c r="C709" s="4">
        <v>0</v>
      </c>
      <c r="D709" s="4">
        <v>1</v>
      </c>
      <c r="E709" s="4">
        <v>231</v>
      </c>
      <c r="F709" s="4">
        <f>ROUND(Source!BB696,O709)</f>
        <v>0</v>
      </c>
      <c r="G709" s="4" t="s">
        <v>58</v>
      </c>
      <c r="H709" s="4" t="s">
        <v>59</v>
      </c>
      <c r="I709" s="4"/>
      <c r="J709" s="4"/>
      <c r="K709" s="4">
        <v>231</v>
      </c>
      <c r="L709" s="4">
        <v>12</v>
      </c>
      <c r="M709" s="4">
        <v>3</v>
      </c>
      <c r="N709" s="4" t="s">
        <v>3</v>
      </c>
      <c r="O709" s="4">
        <v>2</v>
      </c>
      <c r="P709" s="4"/>
      <c r="Q709" s="4"/>
      <c r="R709" s="4"/>
      <c r="S709" s="4"/>
      <c r="T709" s="4"/>
      <c r="U709" s="4"/>
      <c r="V709" s="4"/>
      <c r="W709" s="4">
        <v>0</v>
      </c>
      <c r="X709" s="4">
        <v>1</v>
      </c>
      <c r="Y709" s="4">
        <v>0</v>
      </c>
      <c r="Z709" s="4"/>
      <c r="AA709" s="4"/>
      <c r="AB709" s="4"/>
    </row>
    <row r="710" spans="1:28" x14ac:dyDescent="0.2">
      <c r="A710" s="4">
        <v>50</v>
      </c>
      <c r="B710" s="4">
        <v>0</v>
      </c>
      <c r="C710" s="4">
        <v>0</v>
      </c>
      <c r="D710" s="4">
        <v>1</v>
      </c>
      <c r="E710" s="4">
        <v>204</v>
      </c>
      <c r="F710" s="4">
        <f>ROUND(Source!R696,O710)</f>
        <v>11728.44</v>
      </c>
      <c r="G710" s="4" t="s">
        <v>60</v>
      </c>
      <c r="H710" s="4" t="s">
        <v>61</v>
      </c>
      <c r="I710" s="4"/>
      <c r="J710" s="4"/>
      <c r="K710" s="4">
        <v>204</v>
      </c>
      <c r="L710" s="4">
        <v>13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11728.44</v>
      </c>
      <c r="X710" s="4">
        <v>1</v>
      </c>
      <c r="Y710" s="4">
        <v>11728.44</v>
      </c>
      <c r="Z710" s="4"/>
      <c r="AA710" s="4"/>
      <c r="AB710" s="4"/>
    </row>
    <row r="711" spans="1:28" x14ac:dyDescent="0.2">
      <c r="A711" s="4">
        <v>50</v>
      </c>
      <c r="B711" s="4">
        <v>0</v>
      </c>
      <c r="C711" s="4">
        <v>0</v>
      </c>
      <c r="D711" s="4">
        <v>1</v>
      </c>
      <c r="E711" s="4">
        <v>205</v>
      </c>
      <c r="F711" s="4">
        <f>ROUND(Source!S696,O711)</f>
        <v>265128.09000000003</v>
      </c>
      <c r="G711" s="4" t="s">
        <v>62</v>
      </c>
      <c r="H711" s="4" t="s">
        <v>63</v>
      </c>
      <c r="I711" s="4"/>
      <c r="J711" s="4"/>
      <c r="K711" s="4">
        <v>205</v>
      </c>
      <c r="L711" s="4">
        <v>14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265128.09000000003</v>
      </c>
      <c r="X711" s="4">
        <v>1</v>
      </c>
      <c r="Y711" s="4">
        <v>265128.09000000003</v>
      </c>
      <c r="Z711" s="4"/>
      <c r="AA711" s="4"/>
      <c r="AB711" s="4"/>
    </row>
    <row r="712" spans="1:28" x14ac:dyDescent="0.2">
      <c r="A712" s="4">
        <v>50</v>
      </c>
      <c r="B712" s="4">
        <v>0</v>
      </c>
      <c r="C712" s="4">
        <v>0</v>
      </c>
      <c r="D712" s="4">
        <v>1</v>
      </c>
      <c r="E712" s="4">
        <v>232</v>
      </c>
      <c r="F712" s="4">
        <f>ROUND(Source!BC696,O712)</f>
        <v>0</v>
      </c>
      <c r="G712" s="4" t="s">
        <v>64</v>
      </c>
      <c r="H712" s="4" t="s">
        <v>65</v>
      </c>
      <c r="I712" s="4"/>
      <c r="J712" s="4"/>
      <c r="K712" s="4">
        <v>232</v>
      </c>
      <c r="L712" s="4">
        <v>15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8" x14ac:dyDescent="0.2">
      <c r="A713" s="4">
        <v>50</v>
      </c>
      <c r="B713" s="4">
        <v>0</v>
      </c>
      <c r="C713" s="4">
        <v>0</v>
      </c>
      <c r="D713" s="4">
        <v>1</v>
      </c>
      <c r="E713" s="4">
        <v>214</v>
      </c>
      <c r="F713" s="4">
        <f>ROUND(Source!AS696,O713)</f>
        <v>0</v>
      </c>
      <c r="G713" s="4" t="s">
        <v>66</v>
      </c>
      <c r="H713" s="4" t="s">
        <v>67</v>
      </c>
      <c r="I713" s="4"/>
      <c r="J713" s="4"/>
      <c r="K713" s="4">
        <v>214</v>
      </c>
      <c r="L713" s="4">
        <v>16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0</v>
      </c>
      <c r="X713" s="4">
        <v>1</v>
      </c>
      <c r="Y713" s="4">
        <v>0</v>
      </c>
      <c r="Z713" s="4"/>
      <c r="AA713" s="4"/>
      <c r="AB713" s="4"/>
    </row>
    <row r="714" spans="1:28" x14ac:dyDescent="0.2">
      <c r="A714" s="4">
        <v>50</v>
      </c>
      <c r="B714" s="4">
        <v>0</v>
      </c>
      <c r="C714" s="4">
        <v>0</v>
      </c>
      <c r="D714" s="4">
        <v>1</v>
      </c>
      <c r="E714" s="4">
        <v>215</v>
      </c>
      <c r="F714" s="4">
        <f>ROUND(Source!AT696,O714)</f>
        <v>0</v>
      </c>
      <c r="G714" s="4" t="s">
        <v>68</v>
      </c>
      <c r="H714" s="4" t="s">
        <v>69</v>
      </c>
      <c r="I714" s="4"/>
      <c r="J714" s="4"/>
      <c r="K714" s="4">
        <v>215</v>
      </c>
      <c r="L714" s="4">
        <v>17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0</v>
      </c>
      <c r="X714" s="4">
        <v>1</v>
      </c>
      <c r="Y714" s="4">
        <v>0</v>
      </c>
      <c r="Z714" s="4"/>
      <c r="AA714" s="4"/>
      <c r="AB714" s="4"/>
    </row>
    <row r="715" spans="1:28" x14ac:dyDescent="0.2">
      <c r="A715" s="4">
        <v>50</v>
      </c>
      <c r="B715" s="4">
        <v>0</v>
      </c>
      <c r="C715" s="4">
        <v>0</v>
      </c>
      <c r="D715" s="4">
        <v>1</v>
      </c>
      <c r="E715" s="4">
        <v>217</v>
      </c>
      <c r="F715" s="4">
        <f>ROUND(Source!AU696,O715)</f>
        <v>515615.1</v>
      </c>
      <c r="G715" s="4" t="s">
        <v>70</v>
      </c>
      <c r="H715" s="4" t="s">
        <v>71</v>
      </c>
      <c r="I715" s="4"/>
      <c r="J715" s="4"/>
      <c r="K715" s="4">
        <v>217</v>
      </c>
      <c r="L715" s="4">
        <v>18</v>
      </c>
      <c r="M715" s="4">
        <v>3</v>
      </c>
      <c r="N715" s="4" t="s">
        <v>3</v>
      </c>
      <c r="O715" s="4">
        <v>2</v>
      </c>
      <c r="P715" s="4"/>
      <c r="Q715" s="4"/>
      <c r="R715" s="4"/>
      <c r="S715" s="4"/>
      <c r="T715" s="4"/>
      <c r="U715" s="4"/>
      <c r="V715" s="4"/>
      <c r="W715" s="4">
        <v>515615.1</v>
      </c>
      <c r="X715" s="4">
        <v>1</v>
      </c>
      <c r="Y715" s="4">
        <v>515615.1</v>
      </c>
      <c r="Z715" s="4"/>
      <c r="AA715" s="4"/>
      <c r="AB715" s="4"/>
    </row>
    <row r="716" spans="1:28" x14ac:dyDescent="0.2">
      <c r="A716" s="4">
        <v>50</v>
      </c>
      <c r="B716" s="4">
        <v>0</v>
      </c>
      <c r="C716" s="4">
        <v>0</v>
      </c>
      <c r="D716" s="4">
        <v>1</v>
      </c>
      <c r="E716" s="4">
        <v>230</v>
      </c>
      <c r="F716" s="4">
        <f>ROUND(Source!BA696,O716)</f>
        <v>0</v>
      </c>
      <c r="G716" s="4" t="s">
        <v>72</v>
      </c>
      <c r="H716" s="4" t="s">
        <v>73</v>
      </c>
      <c r="I716" s="4"/>
      <c r="J716" s="4"/>
      <c r="K716" s="4">
        <v>230</v>
      </c>
      <c r="L716" s="4">
        <v>19</v>
      </c>
      <c r="M716" s="4">
        <v>3</v>
      </c>
      <c r="N716" s="4" t="s">
        <v>3</v>
      </c>
      <c r="O716" s="4">
        <v>2</v>
      </c>
      <c r="P716" s="4"/>
      <c r="Q716" s="4"/>
      <c r="R716" s="4"/>
      <c r="S716" s="4"/>
      <c r="T716" s="4"/>
      <c r="U716" s="4"/>
      <c r="V716" s="4"/>
      <c r="W716" s="4">
        <v>0</v>
      </c>
      <c r="X716" s="4">
        <v>1</v>
      </c>
      <c r="Y716" s="4">
        <v>0</v>
      </c>
      <c r="Z716" s="4"/>
      <c r="AA716" s="4"/>
      <c r="AB716" s="4"/>
    </row>
    <row r="717" spans="1:28" x14ac:dyDescent="0.2">
      <c r="A717" s="4">
        <v>50</v>
      </c>
      <c r="B717" s="4">
        <v>0</v>
      </c>
      <c r="C717" s="4">
        <v>0</v>
      </c>
      <c r="D717" s="4">
        <v>1</v>
      </c>
      <c r="E717" s="4">
        <v>206</v>
      </c>
      <c r="F717" s="4">
        <f>ROUND(Source!T696,O717)</f>
        <v>0</v>
      </c>
      <c r="G717" s="4" t="s">
        <v>74</v>
      </c>
      <c r="H717" s="4" t="s">
        <v>75</v>
      </c>
      <c r="I717" s="4"/>
      <c r="J717" s="4"/>
      <c r="K717" s="4">
        <v>206</v>
      </c>
      <c r="L717" s="4">
        <v>20</v>
      </c>
      <c r="M717" s="4">
        <v>3</v>
      </c>
      <c r="N717" s="4" t="s">
        <v>3</v>
      </c>
      <c r="O717" s="4">
        <v>2</v>
      </c>
      <c r="P717" s="4"/>
      <c r="Q717" s="4"/>
      <c r="R717" s="4"/>
      <c r="S717" s="4"/>
      <c r="T717" s="4"/>
      <c r="U717" s="4"/>
      <c r="V717" s="4"/>
      <c r="W717" s="4">
        <v>0</v>
      </c>
      <c r="X717" s="4">
        <v>1</v>
      </c>
      <c r="Y717" s="4">
        <v>0</v>
      </c>
      <c r="Z717" s="4"/>
      <c r="AA717" s="4"/>
      <c r="AB717" s="4"/>
    </row>
    <row r="718" spans="1:28" x14ac:dyDescent="0.2">
      <c r="A718" s="4">
        <v>50</v>
      </c>
      <c r="B718" s="4">
        <v>0</v>
      </c>
      <c r="C718" s="4">
        <v>0</v>
      </c>
      <c r="D718" s="4">
        <v>1</v>
      </c>
      <c r="E718" s="4">
        <v>207</v>
      </c>
      <c r="F718" s="4">
        <f>Source!U696</f>
        <v>402.90500000000003</v>
      </c>
      <c r="G718" s="4" t="s">
        <v>76</v>
      </c>
      <c r="H718" s="4" t="s">
        <v>77</v>
      </c>
      <c r="I718" s="4"/>
      <c r="J718" s="4"/>
      <c r="K718" s="4">
        <v>207</v>
      </c>
      <c r="L718" s="4">
        <v>21</v>
      </c>
      <c r="M718" s="4">
        <v>3</v>
      </c>
      <c r="N718" s="4" t="s">
        <v>3</v>
      </c>
      <c r="O718" s="4">
        <v>-1</v>
      </c>
      <c r="P718" s="4"/>
      <c r="Q718" s="4"/>
      <c r="R718" s="4"/>
      <c r="S718" s="4"/>
      <c r="T718" s="4"/>
      <c r="U718" s="4"/>
      <c r="V718" s="4"/>
      <c r="W718" s="4">
        <v>402.90500000000003</v>
      </c>
      <c r="X718" s="4">
        <v>1</v>
      </c>
      <c r="Y718" s="4">
        <v>402.90500000000003</v>
      </c>
      <c r="Z718" s="4"/>
      <c r="AA718" s="4"/>
      <c r="AB718" s="4"/>
    </row>
    <row r="719" spans="1:28" x14ac:dyDescent="0.2">
      <c r="A719" s="4">
        <v>50</v>
      </c>
      <c r="B719" s="4">
        <v>0</v>
      </c>
      <c r="C719" s="4">
        <v>0</v>
      </c>
      <c r="D719" s="4">
        <v>1</v>
      </c>
      <c r="E719" s="4">
        <v>208</v>
      </c>
      <c r="F719" s="4">
        <f>Source!V696</f>
        <v>0</v>
      </c>
      <c r="G719" s="4" t="s">
        <v>78</v>
      </c>
      <c r="H719" s="4" t="s">
        <v>79</v>
      </c>
      <c r="I719" s="4"/>
      <c r="J719" s="4"/>
      <c r="K719" s="4">
        <v>208</v>
      </c>
      <c r="L719" s="4">
        <v>22</v>
      </c>
      <c r="M719" s="4">
        <v>3</v>
      </c>
      <c r="N719" s="4" t="s">
        <v>3</v>
      </c>
      <c r="O719" s="4">
        <v>-1</v>
      </c>
      <c r="P719" s="4"/>
      <c r="Q719" s="4"/>
      <c r="R719" s="4"/>
      <c r="S719" s="4"/>
      <c r="T719" s="4"/>
      <c r="U719" s="4"/>
      <c r="V719" s="4"/>
      <c r="W719" s="4">
        <v>0</v>
      </c>
      <c r="X719" s="4">
        <v>1</v>
      </c>
      <c r="Y719" s="4">
        <v>0</v>
      </c>
      <c r="Z719" s="4"/>
      <c r="AA719" s="4"/>
      <c r="AB719" s="4"/>
    </row>
    <row r="720" spans="1:28" x14ac:dyDescent="0.2">
      <c r="A720" s="4">
        <v>50</v>
      </c>
      <c r="B720" s="4">
        <v>0</v>
      </c>
      <c r="C720" s="4">
        <v>0</v>
      </c>
      <c r="D720" s="4">
        <v>1</v>
      </c>
      <c r="E720" s="4">
        <v>209</v>
      </c>
      <c r="F720" s="4">
        <f>ROUND(Source!W696,O720)</f>
        <v>0</v>
      </c>
      <c r="G720" s="4" t="s">
        <v>80</v>
      </c>
      <c r="H720" s="4" t="s">
        <v>81</v>
      </c>
      <c r="I720" s="4"/>
      <c r="J720" s="4"/>
      <c r="K720" s="4">
        <v>209</v>
      </c>
      <c r="L720" s="4">
        <v>23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0</v>
      </c>
      <c r="X720" s="4">
        <v>1</v>
      </c>
      <c r="Y720" s="4">
        <v>0</v>
      </c>
      <c r="Z720" s="4"/>
      <c r="AA720" s="4"/>
      <c r="AB720" s="4"/>
    </row>
    <row r="721" spans="1:245" x14ac:dyDescent="0.2">
      <c r="A721" s="4">
        <v>50</v>
      </c>
      <c r="B721" s="4">
        <v>0</v>
      </c>
      <c r="C721" s="4">
        <v>0</v>
      </c>
      <c r="D721" s="4">
        <v>1</v>
      </c>
      <c r="E721" s="4">
        <v>233</v>
      </c>
      <c r="F721" s="4">
        <f>ROUND(Source!BD696,O721)</f>
        <v>0</v>
      </c>
      <c r="G721" s="4" t="s">
        <v>82</v>
      </c>
      <c r="H721" s="4" t="s">
        <v>83</v>
      </c>
      <c r="I721" s="4"/>
      <c r="J721" s="4"/>
      <c r="K721" s="4">
        <v>233</v>
      </c>
      <c r="L721" s="4">
        <v>24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0</v>
      </c>
      <c r="X721" s="4">
        <v>1</v>
      </c>
      <c r="Y721" s="4">
        <v>0</v>
      </c>
      <c r="Z721" s="4"/>
      <c r="AA721" s="4"/>
      <c r="AB721" s="4"/>
    </row>
    <row r="722" spans="1:245" x14ac:dyDescent="0.2">
      <c r="A722" s="4">
        <v>50</v>
      </c>
      <c r="B722" s="4">
        <v>0</v>
      </c>
      <c r="C722" s="4">
        <v>0</v>
      </c>
      <c r="D722" s="4">
        <v>1</v>
      </c>
      <c r="E722" s="4">
        <v>210</v>
      </c>
      <c r="F722" s="4">
        <f>ROUND(Source!X696,O722)</f>
        <v>185589.68</v>
      </c>
      <c r="G722" s="4" t="s">
        <v>84</v>
      </c>
      <c r="H722" s="4" t="s">
        <v>85</v>
      </c>
      <c r="I722" s="4"/>
      <c r="J722" s="4"/>
      <c r="K722" s="4">
        <v>210</v>
      </c>
      <c r="L722" s="4">
        <v>25</v>
      </c>
      <c r="M722" s="4">
        <v>3</v>
      </c>
      <c r="N722" s="4" t="s">
        <v>3</v>
      </c>
      <c r="O722" s="4">
        <v>2</v>
      </c>
      <c r="P722" s="4"/>
      <c r="Q722" s="4"/>
      <c r="R722" s="4"/>
      <c r="S722" s="4"/>
      <c r="T722" s="4"/>
      <c r="U722" s="4"/>
      <c r="V722" s="4"/>
      <c r="W722" s="4">
        <v>185589.68</v>
      </c>
      <c r="X722" s="4">
        <v>1</v>
      </c>
      <c r="Y722" s="4">
        <v>185589.68</v>
      </c>
      <c r="Z722" s="4"/>
      <c r="AA722" s="4"/>
      <c r="AB722" s="4"/>
    </row>
    <row r="723" spans="1:245" x14ac:dyDescent="0.2">
      <c r="A723" s="4">
        <v>50</v>
      </c>
      <c r="B723" s="4">
        <v>0</v>
      </c>
      <c r="C723" s="4">
        <v>0</v>
      </c>
      <c r="D723" s="4">
        <v>1</v>
      </c>
      <c r="E723" s="4">
        <v>211</v>
      </c>
      <c r="F723" s="4">
        <f>ROUND(Source!Y696,O723)</f>
        <v>26512.799999999999</v>
      </c>
      <c r="G723" s="4" t="s">
        <v>86</v>
      </c>
      <c r="H723" s="4" t="s">
        <v>87</v>
      </c>
      <c r="I723" s="4"/>
      <c r="J723" s="4"/>
      <c r="K723" s="4">
        <v>211</v>
      </c>
      <c r="L723" s="4">
        <v>26</v>
      </c>
      <c r="M723" s="4">
        <v>3</v>
      </c>
      <c r="N723" s="4" t="s">
        <v>3</v>
      </c>
      <c r="O723" s="4">
        <v>2</v>
      </c>
      <c r="P723" s="4"/>
      <c r="Q723" s="4"/>
      <c r="R723" s="4"/>
      <c r="S723" s="4"/>
      <c r="T723" s="4"/>
      <c r="U723" s="4"/>
      <c r="V723" s="4"/>
      <c r="W723" s="4">
        <v>26512.799999999999</v>
      </c>
      <c r="X723" s="4">
        <v>1</v>
      </c>
      <c r="Y723" s="4">
        <v>26512.799999999999</v>
      </c>
      <c r="Z723" s="4"/>
      <c r="AA723" s="4"/>
      <c r="AB723" s="4"/>
    </row>
    <row r="724" spans="1:245" x14ac:dyDescent="0.2">
      <c r="A724" s="4">
        <v>50</v>
      </c>
      <c r="B724" s="4">
        <v>0</v>
      </c>
      <c r="C724" s="4">
        <v>0</v>
      </c>
      <c r="D724" s="4">
        <v>1</v>
      </c>
      <c r="E724" s="4">
        <v>224</v>
      </c>
      <c r="F724" s="4">
        <f>ROUND(Source!AR696,O724)</f>
        <v>515615.1</v>
      </c>
      <c r="G724" s="4" t="s">
        <v>88</v>
      </c>
      <c r="H724" s="4" t="s">
        <v>89</v>
      </c>
      <c r="I724" s="4"/>
      <c r="J724" s="4"/>
      <c r="K724" s="4">
        <v>224</v>
      </c>
      <c r="L724" s="4">
        <v>27</v>
      </c>
      <c r="M724" s="4">
        <v>3</v>
      </c>
      <c r="N724" s="4" t="s">
        <v>3</v>
      </c>
      <c r="O724" s="4">
        <v>2</v>
      </c>
      <c r="P724" s="4"/>
      <c r="Q724" s="4"/>
      <c r="R724" s="4"/>
      <c r="S724" s="4"/>
      <c r="T724" s="4"/>
      <c r="U724" s="4"/>
      <c r="V724" s="4"/>
      <c r="W724" s="4">
        <v>515615.1</v>
      </c>
      <c r="X724" s="4">
        <v>1</v>
      </c>
      <c r="Y724" s="4">
        <v>515615.1</v>
      </c>
      <c r="Z724" s="4"/>
      <c r="AA724" s="4"/>
      <c r="AB724" s="4"/>
    </row>
    <row r="726" spans="1:245" x14ac:dyDescent="0.2">
      <c r="A726" s="1">
        <v>4</v>
      </c>
      <c r="B726" s="1">
        <v>1</v>
      </c>
      <c r="C726" s="1"/>
      <c r="D726" s="1">
        <f>ROW(A927)</f>
        <v>927</v>
      </c>
      <c r="E726" s="1"/>
      <c r="F726" s="1" t="s">
        <v>13</v>
      </c>
      <c r="G726" s="1" t="s">
        <v>567</v>
      </c>
      <c r="H726" s="1" t="s">
        <v>3</v>
      </c>
      <c r="I726" s="1">
        <v>0</v>
      </c>
      <c r="J726" s="1"/>
      <c r="K726" s="1">
        <v>-1</v>
      </c>
      <c r="L726" s="1"/>
      <c r="M726" s="1" t="s">
        <v>3</v>
      </c>
      <c r="N726" s="1"/>
      <c r="O726" s="1"/>
      <c r="P726" s="1"/>
      <c r="Q726" s="1"/>
      <c r="R726" s="1"/>
      <c r="S726" s="1">
        <v>0</v>
      </c>
      <c r="T726" s="1"/>
      <c r="U726" s="1" t="s">
        <v>3</v>
      </c>
      <c r="V726" s="1">
        <v>0</v>
      </c>
      <c r="W726" s="1"/>
      <c r="X726" s="1"/>
      <c r="Y726" s="1"/>
      <c r="Z726" s="1"/>
      <c r="AA726" s="1"/>
      <c r="AB726" s="1" t="s">
        <v>3</v>
      </c>
      <c r="AC726" s="1" t="s">
        <v>3</v>
      </c>
      <c r="AD726" s="1" t="s">
        <v>3</v>
      </c>
      <c r="AE726" s="1" t="s">
        <v>3</v>
      </c>
      <c r="AF726" s="1" t="s">
        <v>3</v>
      </c>
      <c r="AG726" s="1" t="s">
        <v>3</v>
      </c>
      <c r="AH726" s="1"/>
      <c r="AI726" s="1"/>
      <c r="AJ726" s="1"/>
      <c r="AK726" s="1"/>
      <c r="AL726" s="1"/>
      <c r="AM726" s="1"/>
      <c r="AN726" s="1"/>
      <c r="AO726" s="1"/>
      <c r="AP726" s="1" t="s">
        <v>3</v>
      </c>
      <c r="AQ726" s="1" t="s">
        <v>3</v>
      </c>
      <c r="AR726" s="1" t="s">
        <v>3</v>
      </c>
      <c r="AS726" s="1"/>
      <c r="AT726" s="1"/>
      <c r="AU726" s="1"/>
      <c r="AV726" s="1"/>
      <c r="AW726" s="1"/>
      <c r="AX726" s="1"/>
      <c r="AY726" s="1"/>
      <c r="AZ726" s="1" t="s">
        <v>3</v>
      </c>
      <c r="BA726" s="1"/>
      <c r="BB726" s="1" t="s">
        <v>3</v>
      </c>
      <c r="BC726" s="1" t="s">
        <v>3</v>
      </c>
      <c r="BD726" s="1" t="s">
        <v>3</v>
      </c>
      <c r="BE726" s="1" t="s">
        <v>3</v>
      </c>
      <c r="BF726" s="1" t="s">
        <v>3</v>
      </c>
      <c r="BG726" s="1" t="s">
        <v>3</v>
      </c>
      <c r="BH726" s="1" t="s">
        <v>3</v>
      </c>
      <c r="BI726" s="1" t="s">
        <v>3</v>
      </c>
      <c r="BJ726" s="1" t="s">
        <v>3</v>
      </c>
      <c r="BK726" s="1" t="s">
        <v>3</v>
      </c>
      <c r="BL726" s="1" t="s">
        <v>3</v>
      </c>
      <c r="BM726" s="1" t="s">
        <v>3</v>
      </c>
      <c r="BN726" s="1" t="s">
        <v>3</v>
      </c>
      <c r="BO726" s="1" t="s">
        <v>3</v>
      </c>
      <c r="BP726" s="1" t="s">
        <v>3</v>
      </c>
      <c r="BQ726" s="1"/>
      <c r="BR726" s="1"/>
      <c r="BS726" s="1"/>
      <c r="BT726" s="1"/>
      <c r="BU726" s="1"/>
      <c r="BV726" s="1"/>
      <c r="BW726" s="1"/>
      <c r="BX726" s="1">
        <v>0</v>
      </c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>
        <v>0</v>
      </c>
    </row>
    <row r="728" spans="1:245" x14ac:dyDescent="0.2">
      <c r="A728" s="2">
        <v>52</v>
      </c>
      <c r="B728" s="2">
        <f t="shared" ref="B728:G728" si="643">B927</f>
        <v>1</v>
      </c>
      <c r="C728" s="2">
        <f t="shared" si="643"/>
        <v>4</v>
      </c>
      <c r="D728" s="2">
        <f t="shared" si="643"/>
        <v>726</v>
      </c>
      <c r="E728" s="2">
        <f t="shared" si="643"/>
        <v>0</v>
      </c>
      <c r="F728" s="2" t="str">
        <f t="shared" si="643"/>
        <v>Новый раздел</v>
      </c>
      <c r="G728" s="2" t="str">
        <f t="shared" si="643"/>
        <v>4. Системы электроснабжения</v>
      </c>
      <c r="H728" s="2"/>
      <c r="I728" s="2"/>
      <c r="J728" s="2"/>
      <c r="K728" s="2"/>
      <c r="L728" s="2"/>
      <c r="M728" s="2"/>
      <c r="N728" s="2"/>
      <c r="O728" s="2">
        <f t="shared" ref="O728:AT728" si="644">O927</f>
        <v>726900.53</v>
      </c>
      <c r="P728" s="2">
        <f t="shared" si="644"/>
        <v>11659.14</v>
      </c>
      <c r="Q728" s="2">
        <f t="shared" si="644"/>
        <v>327.06</v>
      </c>
      <c r="R728" s="2">
        <f t="shared" si="644"/>
        <v>207.38</v>
      </c>
      <c r="S728" s="2">
        <f t="shared" si="644"/>
        <v>714914.33</v>
      </c>
      <c r="T728" s="2">
        <f t="shared" si="644"/>
        <v>0</v>
      </c>
      <c r="U728" s="2">
        <f t="shared" si="644"/>
        <v>1192.5978280000002</v>
      </c>
      <c r="V728" s="2">
        <f t="shared" si="644"/>
        <v>0</v>
      </c>
      <c r="W728" s="2">
        <f t="shared" si="644"/>
        <v>0</v>
      </c>
      <c r="X728" s="2">
        <f t="shared" si="644"/>
        <v>500440.04</v>
      </c>
      <c r="Y728" s="2">
        <f t="shared" si="644"/>
        <v>71491.42</v>
      </c>
      <c r="Z728" s="2">
        <f t="shared" si="644"/>
        <v>0</v>
      </c>
      <c r="AA728" s="2">
        <f t="shared" si="644"/>
        <v>0</v>
      </c>
      <c r="AB728" s="2">
        <f t="shared" si="644"/>
        <v>0</v>
      </c>
      <c r="AC728" s="2">
        <f t="shared" si="644"/>
        <v>0</v>
      </c>
      <c r="AD728" s="2">
        <f t="shared" si="644"/>
        <v>0</v>
      </c>
      <c r="AE728" s="2">
        <f t="shared" si="644"/>
        <v>0</v>
      </c>
      <c r="AF728" s="2">
        <f t="shared" si="644"/>
        <v>0</v>
      </c>
      <c r="AG728" s="2">
        <f t="shared" si="644"/>
        <v>0</v>
      </c>
      <c r="AH728" s="2">
        <f t="shared" si="644"/>
        <v>0</v>
      </c>
      <c r="AI728" s="2">
        <f t="shared" si="644"/>
        <v>0</v>
      </c>
      <c r="AJ728" s="2">
        <f t="shared" si="644"/>
        <v>0</v>
      </c>
      <c r="AK728" s="2">
        <f t="shared" si="644"/>
        <v>0</v>
      </c>
      <c r="AL728" s="2">
        <f t="shared" si="644"/>
        <v>0</v>
      </c>
      <c r="AM728" s="2">
        <f t="shared" si="644"/>
        <v>0</v>
      </c>
      <c r="AN728" s="2">
        <f t="shared" si="644"/>
        <v>0</v>
      </c>
      <c r="AO728" s="2">
        <f t="shared" si="644"/>
        <v>0</v>
      </c>
      <c r="AP728" s="2">
        <f t="shared" si="644"/>
        <v>0</v>
      </c>
      <c r="AQ728" s="2">
        <f t="shared" si="644"/>
        <v>0</v>
      </c>
      <c r="AR728" s="2">
        <f t="shared" si="644"/>
        <v>1299055.97</v>
      </c>
      <c r="AS728" s="2">
        <f t="shared" si="644"/>
        <v>0</v>
      </c>
      <c r="AT728" s="2">
        <f t="shared" si="644"/>
        <v>0</v>
      </c>
      <c r="AU728" s="2">
        <f t="shared" ref="AU728:BZ728" si="645">AU927</f>
        <v>1299055.97</v>
      </c>
      <c r="AV728" s="2">
        <f t="shared" si="645"/>
        <v>11659.14</v>
      </c>
      <c r="AW728" s="2">
        <f t="shared" si="645"/>
        <v>11659.14</v>
      </c>
      <c r="AX728" s="2">
        <f t="shared" si="645"/>
        <v>0</v>
      </c>
      <c r="AY728" s="2">
        <f t="shared" si="645"/>
        <v>11659.14</v>
      </c>
      <c r="AZ728" s="2">
        <f t="shared" si="645"/>
        <v>0</v>
      </c>
      <c r="BA728" s="2">
        <f t="shared" si="645"/>
        <v>0</v>
      </c>
      <c r="BB728" s="2">
        <f t="shared" si="645"/>
        <v>0</v>
      </c>
      <c r="BC728" s="2">
        <f t="shared" si="645"/>
        <v>0</v>
      </c>
      <c r="BD728" s="2">
        <f t="shared" si="645"/>
        <v>0</v>
      </c>
      <c r="BE728" s="2">
        <f t="shared" si="645"/>
        <v>0</v>
      </c>
      <c r="BF728" s="2">
        <f t="shared" si="645"/>
        <v>0</v>
      </c>
      <c r="BG728" s="2">
        <f t="shared" si="645"/>
        <v>0</v>
      </c>
      <c r="BH728" s="2">
        <f t="shared" si="645"/>
        <v>0</v>
      </c>
      <c r="BI728" s="2">
        <f t="shared" si="645"/>
        <v>0</v>
      </c>
      <c r="BJ728" s="2">
        <f t="shared" si="645"/>
        <v>0</v>
      </c>
      <c r="BK728" s="2">
        <f t="shared" si="645"/>
        <v>0</v>
      </c>
      <c r="BL728" s="2">
        <f t="shared" si="645"/>
        <v>0</v>
      </c>
      <c r="BM728" s="2">
        <f t="shared" si="645"/>
        <v>0</v>
      </c>
      <c r="BN728" s="2">
        <f t="shared" si="645"/>
        <v>0</v>
      </c>
      <c r="BO728" s="2">
        <f t="shared" si="645"/>
        <v>0</v>
      </c>
      <c r="BP728" s="2">
        <f t="shared" si="645"/>
        <v>0</v>
      </c>
      <c r="BQ728" s="2">
        <f t="shared" si="645"/>
        <v>0</v>
      </c>
      <c r="BR728" s="2">
        <f t="shared" si="645"/>
        <v>0</v>
      </c>
      <c r="BS728" s="2">
        <f t="shared" si="645"/>
        <v>0</v>
      </c>
      <c r="BT728" s="2">
        <f t="shared" si="645"/>
        <v>0</v>
      </c>
      <c r="BU728" s="2">
        <f t="shared" si="645"/>
        <v>0</v>
      </c>
      <c r="BV728" s="2">
        <f t="shared" si="645"/>
        <v>0</v>
      </c>
      <c r="BW728" s="2">
        <f t="shared" si="645"/>
        <v>0</v>
      </c>
      <c r="BX728" s="2">
        <f t="shared" si="645"/>
        <v>0</v>
      </c>
      <c r="BY728" s="2">
        <f t="shared" si="645"/>
        <v>0</v>
      </c>
      <c r="BZ728" s="2">
        <f t="shared" si="645"/>
        <v>0</v>
      </c>
      <c r="CA728" s="2">
        <f t="shared" ref="CA728:DF728" si="646">CA927</f>
        <v>0</v>
      </c>
      <c r="CB728" s="2">
        <f t="shared" si="646"/>
        <v>0</v>
      </c>
      <c r="CC728" s="2">
        <f t="shared" si="646"/>
        <v>0</v>
      </c>
      <c r="CD728" s="2">
        <f t="shared" si="646"/>
        <v>0</v>
      </c>
      <c r="CE728" s="2">
        <f t="shared" si="646"/>
        <v>0</v>
      </c>
      <c r="CF728" s="2">
        <f t="shared" si="646"/>
        <v>0</v>
      </c>
      <c r="CG728" s="2">
        <f t="shared" si="646"/>
        <v>0</v>
      </c>
      <c r="CH728" s="2">
        <f t="shared" si="646"/>
        <v>0</v>
      </c>
      <c r="CI728" s="2">
        <f t="shared" si="646"/>
        <v>0</v>
      </c>
      <c r="CJ728" s="2">
        <f t="shared" si="646"/>
        <v>0</v>
      </c>
      <c r="CK728" s="2">
        <f t="shared" si="646"/>
        <v>0</v>
      </c>
      <c r="CL728" s="2">
        <f t="shared" si="646"/>
        <v>0</v>
      </c>
      <c r="CM728" s="2">
        <f t="shared" si="646"/>
        <v>0</v>
      </c>
      <c r="CN728" s="2">
        <f t="shared" si="646"/>
        <v>0</v>
      </c>
      <c r="CO728" s="2">
        <f t="shared" si="646"/>
        <v>0</v>
      </c>
      <c r="CP728" s="2">
        <f t="shared" si="646"/>
        <v>0</v>
      </c>
      <c r="CQ728" s="2">
        <f t="shared" si="646"/>
        <v>0</v>
      </c>
      <c r="CR728" s="2">
        <f t="shared" si="646"/>
        <v>0</v>
      </c>
      <c r="CS728" s="2">
        <f t="shared" si="646"/>
        <v>0</v>
      </c>
      <c r="CT728" s="2">
        <f t="shared" si="646"/>
        <v>0</v>
      </c>
      <c r="CU728" s="2">
        <f t="shared" si="646"/>
        <v>0</v>
      </c>
      <c r="CV728" s="2">
        <f t="shared" si="646"/>
        <v>0</v>
      </c>
      <c r="CW728" s="2">
        <f t="shared" si="646"/>
        <v>0</v>
      </c>
      <c r="CX728" s="2">
        <f t="shared" si="646"/>
        <v>0</v>
      </c>
      <c r="CY728" s="2">
        <f t="shared" si="646"/>
        <v>0</v>
      </c>
      <c r="CZ728" s="2">
        <f t="shared" si="646"/>
        <v>0</v>
      </c>
      <c r="DA728" s="2">
        <f t="shared" si="646"/>
        <v>0</v>
      </c>
      <c r="DB728" s="2">
        <f t="shared" si="646"/>
        <v>0</v>
      </c>
      <c r="DC728" s="2">
        <f t="shared" si="646"/>
        <v>0</v>
      </c>
      <c r="DD728" s="2">
        <f t="shared" si="646"/>
        <v>0</v>
      </c>
      <c r="DE728" s="2">
        <f t="shared" si="646"/>
        <v>0</v>
      </c>
      <c r="DF728" s="2">
        <f t="shared" si="646"/>
        <v>0</v>
      </c>
      <c r="DG728" s="3">
        <f t="shared" ref="DG728:EL728" si="647">DG927</f>
        <v>0</v>
      </c>
      <c r="DH728" s="3">
        <f t="shared" si="647"/>
        <v>0</v>
      </c>
      <c r="DI728" s="3">
        <f t="shared" si="647"/>
        <v>0</v>
      </c>
      <c r="DJ728" s="3">
        <f t="shared" si="647"/>
        <v>0</v>
      </c>
      <c r="DK728" s="3">
        <f t="shared" si="647"/>
        <v>0</v>
      </c>
      <c r="DL728" s="3">
        <f t="shared" si="647"/>
        <v>0</v>
      </c>
      <c r="DM728" s="3">
        <f t="shared" si="647"/>
        <v>0</v>
      </c>
      <c r="DN728" s="3">
        <f t="shared" si="647"/>
        <v>0</v>
      </c>
      <c r="DO728" s="3">
        <f t="shared" si="647"/>
        <v>0</v>
      </c>
      <c r="DP728" s="3">
        <f t="shared" si="647"/>
        <v>0</v>
      </c>
      <c r="DQ728" s="3">
        <f t="shared" si="647"/>
        <v>0</v>
      </c>
      <c r="DR728" s="3">
        <f t="shared" si="647"/>
        <v>0</v>
      </c>
      <c r="DS728" s="3">
        <f t="shared" si="647"/>
        <v>0</v>
      </c>
      <c r="DT728" s="3">
        <f t="shared" si="647"/>
        <v>0</v>
      </c>
      <c r="DU728" s="3">
        <f t="shared" si="647"/>
        <v>0</v>
      </c>
      <c r="DV728" s="3">
        <f t="shared" si="647"/>
        <v>0</v>
      </c>
      <c r="DW728" s="3">
        <f t="shared" si="647"/>
        <v>0</v>
      </c>
      <c r="DX728" s="3">
        <f t="shared" si="647"/>
        <v>0</v>
      </c>
      <c r="DY728" s="3">
        <f t="shared" si="647"/>
        <v>0</v>
      </c>
      <c r="DZ728" s="3">
        <f t="shared" si="647"/>
        <v>0</v>
      </c>
      <c r="EA728" s="3">
        <f t="shared" si="647"/>
        <v>0</v>
      </c>
      <c r="EB728" s="3">
        <f t="shared" si="647"/>
        <v>0</v>
      </c>
      <c r="EC728" s="3">
        <f t="shared" si="647"/>
        <v>0</v>
      </c>
      <c r="ED728" s="3">
        <f t="shared" si="647"/>
        <v>0</v>
      </c>
      <c r="EE728" s="3">
        <f t="shared" si="647"/>
        <v>0</v>
      </c>
      <c r="EF728" s="3">
        <f t="shared" si="647"/>
        <v>0</v>
      </c>
      <c r="EG728" s="3">
        <f t="shared" si="647"/>
        <v>0</v>
      </c>
      <c r="EH728" s="3">
        <f t="shared" si="647"/>
        <v>0</v>
      </c>
      <c r="EI728" s="3">
        <f t="shared" si="647"/>
        <v>0</v>
      </c>
      <c r="EJ728" s="3">
        <f t="shared" si="647"/>
        <v>0</v>
      </c>
      <c r="EK728" s="3">
        <f t="shared" si="647"/>
        <v>0</v>
      </c>
      <c r="EL728" s="3">
        <f t="shared" si="647"/>
        <v>0</v>
      </c>
      <c r="EM728" s="3">
        <f t="shared" ref="EM728:FR728" si="648">EM927</f>
        <v>0</v>
      </c>
      <c r="EN728" s="3">
        <f t="shared" si="648"/>
        <v>0</v>
      </c>
      <c r="EO728" s="3">
        <f t="shared" si="648"/>
        <v>0</v>
      </c>
      <c r="EP728" s="3">
        <f t="shared" si="648"/>
        <v>0</v>
      </c>
      <c r="EQ728" s="3">
        <f t="shared" si="648"/>
        <v>0</v>
      </c>
      <c r="ER728" s="3">
        <f t="shared" si="648"/>
        <v>0</v>
      </c>
      <c r="ES728" s="3">
        <f t="shared" si="648"/>
        <v>0</v>
      </c>
      <c r="ET728" s="3">
        <f t="shared" si="648"/>
        <v>0</v>
      </c>
      <c r="EU728" s="3">
        <f t="shared" si="648"/>
        <v>0</v>
      </c>
      <c r="EV728" s="3">
        <f t="shared" si="648"/>
        <v>0</v>
      </c>
      <c r="EW728" s="3">
        <f t="shared" si="648"/>
        <v>0</v>
      </c>
      <c r="EX728" s="3">
        <f t="shared" si="648"/>
        <v>0</v>
      </c>
      <c r="EY728" s="3">
        <f t="shared" si="648"/>
        <v>0</v>
      </c>
      <c r="EZ728" s="3">
        <f t="shared" si="648"/>
        <v>0</v>
      </c>
      <c r="FA728" s="3">
        <f t="shared" si="648"/>
        <v>0</v>
      </c>
      <c r="FB728" s="3">
        <f t="shared" si="648"/>
        <v>0</v>
      </c>
      <c r="FC728" s="3">
        <f t="shared" si="648"/>
        <v>0</v>
      </c>
      <c r="FD728" s="3">
        <f t="shared" si="648"/>
        <v>0</v>
      </c>
      <c r="FE728" s="3">
        <f t="shared" si="648"/>
        <v>0</v>
      </c>
      <c r="FF728" s="3">
        <f t="shared" si="648"/>
        <v>0</v>
      </c>
      <c r="FG728" s="3">
        <f t="shared" si="648"/>
        <v>0</v>
      </c>
      <c r="FH728" s="3">
        <f t="shared" si="648"/>
        <v>0</v>
      </c>
      <c r="FI728" s="3">
        <f t="shared" si="648"/>
        <v>0</v>
      </c>
      <c r="FJ728" s="3">
        <f t="shared" si="648"/>
        <v>0</v>
      </c>
      <c r="FK728" s="3">
        <f t="shared" si="648"/>
        <v>0</v>
      </c>
      <c r="FL728" s="3">
        <f t="shared" si="648"/>
        <v>0</v>
      </c>
      <c r="FM728" s="3">
        <f t="shared" si="648"/>
        <v>0</v>
      </c>
      <c r="FN728" s="3">
        <f t="shared" si="648"/>
        <v>0</v>
      </c>
      <c r="FO728" s="3">
        <f t="shared" si="648"/>
        <v>0</v>
      </c>
      <c r="FP728" s="3">
        <f t="shared" si="648"/>
        <v>0</v>
      </c>
      <c r="FQ728" s="3">
        <f t="shared" si="648"/>
        <v>0</v>
      </c>
      <c r="FR728" s="3">
        <f t="shared" si="648"/>
        <v>0</v>
      </c>
      <c r="FS728" s="3">
        <f t="shared" ref="FS728:GX728" si="649">FS927</f>
        <v>0</v>
      </c>
      <c r="FT728" s="3">
        <f t="shared" si="649"/>
        <v>0</v>
      </c>
      <c r="FU728" s="3">
        <f t="shared" si="649"/>
        <v>0</v>
      </c>
      <c r="FV728" s="3">
        <f t="shared" si="649"/>
        <v>0</v>
      </c>
      <c r="FW728" s="3">
        <f t="shared" si="649"/>
        <v>0</v>
      </c>
      <c r="FX728" s="3">
        <f t="shared" si="649"/>
        <v>0</v>
      </c>
      <c r="FY728" s="3">
        <f t="shared" si="649"/>
        <v>0</v>
      </c>
      <c r="FZ728" s="3">
        <f t="shared" si="649"/>
        <v>0</v>
      </c>
      <c r="GA728" s="3">
        <f t="shared" si="649"/>
        <v>0</v>
      </c>
      <c r="GB728" s="3">
        <f t="shared" si="649"/>
        <v>0</v>
      </c>
      <c r="GC728" s="3">
        <f t="shared" si="649"/>
        <v>0</v>
      </c>
      <c r="GD728" s="3">
        <f t="shared" si="649"/>
        <v>0</v>
      </c>
      <c r="GE728" s="3">
        <f t="shared" si="649"/>
        <v>0</v>
      </c>
      <c r="GF728" s="3">
        <f t="shared" si="649"/>
        <v>0</v>
      </c>
      <c r="GG728" s="3">
        <f t="shared" si="649"/>
        <v>0</v>
      </c>
      <c r="GH728" s="3">
        <f t="shared" si="649"/>
        <v>0</v>
      </c>
      <c r="GI728" s="3">
        <f t="shared" si="649"/>
        <v>0</v>
      </c>
      <c r="GJ728" s="3">
        <f t="shared" si="649"/>
        <v>0</v>
      </c>
      <c r="GK728" s="3">
        <f t="shared" si="649"/>
        <v>0</v>
      </c>
      <c r="GL728" s="3">
        <f t="shared" si="649"/>
        <v>0</v>
      </c>
      <c r="GM728" s="3">
        <f t="shared" si="649"/>
        <v>0</v>
      </c>
      <c r="GN728" s="3">
        <f t="shared" si="649"/>
        <v>0</v>
      </c>
      <c r="GO728" s="3">
        <f t="shared" si="649"/>
        <v>0</v>
      </c>
      <c r="GP728" s="3">
        <f t="shared" si="649"/>
        <v>0</v>
      </c>
      <c r="GQ728" s="3">
        <f t="shared" si="649"/>
        <v>0</v>
      </c>
      <c r="GR728" s="3">
        <f t="shared" si="649"/>
        <v>0</v>
      </c>
      <c r="GS728" s="3">
        <f t="shared" si="649"/>
        <v>0</v>
      </c>
      <c r="GT728" s="3">
        <f t="shared" si="649"/>
        <v>0</v>
      </c>
      <c r="GU728" s="3">
        <f t="shared" si="649"/>
        <v>0</v>
      </c>
      <c r="GV728" s="3">
        <f t="shared" si="649"/>
        <v>0</v>
      </c>
      <c r="GW728" s="3">
        <f t="shared" si="649"/>
        <v>0</v>
      </c>
      <c r="GX728" s="3">
        <f t="shared" si="649"/>
        <v>0</v>
      </c>
    </row>
    <row r="730" spans="1:245" x14ac:dyDescent="0.2">
      <c r="A730" s="1">
        <v>5</v>
      </c>
      <c r="B730" s="1">
        <v>1</v>
      </c>
      <c r="C730" s="1"/>
      <c r="D730" s="1">
        <f>ROW(A860)</f>
        <v>860</v>
      </c>
      <c r="E730" s="1"/>
      <c r="F730" s="1" t="s">
        <v>15</v>
      </c>
      <c r="G730" s="1" t="s">
        <v>568</v>
      </c>
      <c r="H730" s="1" t="s">
        <v>3</v>
      </c>
      <c r="I730" s="1">
        <v>0</v>
      </c>
      <c r="J730" s="1"/>
      <c r="K730" s="1">
        <v>0</v>
      </c>
      <c r="L730" s="1"/>
      <c r="M730" s="1" t="s">
        <v>3</v>
      </c>
      <c r="N730" s="1"/>
      <c r="O730" s="1"/>
      <c r="P730" s="1"/>
      <c r="Q730" s="1"/>
      <c r="R730" s="1"/>
      <c r="S730" s="1">
        <v>0</v>
      </c>
      <c r="T730" s="1"/>
      <c r="U730" s="1" t="s">
        <v>3</v>
      </c>
      <c r="V730" s="1">
        <v>0</v>
      </c>
      <c r="W730" s="1"/>
      <c r="X730" s="1"/>
      <c r="Y730" s="1"/>
      <c r="Z730" s="1"/>
      <c r="AA730" s="1"/>
      <c r="AB730" s="1" t="s">
        <v>3</v>
      </c>
      <c r="AC730" s="1" t="s">
        <v>3</v>
      </c>
      <c r="AD730" s="1" t="s">
        <v>3</v>
      </c>
      <c r="AE730" s="1" t="s">
        <v>3</v>
      </c>
      <c r="AF730" s="1" t="s">
        <v>3</v>
      </c>
      <c r="AG730" s="1" t="s">
        <v>3</v>
      </c>
      <c r="AH730" s="1"/>
      <c r="AI730" s="1"/>
      <c r="AJ730" s="1"/>
      <c r="AK730" s="1"/>
      <c r="AL730" s="1"/>
      <c r="AM730" s="1"/>
      <c r="AN730" s="1"/>
      <c r="AO730" s="1"/>
      <c r="AP730" s="1" t="s">
        <v>3</v>
      </c>
      <c r="AQ730" s="1" t="s">
        <v>3</v>
      </c>
      <c r="AR730" s="1" t="s">
        <v>3</v>
      </c>
      <c r="AS730" s="1"/>
      <c r="AT730" s="1"/>
      <c r="AU730" s="1"/>
      <c r="AV730" s="1"/>
      <c r="AW730" s="1"/>
      <c r="AX730" s="1"/>
      <c r="AY730" s="1"/>
      <c r="AZ730" s="1" t="s">
        <v>3</v>
      </c>
      <c r="BA730" s="1"/>
      <c r="BB730" s="1" t="s">
        <v>3</v>
      </c>
      <c r="BC730" s="1" t="s">
        <v>3</v>
      </c>
      <c r="BD730" s="1" t="s">
        <v>3</v>
      </c>
      <c r="BE730" s="1" t="s">
        <v>3</v>
      </c>
      <c r="BF730" s="1" t="s">
        <v>3</v>
      </c>
      <c r="BG730" s="1" t="s">
        <v>3</v>
      </c>
      <c r="BH730" s="1" t="s">
        <v>3</v>
      </c>
      <c r="BI730" s="1" t="s">
        <v>3</v>
      </c>
      <c r="BJ730" s="1" t="s">
        <v>3</v>
      </c>
      <c r="BK730" s="1" t="s">
        <v>3</v>
      </c>
      <c r="BL730" s="1" t="s">
        <v>3</v>
      </c>
      <c r="BM730" s="1" t="s">
        <v>3</v>
      </c>
      <c r="BN730" s="1" t="s">
        <v>3</v>
      </c>
      <c r="BO730" s="1" t="s">
        <v>3</v>
      </c>
      <c r="BP730" s="1" t="s">
        <v>3</v>
      </c>
      <c r="BQ730" s="1"/>
      <c r="BR730" s="1"/>
      <c r="BS730" s="1"/>
      <c r="BT730" s="1"/>
      <c r="BU730" s="1"/>
      <c r="BV730" s="1"/>
      <c r="BW730" s="1"/>
      <c r="BX730" s="1">
        <v>0</v>
      </c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>
        <v>0</v>
      </c>
    </row>
    <row r="732" spans="1:245" x14ac:dyDescent="0.2">
      <c r="A732" s="2">
        <v>52</v>
      </c>
      <c r="B732" s="2">
        <f t="shared" ref="B732:G732" si="650">B860</f>
        <v>1</v>
      </c>
      <c r="C732" s="2">
        <f t="shared" si="650"/>
        <v>5</v>
      </c>
      <c r="D732" s="2">
        <f t="shared" si="650"/>
        <v>730</v>
      </c>
      <c r="E732" s="2">
        <f t="shared" si="650"/>
        <v>0</v>
      </c>
      <c r="F732" s="2" t="str">
        <f t="shared" si="650"/>
        <v>Новый подраздел</v>
      </c>
      <c r="G732" s="2" t="str">
        <f t="shared" si="650"/>
        <v>Электроснабжение</v>
      </c>
      <c r="H732" s="2"/>
      <c r="I732" s="2"/>
      <c r="J732" s="2"/>
      <c r="K732" s="2"/>
      <c r="L732" s="2"/>
      <c r="M732" s="2"/>
      <c r="N732" s="2"/>
      <c r="O732" s="2">
        <f t="shared" ref="O732:AT732" si="651">O860</f>
        <v>726900.53</v>
      </c>
      <c r="P732" s="2">
        <f t="shared" si="651"/>
        <v>11659.14</v>
      </c>
      <c r="Q732" s="2">
        <f t="shared" si="651"/>
        <v>327.06</v>
      </c>
      <c r="R732" s="2">
        <f t="shared" si="651"/>
        <v>207.38</v>
      </c>
      <c r="S732" s="2">
        <f t="shared" si="651"/>
        <v>714914.33</v>
      </c>
      <c r="T732" s="2">
        <f t="shared" si="651"/>
        <v>0</v>
      </c>
      <c r="U732" s="2">
        <f t="shared" si="651"/>
        <v>1192.5978280000002</v>
      </c>
      <c r="V732" s="2">
        <f t="shared" si="651"/>
        <v>0</v>
      </c>
      <c r="W732" s="2">
        <f t="shared" si="651"/>
        <v>0</v>
      </c>
      <c r="X732" s="2">
        <f t="shared" si="651"/>
        <v>500440.04</v>
      </c>
      <c r="Y732" s="2">
        <f t="shared" si="651"/>
        <v>71491.42</v>
      </c>
      <c r="Z732" s="2">
        <f t="shared" si="651"/>
        <v>0</v>
      </c>
      <c r="AA732" s="2">
        <f t="shared" si="651"/>
        <v>0</v>
      </c>
      <c r="AB732" s="2">
        <f t="shared" si="651"/>
        <v>726900.53</v>
      </c>
      <c r="AC732" s="2">
        <f t="shared" si="651"/>
        <v>11659.14</v>
      </c>
      <c r="AD732" s="2">
        <f t="shared" si="651"/>
        <v>327.06</v>
      </c>
      <c r="AE732" s="2">
        <f t="shared" si="651"/>
        <v>207.38</v>
      </c>
      <c r="AF732" s="2">
        <f t="shared" si="651"/>
        <v>714914.33</v>
      </c>
      <c r="AG732" s="2">
        <f t="shared" si="651"/>
        <v>0</v>
      </c>
      <c r="AH732" s="2">
        <f t="shared" si="651"/>
        <v>1192.5978280000002</v>
      </c>
      <c r="AI732" s="2">
        <f t="shared" si="651"/>
        <v>0</v>
      </c>
      <c r="AJ732" s="2">
        <f t="shared" si="651"/>
        <v>0</v>
      </c>
      <c r="AK732" s="2">
        <f t="shared" si="651"/>
        <v>500440.04</v>
      </c>
      <c r="AL732" s="2">
        <f t="shared" si="651"/>
        <v>71491.42</v>
      </c>
      <c r="AM732" s="2">
        <f t="shared" si="651"/>
        <v>0</v>
      </c>
      <c r="AN732" s="2">
        <f t="shared" si="651"/>
        <v>0</v>
      </c>
      <c r="AO732" s="2">
        <f t="shared" si="651"/>
        <v>0</v>
      </c>
      <c r="AP732" s="2">
        <f t="shared" si="651"/>
        <v>0</v>
      </c>
      <c r="AQ732" s="2">
        <f t="shared" si="651"/>
        <v>0</v>
      </c>
      <c r="AR732" s="2">
        <f t="shared" si="651"/>
        <v>1299055.97</v>
      </c>
      <c r="AS732" s="2">
        <f t="shared" si="651"/>
        <v>0</v>
      </c>
      <c r="AT732" s="2">
        <f t="shared" si="651"/>
        <v>0</v>
      </c>
      <c r="AU732" s="2">
        <f t="shared" ref="AU732:BZ732" si="652">AU860</f>
        <v>1299055.97</v>
      </c>
      <c r="AV732" s="2">
        <f t="shared" si="652"/>
        <v>11659.14</v>
      </c>
      <c r="AW732" s="2">
        <f t="shared" si="652"/>
        <v>11659.14</v>
      </c>
      <c r="AX732" s="2">
        <f t="shared" si="652"/>
        <v>0</v>
      </c>
      <c r="AY732" s="2">
        <f t="shared" si="652"/>
        <v>11659.14</v>
      </c>
      <c r="AZ732" s="2">
        <f t="shared" si="652"/>
        <v>0</v>
      </c>
      <c r="BA732" s="2">
        <f t="shared" si="652"/>
        <v>0</v>
      </c>
      <c r="BB732" s="2">
        <f t="shared" si="652"/>
        <v>0</v>
      </c>
      <c r="BC732" s="2">
        <f t="shared" si="652"/>
        <v>0</v>
      </c>
      <c r="BD732" s="2">
        <f t="shared" si="652"/>
        <v>0</v>
      </c>
      <c r="BE732" s="2">
        <f t="shared" si="652"/>
        <v>0</v>
      </c>
      <c r="BF732" s="2">
        <f t="shared" si="652"/>
        <v>0</v>
      </c>
      <c r="BG732" s="2">
        <f t="shared" si="652"/>
        <v>0</v>
      </c>
      <c r="BH732" s="2">
        <f t="shared" si="652"/>
        <v>0</v>
      </c>
      <c r="BI732" s="2">
        <f t="shared" si="652"/>
        <v>0</v>
      </c>
      <c r="BJ732" s="2">
        <f t="shared" si="652"/>
        <v>0</v>
      </c>
      <c r="BK732" s="2">
        <f t="shared" si="652"/>
        <v>0</v>
      </c>
      <c r="BL732" s="2">
        <f t="shared" si="652"/>
        <v>0</v>
      </c>
      <c r="BM732" s="2">
        <f t="shared" si="652"/>
        <v>0</v>
      </c>
      <c r="BN732" s="2">
        <f t="shared" si="652"/>
        <v>0</v>
      </c>
      <c r="BO732" s="2">
        <f t="shared" si="652"/>
        <v>0</v>
      </c>
      <c r="BP732" s="2">
        <f t="shared" si="652"/>
        <v>0</v>
      </c>
      <c r="BQ732" s="2">
        <f t="shared" si="652"/>
        <v>0</v>
      </c>
      <c r="BR732" s="2">
        <f t="shared" si="652"/>
        <v>0</v>
      </c>
      <c r="BS732" s="2">
        <f t="shared" si="652"/>
        <v>0</v>
      </c>
      <c r="BT732" s="2">
        <f t="shared" si="652"/>
        <v>0</v>
      </c>
      <c r="BU732" s="2">
        <f t="shared" si="652"/>
        <v>0</v>
      </c>
      <c r="BV732" s="2">
        <f t="shared" si="652"/>
        <v>0</v>
      </c>
      <c r="BW732" s="2">
        <f t="shared" si="652"/>
        <v>0</v>
      </c>
      <c r="BX732" s="2">
        <f t="shared" si="652"/>
        <v>0</v>
      </c>
      <c r="BY732" s="2">
        <f t="shared" si="652"/>
        <v>0</v>
      </c>
      <c r="BZ732" s="2">
        <f t="shared" si="652"/>
        <v>0</v>
      </c>
      <c r="CA732" s="2">
        <f t="shared" ref="CA732:DF732" si="653">CA860</f>
        <v>1299055.97</v>
      </c>
      <c r="CB732" s="2">
        <f t="shared" si="653"/>
        <v>0</v>
      </c>
      <c r="CC732" s="2">
        <f t="shared" si="653"/>
        <v>0</v>
      </c>
      <c r="CD732" s="2">
        <f t="shared" si="653"/>
        <v>1299055.97</v>
      </c>
      <c r="CE732" s="2">
        <f t="shared" si="653"/>
        <v>11659.14</v>
      </c>
      <c r="CF732" s="2">
        <f t="shared" si="653"/>
        <v>11659.14</v>
      </c>
      <c r="CG732" s="2">
        <f t="shared" si="653"/>
        <v>0</v>
      </c>
      <c r="CH732" s="2">
        <f t="shared" si="653"/>
        <v>11659.14</v>
      </c>
      <c r="CI732" s="2">
        <f t="shared" si="653"/>
        <v>0</v>
      </c>
      <c r="CJ732" s="2">
        <f t="shared" si="653"/>
        <v>0</v>
      </c>
      <c r="CK732" s="2">
        <f t="shared" si="653"/>
        <v>0</v>
      </c>
      <c r="CL732" s="2">
        <f t="shared" si="653"/>
        <v>0</v>
      </c>
      <c r="CM732" s="2">
        <f t="shared" si="653"/>
        <v>0</v>
      </c>
      <c r="CN732" s="2">
        <f t="shared" si="653"/>
        <v>0</v>
      </c>
      <c r="CO732" s="2">
        <f t="shared" si="653"/>
        <v>0</v>
      </c>
      <c r="CP732" s="2">
        <f t="shared" si="653"/>
        <v>0</v>
      </c>
      <c r="CQ732" s="2">
        <f t="shared" si="653"/>
        <v>0</v>
      </c>
      <c r="CR732" s="2">
        <f t="shared" si="653"/>
        <v>0</v>
      </c>
      <c r="CS732" s="2">
        <f t="shared" si="653"/>
        <v>0</v>
      </c>
      <c r="CT732" s="2">
        <f t="shared" si="653"/>
        <v>0</v>
      </c>
      <c r="CU732" s="2">
        <f t="shared" si="653"/>
        <v>0</v>
      </c>
      <c r="CV732" s="2">
        <f t="shared" si="653"/>
        <v>0</v>
      </c>
      <c r="CW732" s="2">
        <f t="shared" si="653"/>
        <v>0</v>
      </c>
      <c r="CX732" s="2">
        <f t="shared" si="653"/>
        <v>0</v>
      </c>
      <c r="CY732" s="2">
        <f t="shared" si="653"/>
        <v>0</v>
      </c>
      <c r="CZ732" s="2">
        <f t="shared" si="653"/>
        <v>0</v>
      </c>
      <c r="DA732" s="2">
        <f t="shared" si="653"/>
        <v>0</v>
      </c>
      <c r="DB732" s="2">
        <f t="shared" si="653"/>
        <v>0</v>
      </c>
      <c r="DC732" s="2">
        <f t="shared" si="653"/>
        <v>0</v>
      </c>
      <c r="DD732" s="2">
        <f t="shared" si="653"/>
        <v>0</v>
      </c>
      <c r="DE732" s="2">
        <f t="shared" si="653"/>
        <v>0</v>
      </c>
      <c r="DF732" s="2">
        <f t="shared" si="653"/>
        <v>0</v>
      </c>
      <c r="DG732" s="3">
        <f t="shared" ref="DG732:EL732" si="654">DG860</f>
        <v>0</v>
      </c>
      <c r="DH732" s="3">
        <f t="shared" si="654"/>
        <v>0</v>
      </c>
      <c r="DI732" s="3">
        <f t="shared" si="654"/>
        <v>0</v>
      </c>
      <c r="DJ732" s="3">
        <f t="shared" si="654"/>
        <v>0</v>
      </c>
      <c r="DK732" s="3">
        <f t="shared" si="654"/>
        <v>0</v>
      </c>
      <c r="DL732" s="3">
        <f t="shared" si="654"/>
        <v>0</v>
      </c>
      <c r="DM732" s="3">
        <f t="shared" si="654"/>
        <v>0</v>
      </c>
      <c r="DN732" s="3">
        <f t="shared" si="654"/>
        <v>0</v>
      </c>
      <c r="DO732" s="3">
        <f t="shared" si="654"/>
        <v>0</v>
      </c>
      <c r="DP732" s="3">
        <f t="shared" si="654"/>
        <v>0</v>
      </c>
      <c r="DQ732" s="3">
        <f t="shared" si="654"/>
        <v>0</v>
      </c>
      <c r="DR732" s="3">
        <f t="shared" si="654"/>
        <v>0</v>
      </c>
      <c r="DS732" s="3">
        <f t="shared" si="654"/>
        <v>0</v>
      </c>
      <c r="DT732" s="3">
        <f t="shared" si="654"/>
        <v>0</v>
      </c>
      <c r="DU732" s="3">
        <f t="shared" si="654"/>
        <v>0</v>
      </c>
      <c r="DV732" s="3">
        <f t="shared" si="654"/>
        <v>0</v>
      </c>
      <c r="DW732" s="3">
        <f t="shared" si="654"/>
        <v>0</v>
      </c>
      <c r="DX732" s="3">
        <f t="shared" si="654"/>
        <v>0</v>
      </c>
      <c r="DY732" s="3">
        <f t="shared" si="654"/>
        <v>0</v>
      </c>
      <c r="DZ732" s="3">
        <f t="shared" si="654"/>
        <v>0</v>
      </c>
      <c r="EA732" s="3">
        <f t="shared" si="654"/>
        <v>0</v>
      </c>
      <c r="EB732" s="3">
        <f t="shared" si="654"/>
        <v>0</v>
      </c>
      <c r="EC732" s="3">
        <f t="shared" si="654"/>
        <v>0</v>
      </c>
      <c r="ED732" s="3">
        <f t="shared" si="654"/>
        <v>0</v>
      </c>
      <c r="EE732" s="3">
        <f t="shared" si="654"/>
        <v>0</v>
      </c>
      <c r="EF732" s="3">
        <f t="shared" si="654"/>
        <v>0</v>
      </c>
      <c r="EG732" s="3">
        <f t="shared" si="654"/>
        <v>0</v>
      </c>
      <c r="EH732" s="3">
        <f t="shared" si="654"/>
        <v>0</v>
      </c>
      <c r="EI732" s="3">
        <f t="shared" si="654"/>
        <v>0</v>
      </c>
      <c r="EJ732" s="3">
        <f t="shared" si="654"/>
        <v>0</v>
      </c>
      <c r="EK732" s="3">
        <f t="shared" si="654"/>
        <v>0</v>
      </c>
      <c r="EL732" s="3">
        <f t="shared" si="654"/>
        <v>0</v>
      </c>
      <c r="EM732" s="3">
        <f t="shared" ref="EM732:FR732" si="655">EM860</f>
        <v>0</v>
      </c>
      <c r="EN732" s="3">
        <f t="shared" si="655"/>
        <v>0</v>
      </c>
      <c r="EO732" s="3">
        <f t="shared" si="655"/>
        <v>0</v>
      </c>
      <c r="EP732" s="3">
        <f t="shared" si="655"/>
        <v>0</v>
      </c>
      <c r="EQ732" s="3">
        <f t="shared" si="655"/>
        <v>0</v>
      </c>
      <c r="ER732" s="3">
        <f t="shared" si="655"/>
        <v>0</v>
      </c>
      <c r="ES732" s="3">
        <f t="shared" si="655"/>
        <v>0</v>
      </c>
      <c r="ET732" s="3">
        <f t="shared" si="655"/>
        <v>0</v>
      </c>
      <c r="EU732" s="3">
        <f t="shared" si="655"/>
        <v>0</v>
      </c>
      <c r="EV732" s="3">
        <f t="shared" si="655"/>
        <v>0</v>
      </c>
      <c r="EW732" s="3">
        <f t="shared" si="655"/>
        <v>0</v>
      </c>
      <c r="EX732" s="3">
        <f t="shared" si="655"/>
        <v>0</v>
      </c>
      <c r="EY732" s="3">
        <f t="shared" si="655"/>
        <v>0</v>
      </c>
      <c r="EZ732" s="3">
        <f t="shared" si="655"/>
        <v>0</v>
      </c>
      <c r="FA732" s="3">
        <f t="shared" si="655"/>
        <v>0</v>
      </c>
      <c r="FB732" s="3">
        <f t="shared" si="655"/>
        <v>0</v>
      </c>
      <c r="FC732" s="3">
        <f t="shared" si="655"/>
        <v>0</v>
      </c>
      <c r="FD732" s="3">
        <f t="shared" si="655"/>
        <v>0</v>
      </c>
      <c r="FE732" s="3">
        <f t="shared" si="655"/>
        <v>0</v>
      </c>
      <c r="FF732" s="3">
        <f t="shared" si="655"/>
        <v>0</v>
      </c>
      <c r="FG732" s="3">
        <f t="shared" si="655"/>
        <v>0</v>
      </c>
      <c r="FH732" s="3">
        <f t="shared" si="655"/>
        <v>0</v>
      </c>
      <c r="FI732" s="3">
        <f t="shared" si="655"/>
        <v>0</v>
      </c>
      <c r="FJ732" s="3">
        <f t="shared" si="655"/>
        <v>0</v>
      </c>
      <c r="FK732" s="3">
        <f t="shared" si="655"/>
        <v>0</v>
      </c>
      <c r="FL732" s="3">
        <f t="shared" si="655"/>
        <v>0</v>
      </c>
      <c r="FM732" s="3">
        <f t="shared" si="655"/>
        <v>0</v>
      </c>
      <c r="FN732" s="3">
        <f t="shared" si="655"/>
        <v>0</v>
      </c>
      <c r="FO732" s="3">
        <f t="shared" si="655"/>
        <v>0</v>
      </c>
      <c r="FP732" s="3">
        <f t="shared" si="655"/>
        <v>0</v>
      </c>
      <c r="FQ732" s="3">
        <f t="shared" si="655"/>
        <v>0</v>
      </c>
      <c r="FR732" s="3">
        <f t="shared" si="655"/>
        <v>0</v>
      </c>
      <c r="FS732" s="3">
        <f t="shared" ref="FS732:GX732" si="656">FS860</f>
        <v>0</v>
      </c>
      <c r="FT732" s="3">
        <f t="shared" si="656"/>
        <v>0</v>
      </c>
      <c r="FU732" s="3">
        <f t="shared" si="656"/>
        <v>0</v>
      </c>
      <c r="FV732" s="3">
        <f t="shared" si="656"/>
        <v>0</v>
      </c>
      <c r="FW732" s="3">
        <f t="shared" si="656"/>
        <v>0</v>
      </c>
      <c r="FX732" s="3">
        <f t="shared" si="656"/>
        <v>0</v>
      </c>
      <c r="FY732" s="3">
        <f t="shared" si="656"/>
        <v>0</v>
      </c>
      <c r="FZ732" s="3">
        <f t="shared" si="656"/>
        <v>0</v>
      </c>
      <c r="GA732" s="3">
        <f t="shared" si="656"/>
        <v>0</v>
      </c>
      <c r="GB732" s="3">
        <f t="shared" si="656"/>
        <v>0</v>
      </c>
      <c r="GC732" s="3">
        <f t="shared" si="656"/>
        <v>0</v>
      </c>
      <c r="GD732" s="3">
        <f t="shared" si="656"/>
        <v>0</v>
      </c>
      <c r="GE732" s="3">
        <f t="shared" si="656"/>
        <v>0</v>
      </c>
      <c r="GF732" s="3">
        <f t="shared" si="656"/>
        <v>0</v>
      </c>
      <c r="GG732" s="3">
        <f t="shared" si="656"/>
        <v>0</v>
      </c>
      <c r="GH732" s="3">
        <f t="shared" si="656"/>
        <v>0</v>
      </c>
      <c r="GI732" s="3">
        <f t="shared" si="656"/>
        <v>0</v>
      </c>
      <c r="GJ732" s="3">
        <f t="shared" si="656"/>
        <v>0</v>
      </c>
      <c r="GK732" s="3">
        <f t="shared" si="656"/>
        <v>0</v>
      </c>
      <c r="GL732" s="3">
        <f t="shared" si="656"/>
        <v>0</v>
      </c>
      <c r="GM732" s="3">
        <f t="shared" si="656"/>
        <v>0</v>
      </c>
      <c r="GN732" s="3">
        <f t="shared" si="656"/>
        <v>0</v>
      </c>
      <c r="GO732" s="3">
        <f t="shared" si="656"/>
        <v>0</v>
      </c>
      <c r="GP732" s="3">
        <f t="shared" si="656"/>
        <v>0</v>
      </c>
      <c r="GQ732" s="3">
        <f t="shared" si="656"/>
        <v>0</v>
      </c>
      <c r="GR732" s="3">
        <f t="shared" si="656"/>
        <v>0</v>
      </c>
      <c r="GS732" s="3">
        <f t="shared" si="656"/>
        <v>0</v>
      </c>
      <c r="GT732" s="3">
        <f t="shared" si="656"/>
        <v>0</v>
      </c>
      <c r="GU732" s="3">
        <f t="shared" si="656"/>
        <v>0</v>
      </c>
      <c r="GV732" s="3">
        <f t="shared" si="656"/>
        <v>0</v>
      </c>
      <c r="GW732" s="3">
        <f t="shared" si="656"/>
        <v>0</v>
      </c>
      <c r="GX732" s="3">
        <f t="shared" si="656"/>
        <v>0</v>
      </c>
    </row>
    <row r="734" spans="1:245" x14ac:dyDescent="0.2">
      <c r="A734">
        <v>19</v>
      </c>
      <c r="B734">
        <v>1</v>
      </c>
      <c r="F734" t="s">
        <v>3</v>
      </c>
      <c r="G734" t="s">
        <v>569</v>
      </c>
      <c r="H734" t="s">
        <v>3</v>
      </c>
      <c r="AA734">
        <v>1</v>
      </c>
      <c r="IK734">
        <v>0</v>
      </c>
    </row>
    <row r="735" spans="1:245" x14ac:dyDescent="0.2">
      <c r="A735">
        <v>17</v>
      </c>
      <c r="B735">
        <v>1</v>
      </c>
      <c r="D735">
        <f>ROW(EtalonRes!A594)</f>
        <v>594</v>
      </c>
      <c r="E735" t="s">
        <v>570</v>
      </c>
      <c r="F735" t="s">
        <v>571</v>
      </c>
      <c r="G735" t="s">
        <v>572</v>
      </c>
      <c r="H735" t="s">
        <v>20</v>
      </c>
      <c r="I735">
        <f>ROUND(1+1,9)</f>
        <v>2</v>
      </c>
      <c r="J735">
        <v>0</v>
      </c>
      <c r="K735">
        <f>ROUND(1+1,9)</f>
        <v>2</v>
      </c>
      <c r="O735">
        <f t="shared" ref="O735:O754" si="657">ROUND(CP735,2)</f>
        <v>11268.98</v>
      </c>
      <c r="P735">
        <f t="shared" ref="P735:P754" si="658">ROUND(CQ735*I735,2)</f>
        <v>154.16</v>
      </c>
      <c r="Q735">
        <f t="shared" ref="Q735:Q754" si="659">ROUND(CR735*I735,2)</f>
        <v>0</v>
      </c>
      <c r="R735">
        <f t="shared" ref="R735:R754" si="660">ROUND(CS735*I735,2)</f>
        <v>0</v>
      </c>
      <c r="S735">
        <f t="shared" ref="S735:S754" si="661">ROUND(CT735*I735,2)</f>
        <v>11114.82</v>
      </c>
      <c r="T735">
        <f t="shared" ref="T735:T754" si="662">ROUND(CU735*I735,2)</f>
        <v>0</v>
      </c>
      <c r="U735">
        <f t="shared" ref="U735:U754" si="663">CV735*I735</f>
        <v>18</v>
      </c>
      <c r="V735">
        <f t="shared" ref="V735:V754" si="664">CW735*I735</f>
        <v>0</v>
      </c>
      <c r="W735">
        <f t="shared" ref="W735:W754" si="665">ROUND(CX735*I735,2)</f>
        <v>0</v>
      </c>
      <c r="X735">
        <f t="shared" ref="X735:X754" si="666">ROUND(CY735,2)</f>
        <v>7780.37</v>
      </c>
      <c r="Y735">
        <f t="shared" ref="Y735:Y754" si="667">ROUND(CZ735,2)</f>
        <v>1111.48</v>
      </c>
      <c r="AA735">
        <v>1472506909</v>
      </c>
      <c r="AB735">
        <f t="shared" ref="AB735:AB754" si="668">ROUND((AC735+AD735+AF735),6)</f>
        <v>5634.49</v>
      </c>
      <c r="AC735">
        <f>ROUND((ES735),6)</f>
        <v>77.08</v>
      </c>
      <c r="AD735">
        <f>ROUND((((ET735)-(EU735))+AE735),6)</f>
        <v>0</v>
      </c>
      <c r="AE735">
        <f>ROUND((EU735),6)</f>
        <v>0</v>
      </c>
      <c r="AF735">
        <f>ROUND((EV735),6)</f>
        <v>5557.41</v>
      </c>
      <c r="AG735">
        <f t="shared" ref="AG735:AG754" si="669">ROUND((AP735),6)</f>
        <v>0</v>
      </c>
      <c r="AH735">
        <f>(EW735)</f>
        <v>9</v>
      </c>
      <c r="AI735">
        <f>(EX735)</f>
        <v>0</v>
      </c>
      <c r="AJ735">
        <f t="shared" ref="AJ735:AJ754" si="670">(AS735)</f>
        <v>0</v>
      </c>
      <c r="AK735">
        <v>5634.49</v>
      </c>
      <c r="AL735">
        <v>77.08</v>
      </c>
      <c r="AM735">
        <v>0</v>
      </c>
      <c r="AN735">
        <v>0</v>
      </c>
      <c r="AO735">
        <v>5557.41</v>
      </c>
      <c r="AP735">
        <v>0</v>
      </c>
      <c r="AQ735">
        <v>9</v>
      </c>
      <c r="AR735">
        <v>0</v>
      </c>
      <c r="AS735">
        <v>0</v>
      </c>
      <c r="AT735">
        <v>70</v>
      </c>
      <c r="AU735">
        <v>10</v>
      </c>
      <c r="AV735">
        <v>1</v>
      </c>
      <c r="AW735">
        <v>1</v>
      </c>
      <c r="AZ735">
        <v>1</v>
      </c>
      <c r="BA735">
        <v>1</v>
      </c>
      <c r="BB735">
        <v>1</v>
      </c>
      <c r="BC735">
        <v>1</v>
      </c>
      <c r="BD735" t="s">
        <v>3</v>
      </c>
      <c r="BE735" t="s">
        <v>3</v>
      </c>
      <c r="BF735" t="s">
        <v>3</v>
      </c>
      <c r="BG735" t="s">
        <v>3</v>
      </c>
      <c r="BH735">
        <v>0</v>
      </c>
      <c r="BI735">
        <v>4</v>
      </c>
      <c r="BJ735" t="s">
        <v>573</v>
      </c>
      <c r="BM735">
        <v>0</v>
      </c>
      <c r="BN735">
        <v>0</v>
      </c>
      <c r="BO735" t="s">
        <v>3</v>
      </c>
      <c r="BP735">
        <v>0</v>
      </c>
      <c r="BQ735">
        <v>1</v>
      </c>
      <c r="BR735">
        <v>0</v>
      </c>
      <c r="BS735">
        <v>1</v>
      </c>
      <c r="BT735">
        <v>1</v>
      </c>
      <c r="BU735">
        <v>1</v>
      </c>
      <c r="BV735">
        <v>1</v>
      </c>
      <c r="BW735">
        <v>1</v>
      </c>
      <c r="BX735">
        <v>1</v>
      </c>
      <c r="BY735" t="s">
        <v>3</v>
      </c>
      <c r="BZ735">
        <v>70</v>
      </c>
      <c r="CA735">
        <v>10</v>
      </c>
      <c r="CB735" t="s">
        <v>3</v>
      </c>
      <c r="CE735">
        <v>0</v>
      </c>
      <c r="CF735">
        <v>0</v>
      </c>
      <c r="CG735">
        <v>0</v>
      </c>
      <c r="CM735">
        <v>0</v>
      </c>
      <c r="CN735" t="s">
        <v>3</v>
      </c>
      <c r="CO735">
        <v>0</v>
      </c>
      <c r="CP735">
        <f t="shared" ref="CP735:CP754" si="671">(P735+Q735+S735)</f>
        <v>11268.98</v>
      </c>
      <c r="CQ735">
        <f t="shared" ref="CQ735:CQ754" si="672">(AC735*BC735*AW735)</f>
        <v>77.08</v>
      </c>
      <c r="CR735">
        <f>((((ET735)*BB735-(EU735)*BS735)+AE735*BS735)*AV735)</f>
        <v>0</v>
      </c>
      <c r="CS735">
        <f t="shared" ref="CS735:CS754" si="673">(AE735*BS735*AV735)</f>
        <v>0</v>
      </c>
      <c r="CT735">
        <f t="shared" ref="CT735:CT754" si="674">(AF735*BA735*AV735)</f>
        <v>5557.41</v>
      </c>
      <c r="CU735">
        <f t="shared" ref="CU735:CU754" si="675">AG735</f>
        <v>0</v>
      </c>
      <c r="CV735">
        <f t="shared" ref="CV735:CV754" si="676">(AH735*AV735)</f>
        <v>9</v>
      </c>
      <c r="CW735">
        <f t="shared" ref="CW735:CW754" si="677">AI735</f>
        <v>0</v>
      </c>
      <c r="CX735">
        <f t="shared" ref="CX735:CX754" si="678">AJ735</f>
        <v>0</v>
      </c>
      <c r="CY735">
        <f t="shared" ref="CY735:CY754" si="679">((S735*BZ735)/100)</f>
        <v>7780.3739999999998</v>
      </c>
      <c r="CZ735">
        <f t="shared" ref="CZ735:CZ754" si="680">((S735*CA735)/100)</f>
        <v>1111.482</v>
      </c>
      <c r="DC735" t="s">
        <v>3</v>
      </c>
      <c r="DD735" t="s">
        <v>3</v>
      </c>
      <c r="DE735" t="s">
        <v>3</v>
      </c>
      <c r="DF735" t="s">
        <v>3</v>
      </c>
      <c r="DG735" t="s">
        <v>3</v>
      </c>
      <c r="DH735" t="s">
        <v>3</v>
      </c>
      <c r="DI735" t="s">
        <v>3</v>
      </c>
      <c r="DJ735" t="s">
        <v>3</v>
      </c>
      <c r="DK735" t="s">
        <v>3</v>
      </c>
      <c r="DL735" t="s">
        <v>3</v>
      </c>
      <c r="DM735" t="s">
        <v>3</v>
      </c>
      <c r="DN735">
        <v>0</v>
      </c>
      <c r="DO735">
        <v>0</v>
      </c>
      <c r="DP735">
        <v>1</v>
      </c>
      <c r="DQ735">
        <v>1</v>
      </c>
      <c r="DU735">
        <v>16987630</v>
      </c>
      <c r="DV735" t="s">
        <v>20</v>
      </c>
      <c r="DW735" t="s">
        <v>20</v>
      </c>
      <c r="DX735">
        <v>1</v>
      </c>
      <c r="DZ735" t="s">
        <v>3</v>
      </c>
      <c r="EA735" t="s">
        <v>3</v>
      </c>
      <c r="EB735" t="s">
        <v>3</v>
      </c>
      <c r="EC735" t="s">
        <v>3</v>
      </c>
      <c r="EE735">
        <v>1441815344</v>
      </c>
      <c r="EF735">
        <v>1</v>
      </c>
      <c r="EG735" t="s">
        <v>22</v>
      </c>
      <c r="EH735">
        <v>0</v>
      </c>
      <c r="EI735" t="s">
        <v>3</v>
      </c>
      <c r="EJ735">
        <v>4</v>
      </c>
      <c r="EK735">
        <v>0</v>
      </c>
      <c r="EL735" t="s">
        <v>23</v>
      </c>
      <c r="EM735" t="s">
        <v>24</v>
      </c>
      <c r="EO735" t="s">
        <v>3</v>
      </c>
      <c r="EQ735">
        <v>0</v>
      </c>
      <c r="ER735">
        <v>5634.49</v>
      </c>
      <c r="ES735">
        <v>77.08</v>
      </c>
      <c r="ET735">
        <v>0</v>
      </c>
      <c r="EU735">
        <v>0</v>
      </c>
      <c r="EV735">
        <v>5557.41</v>
      </c>
      <c r="EW735">
        <v>9</v>
      </c>
      <c r="EX735">
        <v>0</v>
      </c>
      <c r="EY735">
        <v>0</v>
      </c>
      <c r="FQ735">
        <v>0</v>
      </c>
      <c r="FR735">
        <f t="shared" ref="FR735:FR754" si="681">ROUND(IF(BI735=3,GM735,0),2)</f>
        <v>0</v>
      </c>
      <c r="FS735">
        <v>0</v>
      </c>
      <c r="FX735">
        <v>70</v>
      </c>
      <c r="FY735">
        <v>10</v>
      </c>
      <c r="GA735" t="s">
        <v>3</v>
      </c>
      <c r="GD735">
        <v>0</v>
      </c>
      <c r="GF735">
        <v>481788285</v>
      </c>
      <c r="GG735">
        <v>2</v>
      </c>
      <c r="GH735">
        <v>1</v>
      </c>
      <c r="GI735">
        <v>-2</v>
      </c>
      <c r="GJ735">
        <v>0</v>
      </c>
      <c r="GK735">
        <f>ROUND(R735*(R12)/100,2)</f>
        <v>0</v>
      </c>
      <c r="GL735">
        <f t="shared" ref="GL735:GL754" si="682">ROUND(IF(AND(BH735=3,BI735=3,FS735&lt;&gt;0),P735,0),2)</f>
        <v>0</v>
      </c>
      <c r="GM735">
        <f t="shared" ref="GM735:GM754" si="683">ROUND(O735+X735+Y735+GK735,2)+GX735</f>
        <v>20160.830000000002</v>
      </c>
      <c r="GN735">
        <f t="shared" ref="GN735:GN754" si="684">IF(OR(BI735=0,BI735=1),GM735-GX735,0)</f>
        <v>0</v>
      </c>
      <c r="GO735">
        <f t="shared" ref="GO735:GO754" si="685">IF(BI735=2,GM735-GX735,0)</f>
        <v>0</v>
      </c>
      <c r="GP735">
        <f t="shared" ref="GP735:GP754" si="686">IF(BI735=4,GM735-GX735,0)</f>
        <v>20160.830000000002</v>
      </c>
      <c r="GR735">
        <v>0</v>
      </c>
      <c r="GS735">
        <v>3</v>
      </c>
      <c r="GT735">
        <v>0</v>
      </c>
      <c r="GU735" t="s">
        <v>3</v>
      </c>
      <c r="GV735">
        <f t="shared" ref="GV735:GV754" si="687">ROUND((GT735),6)</f>
        <v>0</v>
      </c>
      <c r="GW735">
        <v>1</v>
      </c>
      <c r="GX735">
        <f t="shared" ref="GX735:GX754" si="688">ROUND(HC735*I735,2)</f>
        <v>0</v>
      </c>
      <c r="HA735">
        <v>0</v>
      </c>
      <c r="HB735">
        <v>0</v>
      </c>
      <c r="HC735">
        <f t="shared" ref="HC735:HC754" si="689">GV735*GW735</f>
        <v>0</v>
      </c>
      <c r="HE735" t="s">
        <v>3</v>
      </c>
      <c r="HF735" t="s">
        <v>3</v>
      </c>
      <c r="HM735" t="s">
        <v>3</v>
      </c>
      <c r="HN735" t="s">
        <v>3</v>
      </c>
      <c r="HO735" t="s">
        <v>3</v>
      </c>
      <c r="HP735" t="s">
        <v>3</v>
      </c>
      <c r="HQ735" t="s">
        <v>3</v>
      </c>
      <c r="IK735">
        <v>0</v>
      </c>
    </row>
    <row r="736" spans="1:245" x14ac:dyDescent="0.2">
      <c r="A736">
        <v>17</v>
      </c>
      <c r="B736">
        <v>1</v>
      </c>
      <c r="D736">
        <f>ROW(EtalonRes!A597)</f>
        <v>597</v>
      </c>
      <c r="E736" t="s">
        <v>3</v>
      </c>
      <c r="F736" t="s">
        <v>574</v>
      </c>
      <c r="G736" t="s">
        <v>575</v>
      </c>
      <c r="H736" t="s">
        <v>20</v>
      </c>
      <c r="I736">
        <f>ROUND(1+1,9)</f>
        <v>2</v>
      </c>
      <c r="J736">
        <v>0</v>
      </c>
      <c r="K736">
        <f>ROUND(1+1,9)</f>
        <v>2</v>
      </c>
      <c r="O736">
        <f t="shared" si="657"/>
        <v>1114.08</v>
      </c>
      <c r="P736">
        <f t="shared" si="658"/>
        <v>2.58</v>
      </c>
      <c r="Q736">
        <f t="shared" si="659"/>
        <v>0</v>
      </c>
      <c r="R736">
        <f t="shared" si="660"/>
        <v>0</v>
      </c>
      <c r="S736">
        <f t="shared" si="661"/>
        <v>1111.5</v>
      </c>
      <c r="T736">
        <f t="shared" si="662"/>
        <v>0</v>
      </c>
      <c r="U736">
        <f t="shared" si="663"/>
        <v>1.7999999999999998</v>
      </c>
      <c r="V736">
        <f t="shared" si="664"/>
        <v>0</v>
      </c>
      <c r="W736">
        <f t="shared" si="665"/>
        <v>0</v>
      </c>
      <c r="X736">
        <f t="shared" si="666"/>
        <v>778.05</v>
      </c>
      <c r="Y736">
        <f t="shared" si="667"/>
        <v>111.15</v>
      </c>
      <c r="AA736">
        <v>-1</v>
      </c>
      <c r="AB736">
        <f t="shared" si="668"/>
        <v>557.04</v>
      </c>
      <c r="AC736">
        <f>ROUND(((ES736*3)),6)</f>
        <v>1.29</v>
      </c>
      <c r="AD736">
        <f>ROUND(((((ET736*3))-((EU736*3)))+AE736),6)</f>
        <v>0</v>
      </c>
      <c r="AE736">
        <f>ROUND(((EU736*3)),6)</f>
        <v>0</v>
      </c>
      <c r="AF736">
        <f>ROUND(((EV736*3)),6)</f>
        <v>555.75</v>
      </c>
      <c r="AG736">
        <f t="shared" si="669"/>
        <v>0</v>
      </c>
      <c r="AH736">
        <f>((EW736*3))</f>
        <v>0.89999999999999991</v>
      </c>
      <c r="AI736">
        <f>((EX736*3))</f>
        <v>0</v>
      </c>
      <c r="AJ736">
        <f t="shared" si="670"/>
        <v>0</v>
      </c>
      <c r="AK736">
        <v>185.68</v>
      </c>
      <c r="AL736">
        <v>0.43</v>
      </c>
      <c r="AM736">
        <v>0</v>
      </c>
      <c r="AN736">
        <v>0</v>
      </c>
      <c r="AO736">
        <v>185.25</v>
      </c>
      <c r="AP736">
        <v>0</v>
      </c>
      <c r="AQ736">
        <v>0.3</v>
      </c>
      <c r="AR736">
        <v>0</v>
      </c>
      <c r="AS736">
        <v>0</v>
      </c>
      <c r="AT736">
        <v>70</v>
      </c>
      <c r="AU736">
        <v>10</v>
      </c>
      <c r="AV736">
        <v>1</v>
      </c>
      <c r="AW736">
        <v>1</v>
      </c>
      <c r="AZ736">
        <v>1</v>
      </c>
      <c r="BA736">
        <v>1</v>
      </c>
      <c r="BB736">
        <v>1</v>
      </c>
      <c r="BC736">
        <v>1</v>
      </c>
      <c r="BD736" t="s">
        <v>3</v>
      </c>
      <c r="BE736" t="s">
        <v>3</v>
      </c>
      <c r="BF736" t="s">
        <v>3</v>
      </c>
      <c r="BG736" t="s">
        <v>3</v>
      </c>
      <c r="BH736">
        <v>0</v>
      </c>
      <c r="BI736">
        <v>4</v>
      </c>
      <c r="BJ736" t="s">
        <v>576</v>
      </c>
      <c r="BM736">
        <v>0</v>
      </c>
      <c r="BN736">
        <v>0</v>
      </c>
      <c r="BO736" t="s">
        <v>3</v>
      </c>
      <c r="BP736">
        <v>0</v>
      </c>
      <c r="BQ736">
        <v>1</v>
      </c>
      <c r="BR736">
        <v>0</v>
      </c>
      <c r="BS736">
        <v>1</v>
      </c>
      <c r="BT736">
        <v>1</v>
      </c>
      <c r="BU736">
        <v>1</v>
      </c>
      <c r="BV736">
        <v>1</v>
      </c>
      <c r="BW736">
        <v>1</v>
      </c>
      <c r="BX736">
        <v>1</v>
      </c>
      <c r="BY736" t="s">
        <v>3</v>
      </c>
      <c r="BZ736">
        <v>70</v>
      </c>
      <c r="CA736">
        <v>10</v>
      </c>
      <c r="CB736" t="s">
        <v>3</v>
      </c>
      <c r="CE736">
        <v>0</v>
      </c>
      <c r="CF736">
        <v>0</v>
      </c>
      <c r="CG736">
        <v>0</v>
      </c>
      <c r="CM736">
        <v>0</v>
      </c>
      <c r="CN736" t="s">
        <v>3</v>
      </c>
      <c r="CO736">
        <v>0</v>
      </c>
      <c r="CP736">
        <f t="shared" si="671"/>
        <v>1114.08</v>
      </c>
      <c r="CQ736">
        <f t="shared" si="672"/>
        <v>1.29</v>
      </c>
      <c r="CR736">
        <f>(((((ET736*3))*BB736-((EU736*3))*BS736)+AE736*BS736)*AV736)</f>
        <v>0</v>
      </c>
      <c r="CS736">
        <f t="shared" si="673"/>
        <v>0</v>
      </c>
      <c r="CT736">
        <f t="shared" si="674"/>
        <v>555.75</v>
      </c>
      <c r="CU736">
        <f t="shared" si="675"/>
        <v>0</v>
      </c>
      <c r="CV736">
        <f t="shared" si="676"/>
        <v>0.89999999999999991</v>
      </c>
      <c r="CW736">
        <f t="shared" si="677"/>
        <v>0</v>
      </c>
      <c r="CX736">
        <f t="shared" si="678"/>
        <v>0</v>
      </c>
      <c r="CY736">
        <f t="shared" si="679"/>
        <v>778.05</v>
      </c>
      <c r="CZ736">
        <f t="shared" si="680"/>
        <v>111.15</v>
      </c>
      <c r="DC736" t="s">
        <v>3</v>
      </c>
      <c r="DD736" t="s">
        <v>577</v>
      </c>
      <c r="DE736" t="s">
        <v>577</v>
      </c>
      <c r="DF736" t="s">
        <v>577</v>
      </c>
      <c r="DG736" t="s">
        <v>577</v>
      </c>
      <c r="DH736" t="s">
        <v>3</v>
      </c>
      <c r="DI736" t="s">
        <v>577</v>
      </c>
      <c r="DJ736" t="s">
        <v>577</v>
      </c>
      <c r="DK736" t="s">
        <v>3</v>
      </c>
      <c r="DL736" t="s">
        <v>3</v>
      </c>
      <c r="DM736" t="s">
        <v>3</v>
      </c>
      <c r="DN736">
        <v>0</v>
      </c>
      <c r="DO736">
        <v>0</v>
      </c>
      <c r="DP736">
        <v>1</v>
      </c>
      <c r="DQ736">
        <v>1</v>
      </c>
      <c r="DU736">
        <v>16987630</v>
      </c>
      <c r="DV736" t="s">
        <v>20</v>
      </c>
      <c r="DW736" t="s">
        <v>20</v>
      </c>
      <c r="DX736">
        <v>1</v>
      </c>
      <c r="DZ736" t="s">
        <v>3</v>
      </c>
      <c r="EA736" t="s">
        <v>3</v>
      </c>
      <c r="EB736" t="s">
        <v>3</v>
      </c>
      <c r="EC736" t="s">
        <v>3</v>
      </c>
      <c r="EE736">
        <v>1441815344</v>
      </c>
      <c r="EF736">
        <v>1</v>
      </c>
      <c r="EG736" t="s">
        <v>22</v>
      </c>
      <c r="EH736">
        <v>0</v>
      </c>
      <c r="EI736" t="s">
        <v>3</v>
      </c>
      <c r="EJ736">
        <v>4</v>
      </c>
      <c r="EK736">
        <v>0</v>
      </c>
      <c r="EL736" t="s">
        <v>23</v>
      </c>
      <c r="EM736" t="s">
        <v>24</v>
      </c>
      <c r="EO736" t="s">
        <v>3</v>
      </c>
      <c r="EQ736">
        <v>1024</v>
      </c>
      <c r="ER736">
        <v>185.68</v>
      </c>
      <c r="ES736">
        <v>0.43</v>
      </c>
      <c r="ET736">
        <v>0</v>
      </c>
      <c r="EU736">
        <v>0</v>
      </c>
      <c r="EV736">
        <v>185.25</v>
      </c>
      <c r="EW736">
        <v>0.3</v>
      </c>
      <c r="EX736">
        <v>0</v>
      </c>
      <c r="EY736">
        <v>0</v>
      </c>
      <c r="FQ736">
        <v>0</v>
      </c>
      <c r="FR736">
        <f t="shared" si="681"/>
        <v>0</v>
      </c>
      <c r="FS736">
        <v>0</v>
      </c>
      <c r="FX736">
        <v>70</v>
      </c>
      <c r="FY736">
        <v>10</v>
      </c>
      <c r="GA736" t="s">
        <v>3</v>
      </c>
      <c r="GD736">
        <v>0</v>
      </c>
      <c r="GF736">
        <v>-886302342</v>
      </c>
      <c r="GG736">
        <v>2</v>
      </c>
      <c r="GH736">
        <v>1</v>
      </c>
      <c r="GI736">
        <v>-2</v>
      </c>
      <c r="GJ736">
        <v>0</v>
      </c>
      <c r="GK736">
        <f>ROUND(R736*(R12)/100,2)</f>
        <v>0</v>
      </c>
      <c r="GL736">
        <f t="shared" si="682"/>
        <v>0</v>
      </c>
      <c r="GM736">
        <f t="shared" si="683"/>
        <v>2003.28</v>
      </c>
      <c r="GN736">
        <f t="shared" si="684"/>
        <v>0</v>
      </c>
      <c r="GO736">
        <f t="shared" si="685"/>
        <v>0</v>
      </c>
      <c r="GP736">
        <f t="shared" si="686"/>
        <v>2003.28</v>
      </c>
      <c r="GR736">
        <v>0</v>
      </c>
      <c r="GS736">
        <v>3</v>
      </c>
      <c r="GT736">
        <v>0</v>
      </c>
      <c r="GU736" t="s">
        <v>3</v>
      </c>
      <c r="GV736">
        <f t="shared" si="687"/>
        <v>0</v>
      </c>
      <c r="GW736">
        <v>1</v>
      </c>
      <c r="GX736">
        <f t="shared" si="688"/>
        <v>0</v>
      </c>
      <c r="HA736">
        <v>0</v>
      </c>
      <c r="HB736">
        <v>0</v>
      </c>
      <c r="HC736">
        <f t="shared" si="689"/>
        <v>0</v>
      </c>
      <c r="HE736" t="s">
        <v>3</v>
      </c>
      <c r="HF736" t="s">
        <v>3</v>
      </c>
      <c r="HM736" t="s">
        <v>3</v>
      </c>
      <c r="HN736" t="s">
        <v>3</v>
      </c>
      <c r="HO736" t="s">
        <v>3</v>
      </c>
      <c r="HP736" t="s">
        <v>3</v>
      </c>
      <c r="HQ736" t="s">
        <v>3</v>
      </c>
      <c r="IK736">
        <v>0</v>
      </c>
    </row>
    <row r="737" spans="1:245" x14ac:dyDescent="0.2">
      <c r="A737">
        <v>17</v>
      </c>
      <c r="B737">
        <v>1</v>
      </c>
      <c r="D737">
        <f>ROW(EtalonRes!A600)</f>
        <v>600</v>
      </c>
      <c r="E737" t="s">
        <v>3</v>
      </c>
      <c r="F737" t="s">
        <v>578</v>
      </c>
      <c r="G737" t="s">
        <v>579</v>
      </c>
      <c r="H737" t="s">
        <v>20</v>
      </c>
      <c r="I737">
        <f>ROUND(6+6,9)</f>
        <v>12</v>
      </c>
      <c r="J737">
        <v>0</v>
      </c>
      <c r="K737">
        <f>ROUND(6+6,9)</f>
        <v>12</v>
      </c>
      <c r="O737">
        <f t="shared" si="657"/>
        <v>13902.36</v>
      </c>
      <c r="P737">
        <f t="shared" si="658"/>
        <v>21.36</v>
      </c>
      <c r="Q737">
        <f t="shared" si="659"/>
        <v>0</v>
      </c>
      <c r="R737">
        <f t="shared" si="660"/>
        <v>0</v>
      </c>
      <c r="S737">
        <f t="shared" si="661"/>
        <v>13881</v>
      </c>
      <c r="T737">
        <f t="shared" si="662"/>
        <v>0</v>
      </c>
      <c r="U737">
        <f t="shared" si="663"/>
        <v>19.559999999999999</v>
      </c>
      <c r="V737">
        <f t="shared" si="664"/>
        <v>0</v>
      </c>
      <c r="W737">
        <f t="shared" si="665"/>
        <v>0</v>
      </c>
      <c r="X737">
        <f t="shared" si="666"/>
        <v>9716.7000000000007</v>
      </c>
      <c r="Y737">
        <f t="shared" si="667"/>
        <v>1388.1</v>
      </c>
      <c r="AA737">
        <v>-1</v>
      </c>
      <c r="AB737">
        <f t="shared" si="668"/>
        <v>1158.53</v>
      </c>
      <c r="AC737">
        <f>ROUND((ES737),6)</f>
        <v>1.78</v>
      </c>
      <c r="AD737">
        <f>ROUND((((ET737)-(EU737))+AE737),6)</f>
        <v>0</v>
      </c>
      <c r="AE737">
        <f>ROUND((EU737),6)</f>
        <v>0</v>
      </c>
      <c r="AF737">
        <f>ROUND((EV737),6)</f>
        <v>1156.75</v>
      </c>
      <c r="AG737">
        <f t="shared" si="669"/>
        <v>0</v>
      </c>
      <c r="AH737">
        <f>(EW737)</f>
        <v>1.63</v>
      </c>
      <c r="AI737">
        <f>(EX737)</f>
        <v>0</v>
      </c>
      <c r="AJ737">
        <f t="shared" si="670"/>
        <v>0</v>
      </c>
      <c r="AK737">
        <v>1158.53</v>
      </c>
      <c r="AL737">
        <v>1.78</v>
      </c>
      <c r="AM737">
        <v>0</v>
      </c>
      <c r="AN737">
        <v>0</v>
      </c>
      <c r="AO737">
        <v>1156.75</v>
      </c>
      <c r="AP737">
        <v>0</v>
      </c>
      <c r="AQ737">
        <v>1.63</v>
      </c>
      <c r="AR737">
        <v>0</v>
      </c>
      <c r="AS737">
        <v>0</v>
      </c>
      <c r="AT737">
        <v>70</v>
      </c>
      <c r="AU737">
        <v>10</v>
      </c>
      <c r="AV737">
        <v>1</v>
      </c>
      <c r="AW737">
        <v>1</v>
      </c>
      <c r="AZ737">
        <v>1</v>
      </c>
      <c r="BA737">
        <v>1</v>
      </c>
      <c r="BB737">
        <v>1</v>
      </c>
      <c r="BC737">
        <v>1</v>
      </c>
      <c r="BD737" t="s">
        <v>3</v>
      </c>
      <c r="BE737" t="s">
        <v>3</v>
      </c>
      <c r="BF737" t="s">
        <v>3</v>
      </c>
      <c r="BG737" t="s">
        <v>3</v>
      </c>
      <c r="BH737">
        <v>0</v>
      </c>
      <c r="BI737">
        <v>4</v>
      </c>
      <c r="BJ737" t="s">
        <v>580</v>
      </c>
      <c r="BM737">
        <v>0</v>
      </c>
      <c r="BN737">
        <v>0</v>
      </c>
      <c r="BO737" t="s">
        <v>3</v>
      </c>
      <c r="BP737">
        <v>0</v>
      </c>
      <c r="BQ737">
        <v>1</v>
      </c>
      <c r="BR737">
        <v>0</v>
      </c>
      <c r="BS737">
        <v>1</v>
      </c>
      <c r="BT737">
        <v>1</v>
      </c>
      <c r="BU737">
        <v>1</v>
      </c>
      <c r="BV737">
        <v>1</v>
      </c>
      <c r="BW737">
        <v>1</v>
      </c>
      <c r="BX737">
        <v>1</v>
      </c>
      <c r="BY737" t="s">
        <v>3</v>
      </c>
      <c r="BZ737">
        <v>70</v>
      </c>
      <c r="CA737">
        <v>10</v>
      </c>
      <c r="CB737" t="s">
        <v>3</v>
      </c>
      <c r="CE737">
        <v>0</v>
      </c>
      <c r="CF737">
        <v>0</v>
      </c>
      <c r="CG737">
        <v>0</v>
      </c>
      <c r="CM737">
        <v>0</v>
      </c>
      <c r="CN737" t="s">
        <v>3</v>
      </c>
      <c r="CO737">
        <v>0</v>
      </c>
      <c r="CP737">
        <f t="shared" si="671"/>
        <v>13902.36</v>
      </c>
      <c r="CQ737">
        <f t="shared" si="672"/>
        <v>1.78</v>
      </c>
      <c r="CR737">
        <f>((((ET737)*BB737-(EU737)*BS737)+AE737*BS737)*AV737)</f>
        <v>0</v>
      </c>
      <c r="CS737">
        <f t="shared" si="673"/>
        <v>0</v>
      </c>
      <c r="CT737">
        <f t="shared" si="674"/>
        <v>1156.75</v>
      </c>
      <c r="CU737">
        <f t="shared" si="675"/>
        <v>0</v>
      </c>
      <c r="CV737">
        <f t="shared" si="676"/>
        <v>1.63</v>
      </c>
      <c r="CW737">
        <f t="shared" si="677"/>
        <v>0</v>
      </c>
      <c r="CX737">
        <f t="shared" si="678"/>
        <v>0</v>
      </c>
      <c r="CY737">
        <f t="shared" si="679"/>
        <v>9716.7000000000007</v>
      </c>
      <c r="CZ737">
        <f t="shared" si="680"/>
        <v>1388.1</v>
      </c>
      <c r="DC737" t="s">
        <v>3</v>
      </c>
      <c r="DD737" t="s">
        <v>3</v>
      </c>
      <c r="DE737" t="s">
        <v>3</v>
      </c>
      <c r="DF737" t="s">
        <v>3</v>
      </c>
      <c r="DG737" t="s">
        <v>3</v>
      </c>
      <c r="DH737" t="s">
        <v>3</v>
      </c>
      <c r="DI737" t="s">
        <v>3</v>
      </c>
      <c r="DJ737" t="s">
        <v>3</v>
      </c>
      <c r="DK737" t="s">
        <v>3</v>
      </c>
      <c r="DL737" t="s">
        <v>3</v>
      </c>
      <c r="DM737" t="s">
        <v>3</v>
      </c>
      <c r="DN737">
        <v>0</v>
      </c>
      <c r="DO737">
        <v>0</v>
      </c>
      <c r="DP737">
        <v>1</v>
      </c>
      <c r="DQ737">
        <v>1</v>
      </c>
      <c r="DU737">
        <v>16987630</v>
      </c>
      <c r="DV737" t="s">
        <v>20</v>
      </c>
      <c r="DW737" t="s">
        <v>20</v>
      </c>
      <c r="DX737">
        <v>1</v>
      </c>
      <c r="DZ737" t="s">
        <v>3</v>
      </c>
      <c r="EA737" t="s">
        <v>3</v>
      </c>
      <c r="EB737" t="s">
        <v>3</v>
      </c>
      <c r="EC737" t="s">
        <v>3</v>
      </c>
      <c r="EE737">
        <v>1441815344</v>
      </c>
      <c r="EF737">
        <v>1</v>
      </c>
      <c r="EG737" t="s">
        <v>22</v>
      </c>
      <c r="EH737">
        <v>0</v>
      </c>
      <c r="EI737" t="s">
        <v>3</v>
      </c>
      <c r="EJ737">
        <v>4</v>
      </c>
      <c r="EK737">
        <v>0</v>
      </c>
      <c r="EL737" t="s">
        <v>23</v>
      </c>
      <c r="EM737" t="s">
        <v>24</v>
      </c>
      <c r="EO737" t="s">
        <v>3</v>
      </c>
      <c r="EQ737">
        <v>1311744</v>
      </c>
      <c r="ER737">
        <v>1158.53</v>
      </c>
      <c r="ES737">
        <v>1.78</v>
      </c>
      <c r="ET737">
        <v>0</v>
      </c>
      <c r="EU737">
        <v>0</v>
      </c>
      <c r="EV737">
        <v>1156.75</v>
      </c>
      <c r="EW737">
        <v>1.63</v>
      </c>
      <c r="EX737">
        <v>0</v>
      </c>
      <c r="EY737">
        <v>0</v>
      </c>
      <c r="FQ737">
        <v>0</v>
      </c>
      <c r="FR737">
        <f t="shared" si="681"/>
        <v>0</v>
      </c>
      <c r="FS737">
        <v>0</v>
      </c>
      <c r="FX737">
        <v>70</v>
      </c>
      <c r="FY737">
        <v>10</v>
      </c>
      <c r="GA737" t="s">
        <v>3</v>
      </c>
      <c r="GD737">
        <v>0</v>
      </c>
      <c r="GF737">
        <v>1177730177</v>
      </c>
      <c r="GG737">
        <v>2</v>
      </c>
      <c r="GH737">
        <v>1</v>
      </c>
      <c r="GI737">
        <v>-2</v>
      </c>
      <c r="GJ737">
        <v>0</v>
      </c>
      <c r="GK737">
        <f>ROUND(R737*(R12)/100,2)</f>
        <v>0</v>
      </c>
      <c r="GL737">
        <f t="shared" si="682"/>
        <v>0</v>
      </c>
      <c r="GM737">
        <f t="shared" si="683"/>
        <v>25007.16</v>
      </c>
      <c r="GN737">
        <f t="shared" si="684"/>
        <v>0</v>
      </c>
      <c r="GO737">
        <f t="shared" si="685"/>
        <v>0</v>
      </c>
      <c r="GP737">
        <f t="shared" si="686"/>
        <v>25007.16</v>
      </c>
      <c r="GR737">
        <v>0</v>
      </c>
      <c r="GS737">
        <v>3</v>
      </c>
      <c r="GT737">
        <v>0</v>
      </c>
      <c r="GU737" t="s">
        <v>3</v>
      </c>
      <c r="GV737">
        <f t="shared" si="687"/>
        <v>0</v>
      </c>
      <c r="GW737">
        <v>1</v>
      </c>
      <c r="GX737">
        <f t="shared" si="688"/>
        <v>0</v>
      </c>
      <c r="HA737">
        <v>0</v>
      </c>
      <c r="HB737">
        <v>0</v>
      </c>
      <c r="HC737">
        <f t="shared" si="689"/>
        <v>0</v>
      </c>
      <c r="HE737" t="s">
        <v>3</v>
      </c>
      <c r="HF737" t="s">
        <v>3</v>
      </c>
      <c r="HM737" t="s">
        <v>3</v>
      </c>
      <c r="HN737" t="s">
        <v>3</v>
      </c>
      <c r="HO737" t="s">
        <v>3</v>
      </c>
      <c r="HP737" t="s">
        <v>3</v>
      </c>
      <c r="HQ737" t="s">
        <v>3</v>
      </c>
      <c r="IK737">
        <v>0</v>
      </c>
    </row>
    <row r="738" spans="1:245" x14ac:dyDescent="0.2">
      <c r="A738">
        <v>17</v>
      </c>
      <c r="B738">
        <v>1</v>
      </c>
      <c r="D738">
        <f>ROW(EtalonRes!A604)</f>
        <v>604</v>
      </c>
      <c r="E738" t="s">
        <v>3</v>
      </c>
      <c r="F738" t="s">
        <v>581</v>
      </c>
      <c r="G738" t="s">
        <v>582</v>
      </c>
      <c r="H738" t="s">
        <v>20</v>
      </c>
      <c r="I738">
        <f>ROUND(6+6,9)</f>
        <v>12</v>
      </c>
      <c r="J738">
        <v>0</v>
      </c>
      <c r="K738">
        <f>ROUND(6+6,9)</f>
        <v>12</v>
      </c>
      <c r="O738">
        <f t="shared" si="657"/>
        <v>6413.76</v>
      </c>
      <c r="P738">
        <f t="shared" si="658"/>
        <v>43.2</v>
      </c>
      <c r="Q738">
        <f t="shared" si="659"/>
        <v>0</v>
      </c>
      <c r="R738">
        <f t="shared" si="660"/>
        <v>0</v>
      </c>
      <c r="S738">
        <f t="shared" si="661"/>
        <v>6370.56</v>
      </c>
      <c r="T738">
        <f t="shared" si="662"/>
        <v>0</v>
      </c>
      <c r="U738">
        <f t="shared" si="663"/>
        <v>9.6000000000000014</v>
      </c>
      <c r="V738">
        <f t="shared" si="664"/>
        <v>0</v>
      </c>
      <c r="W738">
        <f t="shared" si="665"/>
        <v>0</v>
      </c>
      <c r="X738">
        <f t="shared" si="666"/>
        <v>4459.3900000000003</v>
      </c>
      <c r="Y738">
        <f t="shared" si="667"/>
        <v>637.05999999999995</v>
      </c>
      <c r="AA738">
        <v>-1</v>
      </c>
      <c r="AB738">
        <f t="shared" si="668"/>
        <v>534.48</v>
      </c>
      <c r="AC738">
        <f>ROUND(((ES738*4)),6)</f>
        <v>3.6</v>
      </c>
      <c r="AD738">
        <f>ROUND(((((ET738*4))-((EU738*4)))+AE738),6)</f>
        <v>0</v>
      </c>
      <c r="AE738">
        <f>ROUND(((EU738*4)),6)</f>
        <v>0</v>
      </c>
      <c r="AF738">
        <f>ROUND(((EV738*4)),6)</f>
        <v>530.88</v>
      </c>
      <c r="AG738">
        <f t="shared" si="669"/>
        <v>0</v>
      </c>
      <c r="AH738">
        <f>((EW738*4))</f>
        <v>0.8</v>
      </c>
      <c r="AI738">
        <f>((EX738*4))</f>
        <v>0</v>
      </c>
      <c r="AJ738">
        <f t="shared" si="670"/>
        <v>0</v>
      </c>
      <c r="AK738">
        <v>133.62</v>
      </c>
      <c r="AL738">
        <v>0.9</v>
      </c>
      <c r="AM738">
        <v>0</v>
      </c>
      <c r="AN738">
        <v>0</v>
      </c>
      <c r="AO738">
        <v>132.72</v>
      </c>
      <c r="AP738">
        <v>0</v>
      </c>
      <c r="AQ738">
        <v>0.2</v>
      </c>
      <c r="AR738">
        <v>0</v>
      </c>
      <c r="AS738">
        <v>0</v>
      </c>
      <c r="AT738">
        <v>70</v>
      </c>
      <c r="AU738">
        <v>10</v>
      </c>
      <c r="AV738">
        <v>1</v>
      </c>
      <c r="AW738">
        <v>1</v>
      </c>
      <c r="AZ738">
        <v>1</v>
      </c>
      <c r="BA738">
        <v>1</v>
      </c>
      <c r="BB738">
        <v>1</v>
      </c>
      <c r="BC738">
        <v>1</v>
      </c>
      <c r="BD738" t="s">
        <v>3</v>
      </c>
      <c r="BE738" t="s">
        <v>3</v>
      </c>
      <c r="BF738" t="s">
        <v>3</v>
      </c>
      <c r="BG738" t="s">
        <v>3</v>
      </c>
      <c r="BH738">
        <v>0</v>
      </c>
      <c r="BI738">
        <v>4</v>
      </c>
      <c r="BJ738" t="s">
        <v>583</v>
      </c>
      <c r="BM738">
        <v>0</v>
      </c>
      <c r="BN738">
        <v>0</v>
      </c>
      <c r="BO738" t="s">
        <v>3</v>
      </c>
      <c r="BP738">
        <v>0</v>
      </c>
      <c r="BQ738">
        <v>1</v>
      </c>
      <c r="BR738">
        <v>0</v>
      </c>
      <c r="BS738">
        <v>1</v>
      </c>
      <c r="BT738">
        <v>1</v>
      </c>
      <c r="BU738">
        <v>1</v>
      </c>
      <c r="BV738">
        <v>1</v>
      </c>
      <c r="BW738">
        <v>1</v>
      </c>
      <c r="BX738">
        <v>1</v>
      </c>
      <c r="BY738" t="s">
        <v>3</v>
      </c>
      <c r="BZ738">
        <v>70</v>
      </c>
      <c r="CA738">
        <v>10</v>
      </c>
      <c r="CB738" t="s">
        <v>3</v>
      </c>
      <c r="CE738">
        <v>0</v>
      </c>
      <c r="CF738">
        <v>0</v>
      </c>
      <c r="CG738">
        <v>0</v>
      </c>
      <c r="CM738">
        <v>0</v>
      </c>
      <c r="CN738" t="s">
        <v>3</v>
      </c>
      <c r="CO738">
        <v>0</v>
      </c>
      <c r="CP738">
        <f t="shared" si="671"/>
        <v>6413.76</v>
      </c>
      <c r="CQ738">
        <f t="shared" si="672"/>
        <v>3.6</v>
      </c>
      <c r="CR738">
        <f>(((((ET738*4))*BB738-((EU738*4))*BS738)+AE738*BS738)*AV738)</f>
        <v>0</v>
      </c>
      <c r="CS738">
        <f t="shared" si="673"/>
        <v>0</v>
      </c>
      <c r="CT738">
        <f t="shared" si="674"/>
        <v>530.88</v>
      </c>
      <c r="CU738">
        <f t="shared" si="675"/>
        <v>0</v>
      </c>
      <c r="CV738">
        <f t="shared" si="676"/>
        <v>0.8</v>
      </c>
      <c r="CW738">
        <f t="shared" si="677"/>
        <v>0</v>
      </c>
      <c r="CX738">
        <f t="shared" si="678"/>
        <v>0</v>
      </c>
      <c r="CY738">
        <f t="shared" si="679"/>
        <v>4459.3919999999998</v>
      </c>
      <c r="CZ738">
        <f t="shared" si="680"/>
        <v>637.05600000000004</v>
      </c>
      <c r="DC738" t="s">
        <v>3</v>
      </c>
      <c r="DD738" t="s">
        <v>584</v>
      </c>
      <c r="DE738" t="s">
        <v>584</v>
      </c>
      <c r="DF738" t="s">
        <v>584</v>
      </c>
      <c r="DG738" t="s">
        <v>584</v>
      </c>
      <c r="DH738" t="s">
        <v>3</v>
      </c>
      <c r="DI738" t="s">
        <v>584</v>
      </c>
      <c r="DJ738" t="s">
        <v>584</v>
      </c>
      <c r="DK738" t="s">
        <v>3</v>
      </c>
      <c r="DL738" t="s">
        <v>3</v>
      </c>
      <c r="DM738" t="s">
        <v>3</v>
      </c>
      <c r="DN738">
        <v>0</v>
      </c>
      <c r="DO738">
        <v>0</v>
      </c>
      <c r="DP738">
        <v>1</v>
      </c>
      <c r="DQ738">
        <v>1</v>
      </c>
      <c r="DU738">
        <v>16987630</v>
      </c>
      <c r="DV738" t="s">
        <v>20</v>
      </c>
      <c r="DW738" t="s">
        <v>20</v>
      </c>
      <c r="DX738">
        <v>1</v>
      </c>
      <c r="DZ738" t="s">
        <v>3</v>
      </c>
      <c r="EA738" t="s">
        <v>3</v>
      </c>
      <c r="EB738" t="s">
        <v>3</v>
      </c>
      <c r="EC738" t="s">
        <v>3</v>
      </c>
      <c r="EE738">
        <v>1441815344</v>
      </c>
      <c r="EF738">
        <v>1</v>
      </c>
      <c r="EG738" t="s">
        <v>22</v>
      </c>
      <c r="EH738">
        <v>0</v>
      </c>
      <c r="EI738" t="s">
        <v>3</v>
      </c>
      <c r="EJ738">
        <v>4</v>
      </c>
      <c r="EK738">
        <v>0</v>
      </c>
      <c r="EL738" t="s">
        <v>23</v>
      </c>
      <c r="EM738" t="s">
        <v>24</v>
      </c>
      <c r="EO738" t="s">
        <v>3</v>
      </c>
      <c r="EQ738">
        <v>1024</v>
      </c>
      <c r="ER738">
        <v>133.62</v>
      </c>
      <c r="ES738">
        <v>0.9</v>
      </c>
      <c r="ET738">
        <v>0</v>
      </c>
      <c r="EU738">
        <v>0</v>
      </c>
      <c r="EV738">
        <v>132.72</v>
      </c>
      <c r="EW738">
        <v>0.2</v>
      </c>
      <c r="EX738">
        <v>0</v>
      </c>
      <c r="EY738">
        <v>0</v>
      </c>
      <c r="FQ738">
        <v>0</v>
      </c>
      <c r="FR738">
        <f t="shared" si="681"/>
        <v>0</v>
      </c>
      <c r="FS738">
        <v>0</v>
      </c>
      <c r="FX738">
        <v>70</v>
      </c>
      <c r="FY738">
        <v>10</v>
      </c>
      <c r="GA738" t="s">
        <v>3</v>
      </c>
      <c r="GD738">
        <v>0</v>
      </c>
      <c r="GF738">
        <v>-1028445436</v>
      </c>
      <c r="GG738">
        <v>2</v>
      </c>
      <c r="GH738">
        <v>1</v>
      </c>
      <c r="GI738">
        <v>-2</v>
      </c>
      <c r="GJ738">
        <v>0</v>
      </c>
      <c r="GK738">
        <f>ROUND(R738*(R12)/100,2)</f>
        <v>0</v>
      </c>
      <c r="GL738">
        <f t="shared" si="682"/>
        <v>0</v>
      </c>
      <c r="GM738">
        <f t="shared" si="683"/>
        <v>11510.21</v>
      </c>
      <c r="GN738">
        <f t="shared" si="684"/>
        <v>0</v>
      </c>
      <c r="GO738">
        <f t="shared" si="685"/>
        <v>0</v>
      </c>
      <c r="GP738">
        <f t="shared" si="686"/>
        <v>11510.21</v>
      </c>
      <c r="GR738">
        <v>0</v>
      </c>
      <c r="GS738">
        <v>3</v>
      </c>
      <c r="GT738">
        <v>0</v>
      </c>
      <c r="GU738" t="s">
        <v>3</v>
      </c>
      <c r="GV738">
        <f t="shared" si="687"/>
        <v>0</v>
      </c>
      <c r="GW738">
        <v>1</v>
      </c>
      <c r="GX738">
        <f t="shared" si="688"/>
        <v>0</v>
      </c>
      <c r="HA738">
        <v>0</v>
      </c>
      <c r="HB738">
        <v>0</v>
      </c>
      <c r="HC738">
        <f t="shared" si="689"/>
        <v>0</v>
      </c>
      <c r="HE738" t="s">
        <v>3</v>
      </c>
      <c r="HF738" t="s">
        <v>3</v>
      </c>
      <c r="HM738" t="s">
        <v>3</v>
      </c>
      <c r="HN738" t="s">
        <v>3</v>
      </c>
      <c r="HO738" t="s">
        <v>3</v>
      </c>
      <c r="HP738" t="s">
        <v>3</v>
      </c>
      <c r="HQ738" t="s">
        <v>3</v>
      </c>
      <c r="IK738">
        <v>0</v>
      </c>
    </row>
    <row r="739" spans="1:245" x14ac:dyDescent="0.2">
      <c r="A739">
        <v>17</v>
      </c>
      <c r="B739">
        <v>1</v>
      </c>
      <c r="D739">
        <f>ROW(EtalonRes!A607)</f>
        <v>607</v>
      </c>
      <c r="E739" t="s">
        <v>585</v>
      </c>
      <c r="F739" t="s">
        <v>586</v>
      </c>
      <c r="G739" t="s">
        <v>587</v>
      </c>
      <c r="H739" t="s">
        <v>20</v>
      </c>
      <c r="I739">
        <f>ROUND(1+1,9)</f>
        <v>2</v>
      </c>
      <c r="J739">
        <v>0</v>
      </c>
      <c r="K739">
        <f>ROUND(1+1,9)</f>
        <v>2</v>
      </c>
      <c r="O739">
        <f t="shared" si="657"/>
        <v>237.48</v>
      </c>
      <c r="P739">
        <f t="shared" si="658"/>
        <v>12.6</v>
      </c>
      <c r="Q739">
        <f t="shared" si="659"/>
        <v>0</v>
      </c>
      <c r="R739">
        <f t="shared" si="660"/>
        <v>0</v>
      </c>
      <c r="S739">
        <f t="shared" si="661"/>
        <v>224.88</v>
      </c>
      <c r="T739">
        <f t="shared" si="662"/>
        <v>0</v>
      </c>
      <c r="U739">
        <f t="shared" si="663"/>
        <v>0.4</v>
      </c>
      <c r="V739">
        <f t="shared" si="664"/>
        <v>0</v>
      </c>
      <c r="W739">
        <f t="shared" si="665"/>
        <v>0</v>
      </c>
      <c r="X739">
        <f t="shared" si="666"/>
        <v>157.41999999999999</v>
      </c>
      <c r="Y739">
        <f t="shared" si="667"/>
        <v>22.49</v>
      </c>
      <c r="AA739">
        <v>1472506909</v>
      </c>
      <c r="AB739">
        <f t="shared" si="668"/>
        <v>118.74</v>
      </c>
      <c r="AC739">
        <f>ROUND((ES739),6)</f>
        <v>6.3</v>
      </c>
      <c r="AD739">
        <f>ROUND((((ET739)-(EU739))+AE739),6)</f>
        <v>0</v>
      </c>
      <c r="AE739">
        <f>ROUND((EU739),6)</f>
        <v>0</v>
      </c>
      <c r="AF739">
        <f>ROUND((EV739),6)</f>
        <v>112.44</v>
      </c>
      <c r="AG739">
        <f t="shared" si="669"/>
        <v>0</v>
      </c>
      <c r="AH739">
        <f>(EW739)</f>
        <v>0.2</v>
      </c>
      <c r="AI739">
        <f>(EX739)</f>
        <v>0</v>
      </c>
      <c r="AJ739">
        <f t="shared" si="670"/>
        <v>0</v>
      </c>
      <c r="AK739">
        <v>118.74</v>
      </c>
      <c r="AL739">
        <v>6.3</v>
      </c>
      <c r="AM739">
        <v>0</v>
      </c>
      <c r="AN739">
        <v>0</v>
      </c>
      <c r="AO739">
        <v>112.44</v>
      </c>
      <c r="AP739">
        <v>0</v>
      </c>
      <c r="AQ739">
        <v>0.2</v>
      </c>
      <c r="AR739">
        <v>0</v>
      </c>
      <c r="AS739">
        <v>0</v>
      </c>
      <c r="AT739">
        <v>70</v>
      </c>
      <c r="AU739">
        <v>10</v>
      </c>
      <c r="AV739">
        <v>1</v>
      </c>
      <c r="AW739">
        <v>1</v>
      </c>
      <c r="AZ739">
        <v>1</v>
      </c>
      <c r="BA739">
        <v>1</v>
      </c>
      <c r="BB739">
        <v>1</v>
      </c>
      <c r="BC739">
        <v>1</v>
      </c>
      <c r="BD739" t="s">
        <v>3</v>
      </c>
      <c r="BE739" t="s">
        <v>3</v>
      </c>
      <c r="BF739" t="s">
        <v>3</v>
      </c>
      <c r="BG739" t="s">
        <v>3</v>
      </c>
      <c r="BH739">
        <v>0</v>
      </c>
      <c r="BI739">
        <v>4</v>
      </c>
      <c r="BJ739" t="s">
        <v>588</v>
      </c>
      <c r="BM739">
        <v>0</v>
      </c>
      <c r="BN739">
        <v>0</v>
      </c>
      <c r="BO739" t="s">
        <v>3</v>
      </c>
      <c r="BP739">
        <v>0</v>
      </c>
      <c r="BQ739">
        <v>1</v>
      </c>
      <c r="BR739">
        <v>0</v>
      </c>
      <c r="BS739">
        <v>1</v>
      </c>
      <c r="BT739">
        <v>1</v>
      </c>
      <c r="BU739">
        <v>1</v>
      </c>
      <c r="BV739">
        <v>1</v>
      </c>
      <c r="BW739">
        <v>1</v>
      </c>
      <c r="BX739">
        <v>1</v>
      </c>
      <c r="BY739" t="s">
        <v>3</v>
      </c>
      <c r="BZ739">
        <v>70</v>
      </c>
      <c r="CA739">
        <v>10</v>
      </c>
      <c r="CB739" t="s">
        <v>3</v>
      </c>
      <c r="CE739">
        <v>0</v>
      </c>
      <c r="CF739">
        <v>0</v>
      </c>
      <c r="CG739">
        <v>0</v>
      </c>
      <c r="CM739">
        <v>0</v>
      </c>
      <c r="CN739" t="s">
        <v>3</v>
      </c>
      <c r="CO739">
        <v>0</v>
      </c>
      <c r="CP739">
        <f t="shared" si="671"/>
        <v>237.48</v>
      </c>
      <c r="CQ739">
        <f t="shared" si="672"/>
        <v>6.3</v>
      </c>
      <c r="CR739">
        <f>((((ET739)*BB739-(EU739)*BS739)+AE739*BS739)*AV739)</f>
        <v>0</v>
      </c>
      <c r="CS739">
        <f t="shared" si="673"/>
        <v>0</v>
      </c>
      <c r="CT739">
        <f t="shared" si="674"/>
        <v>112.44</v>
      </c>
      <c r="CU739">
        <f t="shared" si="675"/>
        <v>0</v>
      </c>
      <c r="CV739">
        <f t="shared" si="676"/>
        <v>0.2</v>
      </c>
      <c r="CW739">
        <f t="shared" si="677"/>
        <v>0</v>
      </c>
      <c r="CX739">
        <f t="shared" si="678"/>
        <v>0</v>
      </c>
      <c r="CY739">
        <f t="shared" si="679"/>
        <v>157.416</v>
      </c>
      <c r="CZ739">
        <f t="shared" si="680"/>
        <v>22.488000000000003</v>
      </c>
      <c r="DC739" t="s">
        <v>3</v>
      </c>
      <c r="DD739" t="s">
        <v>3</v>
      </c>
      <c r="DE739" t="s">
        <v>3</v>
      </c>
      <c r="DF739" t="s">
        <v>3</v>
      </c>
      <c r="DG739" t="s">
        <v>3</v>
      </c>
      <c r="DH739" t="s">
        <v>3</v>
      </c>
      <c r="DI739" t="s">
        <v>3</v>
      </c>
      <c r="DJ739" t="s">
        <v>3</v>
      </c>
      <c r="DK739" t="s">
        <v>3</v>
      </c>
      <c r="DL739" t="s">
        <v>3</v>
      </c>
      <c r="DM739" t="s">
        <v>3</v>
      </c>
      <c r="DN739">
        <v>0</v>
      </c>
      <c r="DO739">
        <v>0</v>
      </c>
      <c r="DP739">
        <v>1</v>
      </c>
      <c r="DQ739">
        <v>1</v>
      </c>
      <c r="DU739">
        <v>16987630</v>
      </c>
      <c r="DV739" t="s">
        <v>20</v>
      </c>
      <c r="DW739" t="s">
        <v>20</v>
      </c>
      <c r="DX739">
        <v>1</v>
      </c>
      <c r="DZ739" t="s">
        <v>3</v>
      </c>
      <c r="EA739" t="s">
        <v>3</v>
      </c>
      <c r="EB739" t="s">
        <v>3</v>
      </c>
      <c r="EC739" t="s">
        <v>3</v>
      </c>
      <c r="EE739">
        <v>1441815344</v>
      </c>
      <c r="EF739">
        <v>1</v>
      </c>
      <c r="EG739" t="s">
        <v>22</v>
      </c>
      <c r="EH739">
        <v>0</v>
      </c>
      <c r="EI739" t="s">
        <v>3</v>
      </c>
      <c r="EJ739">
        <v>4</v>
      </c>
      <c r="EK739">
        <v>0</v>
      </c>
      <c r="EL739" t="s">
        <v>23</v>
      </c>
      <c r="EM739" t="s">
        <v>24</v>
      </c>
      <c r="EO739" t="s">
        <v>3</v>
      </c>
      <c r="EQ739">
        <v>0</v>
      </c>
      <c r="ER739">
        <v>118.74</v>
      </c>
      <c r="ES739">
        <v>6.3</v>
      </c>
      <c r="ET739">
        <v>0</v>
      </c>
      <c r="EU739">
        <v>0</v>
      </c>
      <c r="EV739">
        <v>112.44</v>
      </c>
      <c r="EW739">
        <v>0.2</v>
      </c>
      <c r="EX739">
        <v>0</v>
      </c>
      <c r="EY739">
        <v>0</v>
      </c>
      <c r="FQ739">
        <v>0</v>
      </c>
      <c r="FR739">
        <f t="shared" si="681"/>
        <v>0</v>
      </c>
      <c r="FS739">
        <v>0</v>
      </c>
      <c r="FX739">
        <v>70</v>
      </c>
      <c r="FY739">
        <v>10</v>
      </c>
      <c r="GA739" t="s">
        <v>3</v>
      </c>
      <c r="GD739">
        <v>0</v>
      </c>
      <c r="GF739">
        <v>-792164964</v>
      </c>
      <c r="GG739">
        <v>2</v>
      </c>
      <c r="GH739">
        <v>1</v>
      </c>
      <c r="GI739">
        <v>-2</v>
      </c>
      <c r="GJ739">
        <v>0</v>
      </c>
      <c r="GK739">
        <f>ROUND(R739*(R12)/100,2)</f>
        <v>0</v>
      </c>
      <c r="GL739">
        <f t="shared" si="682"/>
        <v>0</v>
      </c>
      <c r="GM739">
        <f t="shared" si="683"/>
        <v>417.39</v>
      </c>
      <c r="GN739">
        <f t="shared" si="684"/>
        <v>0</v>
      </c>
      <c r="GO739">
        <f t="shared" si="685"/>
        <v>0</v>
      </c>
      <c r="GP739">
        <f t="shared" si="686"/>
        <v>417.39</v>
      </c>
      <c r="GR739">
        <v>0</v>
      </c>
      <c r="GS739">
        <v>3</v>
      </c>
      <c r="GT739">
        <v>0</v>
      </c>
      <c r="GU739" t="s">
        <v>3</v>
      </c>
      <c r="GV739">
        <f t="shared" si="687"/>
        <v>0</v>
      </c>
      <c r="GW739">
        <v>1</v>
      </c>
      <c r="GX739">
        <f t="shared" si="688"/>
        <v>0</v>
      </c>
      <c r="HA739">
        <v>0</v>
      </c>
      <c r="HB739">
        <v>0</v>
      </c>
      <c r="HC739">
        <f t="shared" si="689"/>
        <v>0</v>
      </c>
      <c r="HE739" t="s">
        <v>3</v>
      </c>
      <c r="HF739" t="s">
        <v>3</v>
      </c>
      <c r="HM739" t="s">
        <v>3</v>
      </c>
      <c r="HN739" t="s">
        <v>3</v>
      </c>
      <c r="HO739" t="s">
        <v>3</v>
      </c>
      <c r="HP739" t="s">
        <v>3</v>
      </c>
      <c r="HQ739" t="s">
        <v>3</v>
      </c>
      <c r="IK739">
        <v>0</v>
      </c>
    </row>
    <row r="740" spans="1:245" x14ac:dyDescent="0.2">
      <c r="A740">
        <v>17</v>
      </c>
      <c r="B740">
        <v>1</v>
      </c>
      <c r="D740">
        <f>ROW(EtalonRes!A608)</f>
        <v>608</v>
      </c>
      <c r="E740" t="s">
        <v>3</v>
      </c>
      <c r="F740" t="s">
        <v>589</v>
      </c>
      <c r="G740" t="s">
        <v>590</v>
      </c>
      <c r="H740" t="s">
        <v>94</v>
      </c>
      <c r="I740">
        <f>ROUND(ROUND((1+1)/10,9),9)</f>
        <v>0.2</v>
      </c>
      <c r="J740">
        <v>0</v>
      </c>
      <c r="K740">
        <f>ROUND(ROUND((1+1)/10,9),9)</f>
        <v>0.2</v>
      </c>
      <c r="O740">
        <f t="shared" si="657"/>
        <v>6500.85</v>
      </c>
      <c r="P740">
        <f t="shared" si="658"/>
        <v>0</v>
      </c>
      <c r="Q740">
        <f t="shared" si="659"/>
        <v>0</v>
      </c>
      <c r="R740">
        <f t="shared" si="660"/>
        <v>0</v>
      </c>
      <c r="S740">
        <f t="shared" si="661"/>
        <v>6500.85</v>
      </c>
      <c r="T740">
        <f t="shared" si="662"/>
        <v>0</v>
      </c>
      <c r="U740">
        <f t="shared" si="663"/>
        <v>12.826000000000002</v>
      </c>
      <c r="V740">
        <f t="shared" si="664"/>
        <v>0</v>
      </c>
      <c r="W740">
        <f t="shared" si="665"/>
        <v>0</v>
      </c>
      <c r="X740">
        <f t="shared" si="666"/>
        <v>4550.6000000000004</v>
      </c>
      <c r="Y740">
        <f t="shared" si="667"/>
        <v>650.09</v>
      </c>
      <c r="AA740">
        <v>-1</v>
      </c>
      <c r="AB740">
        <f t="shared" si="668"/>
        <v>32504.23</v>
      </c>
      <c r="AC740">
        <f>ROUND(((ES740*121)),6)</f>
        <v>0</v>
      </c>
      <c r="AD740">
        <f>ROUND(((((ET740*121))-((EU740*121)))+AE740),6)</f>
        <v>0</v>
      </c>
      <c r="AE740">
        <f>ROUND(((EU740*121)),6)</f>
        <v>0</v>
      </c>
      <c r="AF740">
        <f>ROUND(((EV740*121)),6)</f>
        <v>32504.23</v>
      </c>
      <c r="AG740">
        <f t="shared" si="669"/>
        <v>0</v>
      </c>
      <c r="AH740">
        <f>((EW740*121))</f>
        <v>64.13000000000001</v>
      </c>
      <c r="AI740">
        <f>((EX740*121))</f>
        <v>0</v>
      </c>
      <c r="AJ740">
        <f t="shared" si="670"/>
        <v>0</v>
      </c>
      <c r="AK740">
        <v>268.63</v>
      </c>
      <c r="AL740">
        <v>0</v>
      </c>
      <c r="AM740">
        <v>0</v>
      </c>
      <c r="AN740">
        <v>0</v>
      </c>
      <c r="AO740">
        <v>268.63</v>
      </c>
      <c r="AP740">
        <v>0</v>
      </c>
      <c r="AQ740">
        <v>0.53</v>
      </c>
      <c r="AR740">
        <v>0</v>
      </c>
      <c r="AS740">
        <v>0</v>
      </c>
      <c r="AT740">
        <v>70</v>
      </c>
      <c r="AU740">
        <v>10</v>
      </c>
      <c r="AV740">
        <v>1</v>
      </c>
      <c r="AW740">
        <v>1</v>
      </c>
      <c r="AZ740">
        <v>1</v>
      </c>
      <c r="BA740">
        <v>1</v>
      </c>
      <c r="BB740">
        <v>1</v>
      </c>
      <c r="BC740">
        <v>1</v>
      </c>
      <c r="BD740" t="s">
        <v>3</v>
      </c>
      <c r="BE740" t="s">
        <v>3</v>
      </c>
      <c r="BF740" t="s">
        <v>3</v>
      </c>
      <c r="BG740" t="s">
        <v>3</v>
      </c>
      <c r="BH740">
        <v>0</v>
      </c>
      <c r="BI740">
        <v>4</v>
      </c>
      <c r="BJ740" t="s">
        <v>591</v>
      </c>
      <c r="BM740">
        <v>0</v>
      </c>
      <c r="BN740">
        <v>0</v>
      </c>
      <c r="BO740" t="s">
        <v>3</v>
      </c>
      <c r="BP740">
        <v>0</v>
      </c>
      <c r="BQ740">
        <v>1</v>
      </c>
      <c r="BR740">
        <v>0</v>
      </c>
      <c r="BS740">
        <v>1</v>
      </c>
      <c r="BT740">
        <v>1</v>
      </c>
      <c r="BU740">
        <v>1</v>
      </c>
      <c r="BV740">
        <v>1</v>
      </c>
      <c r="BW740">
        <v>1</v>
      </c>
      <c r="BX740">
        <v>1</v>
      </c>
      <c r="BY740" t="s">
        <v>3</v>
      </c>
      <c r="BZ740">
        <v>70</v>
      </c>
      <c r="CA740">
        <v>10</v>
      </c>
      <c r="CB740" t="s">
        <v>3</v>
      </c>
      <c r="CE740">
        <v>0</v>
      </c>
      <c r="CF740">
        <v>0</v>
      </c>
      <c r="CG740">
        <v>0</v>
      </c>
      <c r="CM740">
        <v>0</v>
      </c>
      <c r="CN740" t="s">
        <v>3</v>
      </c>
      <c r="CO740">
        <v>0</v>
      </c>
      <c r="CP740">
        <f t="shared" si="671"/>
        <v>6500.85</v>
      </c>
      <c r="CQ740">
        <f t="shared" si="672"/>
        <v>0</v>
      </c>
      <c r="CR740">
        <f>(((((ET740*121))*BB740-((EU740*121))*BS740)+AE740*BS740)*AV740)</f>
        <v>0</v>
      </c>
      <c r="CS740">
        <f t="shared" si="673"/>
        <v>0</v>
      </c>
      <c r="CT740">
        <f t="shared" si="674"/>
        <v>32504.23</v>
      </c>
      <c r="CU740">
        <f t="shared" si="675"/>
        <v>0</v>
      </c>
      <c r="CV740">
        <f t="shared" si="676"/>
        <v>64.13000000000001</v>
      </c>
      <c r="CW740">
        <f t="shared" si="677"/>
        <v>0</v>
      </c>
      <c r="CX740">
        <f t="shared" si="678"/>
        <v>0</v>
      </c>
      <c r="CY740">
        <f t="shared" si="679"/>
        <v>4550.5950000000003</v>
      </c>
      <c r="CZ740">
        <f t="shared" si="680"/>
        <v>650.08500000000004</v>
      </c>
      <c r="DC740" t="s">
        <v>3</v>
      </c>
      <c r="DD740" t="s">
        <v>592</v>
      </c>
      <c r="DE740" t="s">
        <v>592</v>
      </c>
      <c r="DF740" t="s">
        <v>592</v>
      </c>
      <c r="DG740" t="s">
        <v>592</v>
      </c>
      <c r="DH740" t="s">
        <v>3</v>
      </c>
      <c r="DI740" t="s">
        <v>592</v>
      </c>
      <c r="DJ740" t="s">
        <v>592</v>
      </c>
      <c r="DK740" t="s">
        <v>3</v>
      </c>
      <c r="DL740" t="s">
        <v>3</v>
      </c>
      <c r="DM740" t="s">
        <v>3</v>
      </c>
      <c r="DN740">
        <v>0</v>
      </c>
      <c r="DO740">
        <v>0</v>
      </c>
      <c r="DP740">
        <v>1</v>
      </c>
      <c r="DQ740">
        <v>1</v>
      </c>
      <c r="DU740">
        <v>16987630</v>
      </c>
      <c r="DV740" t="s">
        <v>94</v>
      </c>
      <c r="DW740" t="s">
        <v>94</v>
      </c>
      <c r="DX740">
        <v>10</v>
      </c>
      <c r="DZ740" t="s">
        <v>3</v>
      </c>
      <c r="EA740" t="s">
        <v>3</v>
      </c>
      <c r="EB740" t="s">
        <v>3</v>
      </c>
      <c r="EC740" t="s">
        <v>3</v>
      </c>
      <c r="EE740">
        <v>1441815344</v>
      </c>
      <c r="EF740">
        <v>1</v>
      </c>
      <c r="EG740" t="s">
        <v>22</v>
      </c>
      <c r="EH740">
        <v>0</v>
      </c>
      <c r="EI740" t="s">
        <v>3</v>
      </c>
      <c r="EJ740">
        <v>4</v>
      </c>
      <c r="EK740">
        <v>0</v>
      </c>
      <c r="EL740" t="s">
        <v>23</v>
      </c>
      <c r="EM740" t="s">
        <v>24</v>
      </c>
      <c r="EO740" t="s">
        <v>3</v>
      </c>
      <c r="EQ740">
        <v>1024</v>
      </c>
      <c r="ER740">
        <v>268.63</v>
      </c>
      <c r="ES740">
        <v>0</v>
      </c>
      <c r="ET740">
        <v>0</v>
      </c>
      <c r="EU740">
        <v>0</v>
      </c>
      <c r="EV740">
        <v>268.63</v>
      </c>
      <c r="EW740">
        <v>0.53</v>
      </c>
      <c r="EX740">
        <v>0</v>
      </c>
      <c r="EY740">
        <v>0</v>
      </c>
      <c r="FQ740">
        <v>0</v>
      </c>
      <c r="FR740">
        <f t="shared" si="681"/>
        <v>0</v>
      </c>
      <c r="FS740">
        <v>0</v>
      </c>
      <c r="FX740">
        <v>70</v>
      </c>
      <c r="FY740">
        <v>10</v>
      </c>
      <c r="GA740" t="s">
        <v>3</v>
      </c>
      <c r="GD740">
        <v>0</v>
      </c>
      <c r="GF740">
        <v>62561816</v>
      </c>
      <c r="GG740">
        <v>2</v>
      </c>
      <c r="GH740">
        <v>1</v>
      </c>
      <c r="GI740">
        <v>-2</v>
      </c>
      <c r="GJ740">
        <v>0</v>
      </c>
      <c r="GK740">
        <f>ROUND(R740*(R12)/100,2)</f>
        <v>0</v>
      </c>
      <c r="GL740">
        <f t="shared" si="682"/>
        <v>0</v>
      </c>
      <c r="GM740">
        <f t="shared" si="683"/>
        <v>11701.54</v>
      </c>
      <c r="GN740">
        <f t="shared" si="684"/>
        <v>0</v>
      </c>
      <c r="GO740">
        <f t="shared" si="685"/>
        <v>0</v>
      </c>
      <c r="GP740">
        <f t="shared" si="686"/>
        <v>11701.54</v>
      </c>
      <c r="GR740">
        <v>0</v>
      </c>
      <c r="GS740">
        <v>3</v>
      </c>
      <c r="GT740">
        <v>0</v>
      </c>
      <c r="GU740" t="s">
        <v>3</v>
      </c>
      <c r="GV740">
        <f t="shared" si="687"/>
        <v>0</v>
      </c>
      <c r="GW740">
        <v>1</v>
      </c>
      <c r="GX740">
        <f t="shared" si="688"/>
        <v>0</v>
      </c>
      <c r="HA740">
        <v>0</v>
      </c>
      <c r="HB740">
        <v>0</v>
      </c>
      <c r="HC740">
        <f t="shared" si="689"/>
        <v>0</v>
      </c>
      <c r="HE740" t="s">
        <v>3</v>
      </c>
      <c r="HF740" t="s">
        <v>3</v>
      </c>
      <c r="HM740" t="s">
        <v>3</v>
      </c>
      <c r="HN740" t="s">
        <v>3</v>
      </c>
      <c r="HO740" t="s">
        <v>3</v>
      </c>
      <c r="HP740" t="s">
        <v>3</v>
      </c>
      <c r="HQ740" t="s">
        <v>3</v>
      </c>
      <c r="IK740">
        <v>0</v>
      </c>
    </row>
    <row r="741" spans="1:245" x14ac:dyDescent="0.2">
      <c r="A741">
        <v>17</v>
      </c>
      <c r="B741">
        <v>1</v>
      </c>
      <c r="D741">
        <f>ROW(EtalonRes!A613)</f>
        <v>613</v>
      </c>
      <c r="E741" t="s">
        <v>593</v>
      </c>
      <c r="F741" t="s">
        <v>594</v>
      </c>
      <c r="G741" t="s">
        <v>595</v>
      </c>
      <c r="H741" t="s">
        <v>20</v>
      </c>
      <c r="I741">
        <v>1</v>
      </c>
      <c r="J741">
        <v>0</v>
      </c>
      <c r="K741">
        <v>1</v>
      </c>
      <c r="O741">
        <f t="shared" si="657"/>
        <v>11268.96</v>
      </c>
      <c r="P741">
        <f t="shared" si="658"/>
        <v>154.13999999999999</v>
      </c>
      <c r="Q741">
        <f t="shared" si="659"/>
        <v>0</v>
      </c>
      <c r="R741">
        <f t="shared" si="660"/>
        <v>0</v>
      </c>
      <c r="S741">
        <f t="shared" si="661"/>
        <v>11114.82</v>
      </c>
      <c r="T741">
        <f t="shared" si="662"/>
        <v>0</v>
      </c>
      <c r="U741">
        <f t="shared" si="663"/>
        <v>18</v>
      </c>
      <c r="V741">
        <f t="shared" si="664"/>
        <v>0</v>
      </c>
      <c r="W741">
        <f t="shared" si="665"/>
        <v>0</v>
      </c>
      <c r="X741">
        <f t="shared" si="666"/>
        <v>7780.37</v>
      </c>
      <c r="Y741">
        <f t="shared" si="667"/>
        <v>1111.48</v>
      </c>
      <c r="AA741">
        <v>1472506909</v>
      </c>
      <c r="AB741">
        <f t="shared" si="668"/>
        <v>11268.96</v>
      </c>
      <c r="AC741">
        <f>ROUND((ES741),6)</f>
        <v>154.13999999999999</v>
      </c>
      <c r="AD741">
        <f>ROUND((((ET741)-(EU741))+AE741),6)</f>
        <v>0</v>
      </c>
      <c r="AE741">
        <f>ROUND((EU741),6)</f>
        <v>0</v>
      </c>
      <c r="AF741">
        <f>ROUND((EV741),6)</f>
        <v>11114.82</v>
      </c>
      <c r="AG741">
        <f t="shared" si="669"/>
        <v>0</v>
      </c>
      <c r="AH741">
        <f>(EW741)</f>
        <v>18</v>
      </c>
      <c r="AI741">
        <f>(EX741)</f>
        <v>0</v>
      </c>
      <c r="AJ741">
        <f t="shared" si="670"/>
        <v>0</v>
      </c>
      <c r="AK741">
        <v>11268.96</v>
      </c>
      <c r="AL741">
        <v>154.13999999999999</v>
      </c>
      <c r="AM741">
        <v>0</v>
      </c>
      <c r="AN741">
        <v>0</v>
      </c>
      <c r="AO741">
        <v>11114.82</v>
      </c>
      <c r="AP741">
        <v>0</v>
      </c>
      <c r="AQ741">
        <v>18</v>
      </c>
      <c r="AR741">
        <v>0</v>
      </c>
      <c r="AS741">
        <v>0</v>
      </c>
      <c r="AT741">
        <v>70</v>
      </c>
      <c r="AU741">
        <v>10</v>
      </c>
      <c r="AV741">
        <v>1</v>
      </c>
      <c r="AW741">
        <v>1</v>
      </c>
      <c r="AZ741">
        <v>1</v>
      </c>
      <c r="BA741">
        <v>1</v>
      </c>
      <c r="BB741">
        <v>1</v>
      </c>
      <c r="BC741">
        <v>1</v>
      </c>
      <c r="BD741" t="s">
        <v>3</v>
      </c>
      <c r="BE741" t="s">
        <v>3</v>
      </c>
      <c r="BF741" t="s">
        <v>3</v>
      </c>
      <c r="BG741" t="s">
        <v>3</v>
      </c>
      <c r="BH741">
        <v>0</v>
      </c>
      <c r="BI741">
        <v>4</v>
      </c>
      <c r="BJ741" t="s">
        <v>596</v>
      </c>
      <c r="BM741">
        <v>0</v>
      </c>
      <c r="BN741">
        <v>0</v>
      </c>
      <c r="BO741" t="s">
        <v>3</v>
      </c>
      <c r="BP741">
        <v>0</v>
      </c>
      <c r="BQ741">
        <v>1</v>
      </c>
      <c r="BR741">
        <v>0</v>
      </c>
      <c r="BS741">
        <v>1</v>
      </c>
      <c r="BT741">
        <v>1</v>
      </c>
      <c r="BU741">
        <v>1</v>
      </c>
      <c r="BV741">
        <v>1</v>
      </c>
      <c r="BW741">
        <v>1</v>
      </c>
      <c r="BX741">
        <v>1</v>
      </c>
      <c r="BY741" t="s">
        <v>3</v>
      </c>
      <c r="BZ741">
        <v>70</v>
      </c>
      <c r="CA741">
        <v>10</v>
      </c>
      <c r="CB741" t="s">
        <v>3</v>
      </c>
      <c r="CE741">
        <v>0</v>
      </c>
      <c r="CF741">
        <v>0</v>
      </c>
      <c r="CG741">
        <v>0</v>
      </c>
      <c r="CM741">
        <v>0</v>
      </c>
      <c r="CN741" t="s">
        <v>3</v>
      </c>
      <c r="CO741">
        <v>0</v>
      </c>
      <c r="CP741">
        <f t="shared" si="671"/>
        <v>11268.96</v>
      </c>
      <c r="CQ741">
        <f t="shared" si="672"/>
        <v>154.13999999999999</v>
      </c>
      <c r="CR741">
        <f>((((ET741)*BB741-(EU741)*BS741)+AE741*BS741)*AV741)</f>
        <v>0</v>
      </c>
      <c r="CS741">
        <f t="shared" si="673"/>
        <v>0</v>
      </c>
      <c r="CT741">
        <f t="shared" si="674"/>
        <v>11114.82</v>
      </c>
      <c r="CU741">
        <f t="shared" si="675"/>
        <v>0</v>
      </c>
      <c r="CV741">
        <f t="shared" si="676"/>
        <v>18</v>
      </c>
      <c r="CW741">
        <f t="shared" si="677"/>
        <v>0</v>
      </c>
      <c r="CX741">
        <f t="shared" si="678"/>
        <v>0</v>
      </c>
      <c r="CY741">
        <f t="shared" si="679"/>
        <v>7780.3739999999998</v>
      </c>
      <c r="CZ741">
        <f t="shared" si="680"/>
        <v>1111.482</v>
      </c>
      <c r="DC741" t="s">
        <v>3</v>
      </c>
      <c r="DD741" t="s">
        <v>3</v>
      </c>
      <c r="DE741" t="s">
        <v>3</v>
      </c>
      <c r="DF741" t="s">
        <v>3</v>
      </c>
      <c r="DG741" t="s">
        <v>3</v>
      </c>
      <c r="DH741" t="s">
        <v>3</v>
      </c>
      <c r="DI741" t="s">
        <v>3</v>
      </c>
      <c r="DJ741" t="s">
        <v>3</v>
      </c>
      <c r="DK741" t="s">
        <v>3</v>
      </c>
      <c r="DL741" t="s">
        <v>3</v>
      </c>
      <c r="DM741" t="s">
        <v>3</v>
      </c>
      <c r="DN741">
        <v>0</v>
      </c>
      <c r="DO741">
        <v>0</v>
      </c>
      <c r="DP741">
        <v>1</v>
      </c>
      <c r="DQ741">
        <v>1</v>
      </c>
      <c r="DU741">
        <v>16987630</v>
      </c>
      <c r="DV741" t="s">
        <v>20</v>
      </c>
      <c r="DW741" t="s">
        <v>20</v>
      </c>
      <c r="DX741">
        <v>1</v>
      </c>
      <c r="DZ741" t="s">
        <v>3</v>
      </c>
      <c r="EA741" t="s">
        <v>3</v>
      </c>
      <c r="EB741" t="s">
        <v>3</v>
      </c>
      <c r="EC741" t="s">
        <v>3</v>
      </c>
      <c r="EE741">
        <v>1441815344</v>
      </c>
      <c r="EF741">
        <v>1</v>
      </c>
      <c r="EG741" t="s">
        <v>22</v>
      </c>
      <c r="EH741">
        <v>0</v>
      </c>
      <c r="EI741" t="s">
        <v>3</v>
      </c>
      <c r="EJ741">
        <v>4</v>
      </c>
      <c r="EK741">
        <v>0</v>
      </c>
      <c r="EL741" t="s">
        <v>23</v>
      </c>
      <c r="EM741" t="s">
        <v>24</v>
      </c>
      <c r="EO741" t="s">
        <v>3</v>
      </c>
      <c r="EQ741">
        <v>0</v>
      </c>
      <c r="ER741">
        <v>11268.96</v>
      </c>
      <c r="ES741">
        <v>154.13999999999999</v>
      </c>
      <c r="ET741">
        <v>0</v>
      </c>
      <c r="EU741">
        <v>0</v>
      </c>
      <c r="EV741">
        <v>11114.82</v>
      </c>
      <c r="EW741">
        <v>18</v>
      </c>
      <c r="EX741">
        <v>0</v>
      </c>
      <c r="EY741">
        <v>0</v>
      </c>
      <c r="FQ741">
        <v>0</v>
      </c>
      <c r="FR741">
        <f t="shared" si="681"/>
        <v>0</v>
      </c>
      <c r="FS741">
        <v>0</v>
      </c>
      <c r="FX741">
        <v>70</v>
      </c>
      <c r="FY741">
        <v>10</v>
      </c>
      <c r="GA741" t="s">
        <v>3</v>
      </c>
      <c r="GD741">
        <v>0</v>
      </c>
      <c r="GF741">
        <v>-1602189192</v>
      </c>
      <c r="GG741">
        <v>2</v>
      </c>
      <c r="GH741">
        <v>1</v>
      </c>
      <c r="GI741">
        <v>-2</v>
      </c>
      <c r="GJ741">
        <v>0</v>
      </c>
      <c r="GK741">
        <f>ROUND(R741*(R12)/100,2)</f>
        <v>0</v>
      </c>
      <c r="GL741">
        <f t="shared" si="682"/>
        <v>0</v>
      </c>
      <c r="GM741">
        <f t="shared" si="683"/>
        <v>20160.810000000001</v>
      </c>
      <c r="GN741">
        <f t="shared" si="684"/>
        <v>0</v>
      </c>
      <c r="GO741">
        <f t="shared" si="685"/>
        <v>0</v>
      </c>
      <c r="GP741">
        <f t="shared" si="686"/>
        <v>20160.810000000001</v>
      </c>
      <c r="GR741">
        <v>0</v>
      </c>
      <c r="GS741">
        <v>3</v>
      </c>
      <c r="GT741">
        <v>0</v>
      </c>
      <c r="GU741" t="s">
        <v>3</v>
      </c>
      <c r="GV741">
        <f t="shared" si="687"/>
        <v>0</v>
      </c>
      <c r="GW741">
        <v>1</v>
      </c>
      <c r="GX741">
        <f t="shared" si="688"/>
        <v>0</v>
      </c>
      <c r="HA741">
        <v>0</v>
      </c>
      <c r="HB741">
        <v>0</v>
      </c>
      <c r="HC741">
        <f t="shared" si="689"/>
        <v>0</v>
      </c>
      <c r="HE741" t="s">
        <v>3</v>
      </c>
      <c r="HF741" t="s">
        <v>3</v>
      </c>
      <c r="HM741" t="s">
        <v>3</v>
      </c>
      <c r="HN741" t="s">
        <v>3</v>
      </c>
      <c r="HO741" t="s">
        <v>3</v>
      </c>
      <c r="HP741" t="s">
        <v>3</v>
      </c>
      <c r="HQ741" t="s">
        <v>3</v>
      </c>
      <c r="IK741">
        <v>0</v>
      </c>
    </row>
    <row r="742" spans="1:245" x14ac:dyDescent="0.2">
      <c r="A742">
        <v>17</v>
      </c>
      <c r="B742">
        <v>1</v>
      </c>
      <c r="D742">
        <f>ROW(EtalonRes!A615)</f>
        <v>615</v>
      </c>
      <c r="E742" t="s">
        <v>3</v>
      </c>
      <c r="F742" t="s">
        <v>597</v>
      </c>
      <c r="G742" t="s">
        <v>598</v>
      </c>
      <c r="H742" t="s">
        <v>20</v>
      </c>
      <c r="I742">
        <v>1</v>
      </c>
      <c r="J742">
        <v>0</v>
      </c>
      <c r="K742">
        <v>1</v>
      </c>
      <c r="O742">
        <f t="shared" si="657"/>
        <v>1113.69</v>
      </c>
      <c r="P742">
        <f t="shared" si="658"/>
        <v>2.2200000000000002</v>
      </c>
      <c r="Q742">
        <f t="shared" si="659"/>
        <v>0</v>
      </c>
      <c r="R742">
        <f t="shared" si="660"/>
        <v>0</v>
      </c>
      <c r="S742">
        <f t="shared" si="661"/>
        <v>1111.47</v>
      </c>
      <c r="T742">
        <f t="shared" si="662"/>
        <v>0</v>
      </c>
      <c r="U742">
        <f t="shared" si="663"/>
        <v>1.7999999999999998</v>
      </c>
      <c r="V742">
        <f t="shared" si="664"/>
        <v>0</v>
      </c>
      <c r="W742">
        <f t="shared" si="665"/>
        <v>0</v>
      </c>
      <c r="X742">
        <f t="shared" si="666"/>
        <v>778.03</v>
      </c>
      <c r="Y742">
        <f t="shared" si="667"/>
        <v>111.15</v>
      </c>
      <c r="AA742">
        <v>-1</v>
      </c>
      <c r="AB742">
        <f t="shared" si="668"/>
        <v>1113.69</v>
      </c>
      <c r="AC742">
        <f>ROUND(((ES742*3)),6)</f>
        <v>2.2200000000000002</v>
      </c>
      <c r="AD742">
        <f>ROUND(((((ET742*3))-((EU742*3)))+AE742),6)</f>
        <v>0</v>
      </c>
      <c r="AE742">
        <f>ROUND(((EU742*3)),6)</f>
        <v>0</v>
      </c>
      <c r="AF742">
        <f>ROUND(((EV742*3)),6)</f>
        <v>1111.47</v>
      </c>
      <c r="AG742">
        <f t="shared" si="669"/>
        <v>0</v>
      </c>
      <c r="AH742">
        <f>((EW742*3))</f>
        <v>1.7999999999999998</v>
      </c>
      <c r="AI742">
        <f>((EX742*3))</f>
        <v>0</v>
      </c>
      <c r="AJ742">
        <f t="shared" si="670"/>
        <v>0</v>
      </c>
      <c r="AK742">
        <v>371.23</v>
      </c>
      <c r="AL742">
        <v>0.74</v>
      </c>
      <c r="AM742">
        <v>0</v>
      </c>
      <c r="AN742">
        <v>0</v>
      </c>
      <c r="AO742">
        <v>370.49</v>
      </c>
      <c r="AP742">
        <v>0</v>
      </c>
      <c r="AQ742">
        <v>0.6</v>
      </c>
      <c r="AR742">
        <v>0</v>
      </c>
      <c r="AS742">
        <v>0</v>
      </c>
      <c r="AT742">
        <v>70</v>
      </c>
      <c r="AU742">
        <v>10</v>
      </c>
      <c r="AV742">
        <v>1</v>
      </c>
      <c r="AW742">
        <v>1</v>
      </c>
      <c r="AZ742">
        <v>1</v>
      </c>
      <c r="BA742">
        <v>1</v>
      </c>
      <c r="BB742">
        <v>1</v>
      </c>
      <c r="BC742">
        <v>1</v>
      </c>
      <c r="BD742" t="s">
        <v>3</v>
      </c>
      <c r="BE742" t="s">
        <v>3</v>
      </c>
      <c r="BF742" t="s">
        <v>3</v>
      </c>
      <c r="BG742" t="s">
        <v>3</v>
      </c>
      <c r="BH742">
        <v>0</v>
      </c>
      <c r="BI742">
        <v>4</v>
      </c>
      <c r="BJ742" t="s">
        <v>599</v>
      </c>
      <c r="BM742">
        <v>0</v>
      </c>
      <c r="BN742">
        <v>0</v>
      </c>
      <c r="BO742" t="s">
        <v>3</v>
      </c>
      <c r="BP742">
        <v>0</v>
      </c>
      <c r="BQ742">
        <v>1</v>
      </c>
      <c r="BR742">
        <v>0</v>
      </c>
      <c r="BS742">
        <v>1</v>
      </c>
      <c r="BT742">
        <v>1</v>
      </c>
      <c r="BU742">
        <v>1</v>
      </c>
      <c r="BV742">
        <v>1</v>
      </c>
      <c r="BW742">
        <v>1</v>
      </c>
      <c r="BX742">
        <v>1</v>
      </c>
      <c r="BY742" t="s">
        <v>3</v>
      </c>
      <c r="BZ742">
        <v>70</v>
      </c>
      <c r="CA742">
        <v>10</v>
      </c>
      <c r="CB742" t="s">
        <v>3</v>
      </c>
      <c r="CE742">
        <v>0</v>
      </c>
      <c r="CF742">
        <v>0</v>
      </c>
      <c r="CG742">
        <v>0</v>
      </c>
      <c r="CM742">
        <v>0</v>
      </c>
      <c r="CN742" t="s">
        <v>3</v>
      </c>
      <c r="CO742">
        <v>0</v>
      </c>
      <c r="CP742">
        <f t="shared" si="671"/>
        <v>1113.69</v>
      </c>
      <c r="CQ742">
        <f t="shared" si="672"/>
        <v>2.2200000000000002</v>
      </c>
      <c r="CR742">
        <f>(((((ET742*3))*BB742-((EU742*3))*BS742)+AE742*BS742)*AV742)</f>
        <v>0</v>
      </c>
      <c r="CS742">
        <f t="shared" si="673"/>
        <v>0</v>
      </c>
      <c r="CT742">
        <f t="shared" si="674"/>
        <v>1111.47</v>
      </c>
      <c r="CU742">
        <f t="shared" si="675"/>
        <v>0</v>
      </c>
      <c r="CV742">
        <f t="shared" si="676"/>
        <v>1.7999999999999998</v>
      </c>
      <c r="CW742">
        <f t="shared" si="677"/>
        <v>0</v>
      </c>
      <c r="CX742">
        <f t="shared" si="678"/>
        <v>0</v>
      </c>
      <c r="CY742">
        <f t="shared" si="679"/>
        <v>778.02900000000011</v>
      </c>
      <c r="CZ742">
        <f t="shared" si="680"/>
        <v>111.14700000000001</v>
      </c>
      <c r="DC742" t="s">
        <v>3</v>
      </c>
      <c r="DD742" t="s">
        <v>577</v>
      </c>
      <c r="DE742" t="s">
        <v>577</v>
      </c>
      <c r="DF742" t="s">
        <v>577</v>
      </c>
      <c r="DG742" t="s">
        <v>577</v>
      </c>
      <c r="DH742" t="s">
        <v>3</v>
      </c>
      <c r="DI742" t="s">
        <v>577</v>
      </c>
      <c r="DJ742" t="s">
        <v>577</v>
      </c>
      <c r="DK742" t="s">
        <v>3</v>
      </c>
      <c r="DL742" t="s">
        <v>3</v>
      </c>
      <c r="DM742" t="s">
        <v>3</v>
      </c>
      <c r="DN742">
        <v>0</v>
      </c>
      <c r="DO742">
        <v>0</v>
      </c>
      <c r="DP742">
        <v>1</v>
      </c>
      <c r="DQ742">
        <v>1</v>
      </c>
      <c r="DU742">
        <v>16987630</v>
      </c>
      <c r="DV742" t="s">
        <v>20</v>
      </c>
      <c r="DW742" t="s">
        <v>20</v>
      </c>
      <c r="DX742">
        <v>1</v>
      </c>
      <c r="DZ742" t="s">
        <v>3</v>
      </c>
      <c r="EA742" t="s">
        <v>3</v>
      </c>
      <c r="EB742" t="s">
        <v>3</v>
      </c>
      <c r="EC742" t="s">
        <v>3</v>
      </c>
      <c r="EE742">
        <v>1441815344</v>
      </c>
      <c r="EF742">
        <v>1</v>
      </c>
      <c r="EG742" t="s">
        <v>22</v>
      </c>
      <c r="EH742">
        <v>0</v>
      </c>
      <c r="EI742" t="s">
        <v>3</v>
      </c>
      <c r="EJ742">
        <v>4</v>
      </c>
      <c r="EK742">
        <v>0</v>
      </c>
      <c r="EL742" t="s">
        <v>23</v>
      </c>
      <c r="EM742" t="s">
        <v>24</v>
      </c>
      <c r="EO742" t="s">
        <v>3</v>
      </c>
      <c r="EQ742">
        <v>1024</v>
      </c>
      <c r="ER742">
        <v>371.23</v>
      </c>
      <c r="ES742">
        <v>0.74</v>
      </c>
      <c r="ET742">
        <v>0</v>
      </c>
      <c r="EU742">
        <v>0</v>
      </c>
      <c r="EV742">
        <v>370.49</v>
      </c>
      <c r="EW742">
        <v>0.6</v>
      </c>
      <c r="EX742">
        <v>0</v>
      </c>
      <c r="EY742">
        <v>0</v>
      </c>
      <c r="FQ742">
        <v>0</v>
      </c>
      <c r="FR742">
        <f t="shared" si="681"/>
        <v>0</v>
      </c>
      <c r="FS742">
        <v>0</v>
      </c>
      <c r="FX742">
        <v>70</v>
      </c>
      <c r="FY742">
        <v>10</v>
      </c>
      <c r="GA742" t="s">
        <v>3</v>
      </c>
      <c r="GD742">
        <v>0</v>
      </c>
      <c r="GF742">
        <v>-1534836832</v>
      </c>
      <c r="GG742">
        <v>2</v>
      </c>
      <c r="GH742">
        <v>1</v>
      </c>
      <c r="GI742">
        <v>-2</v>
      </c>
      <c r="GJ742">
        <v>0</v>
      </c>
      <c r="GK742">
        <f>ROUND(R742*(R12)/100,2)</f>
        <v>0</v>
      </c>
      <c r="GL742">
        <f t="shared" si="682"/>
        <v>0</v>
      </c>
      <c r="GM742">
        <f t="shared" si="683"/>
        <v>2002.87</v>
      </c>
      <c r="GN742">
        <f t="shared" si="684"/>
        <v>0</v>
      </c>
      <c r="GO742">
        <f t="shared" si="685"/>
        <v>0</v>
      </c>
      <c r="GP742">
        <f t="shared" si="686"/>
        <v>2002.87</v>
      </c>
      <c r="GR742">
        <v>0</v>
      </c>
      <c r="GS742">
        <v>3</v>
      </c>
      <c r="GT742">
        <v>0</v>
      </c>
      <c r="GU742" t="s">
        <v>3</v>
      </c>
      <c r="GV742">
        <f t="shared" si="687"/>
        <v>0</v>
      </c>
      <c r="GW742">
        <v>1</v>
      </c>
      <c r="GX742">
        <f t="shared" si="688"/>
        <v>0</v>
      </c>
      <c r="HA742">
        <v>0</v>
      </c>
      <c r="HB742">
        <v>0</v>
      </c>
      <c r="HC742">
        <f t="shared" si="689"/>
        <v>0</v>
      </c>
      <c r="HE742" t="s">
        <v>3</v>
      </c>
      <c r="HF742" t="s">
        <v>3</v>
      </c>
      <c r="HM742" t="s">
        <v>3</v>
      </c>
      <c r="HN742" t="s">
        <v>3</v>
      </c>
      <c r="HO742" t="s">
        <v>3</v>
      </c>
      <c r="HP742" t="s">
        <v>3</v>
      </c>
      <c r="HQ742" t="s">
        <v>3</v>
      </c>
      <c r="IK742">
        <v>0</v>
      </c>
    </row>
    <row r="743" spans="1:245" x14ac:dyDescent="0.2">
      <c r="A743">
        <v>17</v>
      </c>
      <c r="B743">
        <v>1</v>
      </c>
      <c r="D743">
        <f>ROW(EtalonRes!A620)</f>
        <v>620</v>
      </c>
      <c r="E743" t="s">
        <v>600</v>
      </c>
      <c r="F743" t="s">
        <v>601</v>
      </c>
      <c r="G743" t="s">
        <v>602</v>
      </c>
      <c r="H743" t="s">
        <v>20</v>
      </c>
      <c r="I743">
        <v>2</v>
      </c>
      <c r="J743">
        <v>0</v>
      </c>
      <c r="K743">
        <v>2</v>
      </c>
      <c r="O743">
        <f t="shared" si="657"/>
        <v>30050.58</v>
      </c>
      <c r="P743">
        <f t="shared" si="658"/>
        <v>411.06</v>
      </c>
      <c r="Q743">
        <f t="shared" si="659"/>
        <v>0</v>
      </c>
      <c r="R743">
        <f t="shared" si="660"/>
        <v>0</v>
      </c>
      <c r="S743">
        <f t="shared" si="661"/>
        <v>29639.52</v>
      </c>
      <c r="T743">
        <f t="shared" si="662"/>
        <v>0</v>
      </c>
      <c r="U743">
        <f t="shared" si="663"/>
        <v>48</v>
      </c>
      <c r="V743">
        <f t="shared" si="664"/>
        <v>0</v>
      </c>
      <c r="W743">
        <f t="shared" si="665"/>
        <v>0</v>
      </c>
      <c r="X743">
        <f t="shared" si="666"/>
        <v>20747.66</v>
      </c>
      <c r="Y743">
        <f t="shared" si="667"/>
        <v>2963.95</v>
      </c>
      <c r="AA743">
        <v>1472506909</v>
      </c>
      <c r="AB743">
        <f t="shared" si="668"/>
        <v>15025.29</v>
      </c>
      <c r="AC743">
        <f>ROUND((ES743),6)</f>
        <v>205.53</v>
      </c>
      <c r="AD743">
        <f>ROUND((((ET743)-(EU743))+AE743),6)</f>
        <v>0</v>
      </c>
      <c r="AE743">
        <f>ROUND((EU743),6)</f>
        <v>0</v>
      </c>
      <c r="AF743">
        <f>ROUND((EV743),6)</f>
        <v>14819.76</v>
      </c>
      <c r="AG743">
        <f t="shared" si="669"/>
        <v>0</v>
      </c>
      <c r="AH743">
        <f>(EW743)</f>
        <v>24</v>
      </c>
      <c r="AI743">
        <f>(EX743)</f>
        <v>0</v>
      </c>
      <c r="AJ743">
        <f t="shared" si="670"/>
        <v>0</v>
      </c>
      <c r="AK743">
        <v>15025.29</v>
      </c>
      <c r="AL743">
        <v>205.53</v>
      </c>
      <c r="AM743">
        <v>0</v>
      </c>
      <c r="AN743">
        <v>0</v>
      </c>
      <c r="AO743">
        <v>14819.76</v>
      </c>
      <c r="AP743">
        <v>0</v>
      </c>
      <c r="AQ743">
        <v>24</v>
      </c>
      <c r="AR743">
        <v>0</v>
      </c>
      <c r="AS743">
        <v>0</v>
      </c>
      <c r="AT743">
        <v>70</v>
      </c>
      <c r="AU743">
        <v>10</v>
      </c>
      <c r="AV743">
        <v>1</v>
      </c>
      <c r="AW743">
        <v>1</v>
      </c>
      <c r="AZ743">
        <v>1</v>
      </c>
      <c r="BA743">
        <v>1</v>
      </c>
      <c r="BB743">
        <v>1</v>
      </c>
      <c r="BC743">
        <v>1</v>
      </c>
      <c r="BD743" t="s">
        <v>3</v>
      </c>
      <c r="BE743" t="s">
        <v>3</v>
      </c>
      <c r="BF743" t="s">
        <v>3</v>
      </c>
      <c r="BG743" t="s">
        <v>3</v>
      </c>
      <c r="BH743">
        <v>0</v>
      </c>
      <c r="BI743">
        <v>4</v>
      </c>
      <c r="BJ743" t="s">
        <v>603</v>
      </c>
      <c r="BM743">
        <v>0</v>
      </c>
      <c r="BN743">
        <v>0</v>
      </c>
      <c r="BO743" t="s">
        <v>3</v>
      </c>
      <c r="BP743">
        <v>0</v>
      </c>
      <c r="BQ743">
        <v>1</v>
      </c>
      <c r="BR743">
        <v>0</v>
      </c>
      <c r="BS743">
        <v>1</v>
      </c>
      <c r="BT743">
        <v>1</v>
      </c>
      <c r="BU743">
        <v>1</v>
      </c>
      <c r="BV743">
        <v>1</v>
      </c>
      <c r="BW743">
        <v>1</v>
      </c>
      <c r="BX743">
        <v>1</v>
      </c>
      <c r="BY743" t="s">
        <v>3</v>
      </c>
      <c r="BZ743">
        <v>70</v>
      </c>
      <c r="CA743">
        <v>10</v>
      </c>
      <c r="CB743" t="s">
        <v>3</v>
      </c>
      <c r="CE743">
        <v>0</v>
      </c>
      <c r="CF743">
        <v>0</v>
      </c>
      <c r="CG743">
        <v>0</v>
      </c>
      <c r="CM743">
        <v>0</v>
      </c>
      <c r="CN743" t="s">
        <v>3</v>
      </c>
      <c r="CO743">
        <v>0</v>
      </c>
      <c r="CP743">
        <f t="shared" si="671"/>
        <v>30050.58</v>
      </c>
      <c r="CQ743">
        <f t="shared" si="672"/>
        <v>205.53</v>
      </c>
      <c r="CR743">
        <f>((((ET743)*BB743-(EU743)*BS743)+AE743*BS743)*AV743)</f>
        <v>0</v>
      </c>
      <c r="CS743">
        <f t="shared" si="673"/>
        <v>0</v>
      </c>
      <c r="CT743">
        <f t="shared" si="674"/>
        <v>14819.76</v>
      </c>
      <c r="CU743">
        <f t="shared" si="675"/>
        <v>0</v>
      </c>
      <c r="CV743">
        <f t="shared" si="676"/>
        <v>24</v>
      </c>
      <c r="CW743">
        <f t="shared" si="677"/>
        <v>0</v>
      </c>
      <c r="CX743">
        <f t="shared" si="678"/>
        <v>0</v>
      </c>
      <c r="CY743">
        <f t="shared" si="679"/>
        <v>20747.664000000001</v>
      </c>
      <c r="CZ743">
        <f t="shared" si="680"/>
        <v>2963.9520000000002</v>
      </c>
      <c r="DC743" t="s">
        <v>3</v>
      </c>
      <c r="DD743" t="s">
        <v>3</v>
      </c>
      <c r="DE743" t="s">
        <v>3</v>
      </c>
      <c r="DF743" t="s">
        <v>3</v>
      </c>
      <c r="DG743" t="s">
        <v>3</v>
      </c>
      <c r="DH743" t="s">
        <v>3</v>
      </c>
      <c r="DI743" t="s">
        <v>3</v>
      </c>
      <c r="DJ743" t="s">
        <v>3</v>
      </c>
      <c r="DK743" t="s">
        <v>3</v>
      </c>
      <c r="DL743" t="s">
        <v>3</v>
      </c>
      <c r="DM743" t="s">
        <v>3</v>
      </c>
      <c r="DN743">
        <v>0</v>
      </c>
      <c r="DO743">
        <v>0</v>
      </c>
      <c r="DP743">
        <v>1</v>
      </c>
      <c r="DQ743">
        <v>1</v>
      </c>
      <c r="DU743">
        <v>16987630</v>
      </c>
      <c r="DV743" t="s">
        <v>20</v>
      </c>
      <c r="DW743" t="s">
        <v>20</v>
      </c>
      <c r="DX743">
        <v>1</v>
      </c>
      <c r="DZ743" t="s">
        <v>3</v>
      </c>
      <c r="EA743" t="s">
        <v>3</v>
      </c>
      <c r="EB743" t="s">
        <v>3</v>
      </c>
      <c r="EC743" t="s">
        <v>3</v>
      </c>
      <c r="EE743">
        <v>1441815344</v>
      </c>
      <c r="EF743">
        <v>1</v>
      </c>
      <c r="EG743" t="s">
        <v>22</v>
      </c>
      <c r="EH743">
        <v>0</v>
      </c>
      <c r="EI743" t="s">
        <v>3</v>
      </c>
      <c r="EJ743">
        <v>4</v>
      </c>
      <c r="EK743">
        <v>0</v>
      </c>
      <c r="EL743" t="s">
        <v>23</v>
      </c>
      <c r="EM743" t="s">
        <v>24</v>
      </c>
      <c r="EO743" t="s">
        <v>3</v>
      </c>
      <c r="EQ743">
        <v>0</v>
      </c>
      <c r="ER743">
        <v>15025.29</v>
      </c>
      <c r="ES743">
        <v>205.53</v>
      </c>
      <c r="ET743">
        <v>0</v>
      </c>
      <c r="EU743">
        <v>0</v>
      </c>
      <c r="EV743">
        <v>14819.76</v>
      </c>
      <c r="EW743">
        <v>24</v>
      </c>
      <c r="EX743">
        <v>0</v>
      </c>
      <c r="EY743">
        <v>0</v>
      </c>
      <c r="FQ743">
        <v>0</v>
      </c>
      <c r="FR743">
        <f t="shared" si="681"/>
        <v>0</v>
      </c>
      <c r="FS743">
        <v>0</v>
      </c>
      <c r="FX743">
        <v>70</v>
      </c>
      <c r="FY743">
        <v>10</v>
      </c>
      <c r="GA743" t="s">
        <v>3</v>
      </c>
      <c r="GD743">
        <v>0</v>
      </c>
      <c r="GF743">
        <v>509534394</v>
      </c>
      <c r="GG743">
        <v>2</v>
      </c>
      <c r="GH743">
        <v>1</v>
      </c>
      <c r="GI743">
        <v>-2</v>
      </c>
      <c r="GJ743">
        <v>0</v>
      </c>
      <c r="GK743">
        <f>ROUND(R743*(R12)/100,2)</f>
        <v>0</v>
      </c>
      <c r="GL743">
        <f t="shared" si="682"/>
        <v>0</v>
      </c>
      <c r="GM743">
        <f t="shared" si="683"/>
        <v>53762.19</v>
      </c>
      <c r="GN743">
        <f t="shared" si="684"/>
        <v>0</v>
      </c>
      <c r="GO743">
        <f t="shared" si="685"/>
        <v>0</v>
      </c>
      <c r="GP743">
        <f t="shared" si="686"/>
        <v>53762.19</v>
      </c>
      <c r="GR743">
        <v>0</v>
      </c>
      <c r="GS743">
        <v>3</v>
      </c>
      <c r="GT743">
        <v>0</v>
      </c>
      <c r="GU743" t="s">
        <v>3</v>
      </c>
      <c r="GV743">
        <f t="shared" si="687"/>
        <v>0</v>
      </c>
      <c r="GW743">
        <v>1</v>
      </c>
      <c r="GX743">
        <f t="shared" si="688"/>
        <v>0</v>
      </c>
      <c r="HA743">
        <v>0</v>
      </c>
      <c r="HB743">
        <v>0</v>
      </c>
      <c r="HC743">
        <f t="shared" si="689"/>
        <v>0</v>
      </c>
      <c r="HE743" t="s">
        <v>3</v>
      </c>
      <c r="HF743" t="s">
        <v>3</v>
      </c>
      <c r="HM743" t="s">
        <v>3</v>
      </c>
      <c r="HN743" t="s">
        <v>3</v>
      </c>
      <c r="HO743" t="s">
        <v>3</v>
      </c>
      <c r="HP743" t="s">
        <v>3</v>
      </c>
      <c r="HQ743" t="s">
        <v>3</v>
      </c>
      <c r="IK743">
        <v>0</v>
      </c>
    </row>
    <row r="744" spans="1:245" x14ac:dyDescent="0.2">
      <c r="A744">
        <v>17</v>
      </c>
      <c r="B744">
        <v>1</v>
      </c>
      <c r="D744">
        <f>ROW(EtalonRes!A622)</f>
        <v>622</v>
      </c>
      <c r="E744" t="s">
        <v>3</v>
      </c>
      <c r="F744" t="s">
        <v>604</v>
      </c>
      <c r="G744" t="s">
        <v>605</v>
      </c>
      <c r="H744" t="s">
        <v>20</v>
      </c>
      <c r="I744">
        <v>2</v>
      </c>
      <c r="J744">
        <v>0</v>
      </c>
      <c r="K744">
        <v>2</v>
      </c>
      <c r="O744">
        <f t="shared" si="657"/>
        <v>2968.38</v>
      </c>
      <c r="P744">
        <f t="shared" si="658"/>
        <v>4.4400000000000004</v>
      </c>
      <c r="Q744">
        <f t="shared" si="659"/>
        <v>0</v>
      </c>
      <c r="R744">
        <f t="shared" si="660"/>
        <v>0</v>
      </c>
      <c r="S744">
        <f t="shared" si="661"/>
        <v>2963.94</v>
      </c>
      <c r="T744">
        <f t="shared" si="662"/>
        <v>0</v>
      </c>
      <c r="U744">
        <f t="shared" si="663"/>
        <v>4.8000000000000007</v>
      </c>
      <c r="V744">
        <f t="shared" si="664"/>
        <v>0</v>
      </c>
      <c r="W744">
        <f t="shared" si="665"/>
        <v>0</v>
      </c>
      <c r="X744">
        <f t="shared" si="666"/>
        <v>2074.7600000000002</v>
      </c>
      <c r="Y744">
        <f t="shared" si="667"/>
        <v>296.39</v>
      </c>
      <c r="AA744">
        <v>-1</v>
      </c>
      <c r="AB744">
        <f t="shared" si="668"/>
        <v>1484.19</v>
      </c>
      <c r="AC744">
        <f>ROUND(((ES744*3)),6)</f>
        <v>2.2200000000000002</v>
      </c>
      <c r="AD744">
        <f>ROUND(((((ET744*3))-((EU744*3)))+AE744),6)</f>
        <v>0</v>
      </c>
      <c r="AE744">
        <f>ROUND(((EU744*3)),6)</f>
        <v>0</v>
      </c>
      <c r="AF744">
        <f>ROUND(((EV744*3)),6)</f>
        <v>1481.97</v>
      </c>
      <c r="AG744">
        <f t="shared" si="669"/>
        <v>0</v>
      </c>
      <c r="AH744">
        <f>((EW744*3))</f>
        <v>2.4000000000000004</v>
      </c>
      <c r="AI744">
        <f>((EX744*3))</f>
        <v>0</v>
      </c>
      <c r="AJ744">
        <f t="shared" si="670"/>
        <v>0</v>
      </c>
      <c r="AK744">
        <v>494.73</v>
      </c>
      <c r="AL744">
        <v>0.74</v>
      </c>
      <c r="AM744">
        <v>0</v>
      </c>
      <c r="AN744">
        <v>0</v>
      </c>
      <c r="AO744">
        <v>493.99</v>
      </c>
      <c r="AP744">
        <v>0</v>
      </c>
      <c r="AQ744">
        <v>0.8</v>
      </c>
      <c r="AR744">
        <v>0</v>
      </c>
      <c r="AS744">
        <v>0</v>
      </c>
      <c r="AT744">
        <v>70</v>
      </c>
      <c r="AU744">
        <v>10</v>
      </c>
      <c r="AV744">
        <v>1</v>
      </c>
      <c r="AW744">
        <v>1</v>
      </c>
      <c r="AZ744">
        <v>1</v>
      </c>
      <c r="BA744">
        <v>1</v>
      </c>
      <c r="BB744">
        <v>1</v>
      </c>
      <c r="BC744">
        <v>1</v>
      </c>
      <c r="BD744" t="s">
        <v>3</v>
      </c>
      <c r="BE744" t="s">
        <v>3</v>
      </c>
      <c r="BF744" t="s">
        <v>3</v>
      </c>
      <c r="BG744" t="s">
        <v>3</v>
      </c>
      <c r="BH744">
        <v>0</v>
      </c>
      <c r="BI744">
        <v>4</v>
      </c>
      <c r="BJ744" t="s">
        <v>606</v>
      </c>
      <c r="BM744">
        <v>0</v>
      </c>
      <c r="BN744">
        <v>0</v>
      </c>
      <c r="BO744" t="s">
        <v>3</v>
      </c>
      <c r="BP744">
        <v>0</v>
      </c>
      <c r="BQ744">
        <v>1</v>
      </c>
      <c r="BR744">
        <v>0</v>
      </c>
      <c r="BS744">
        <v>1</v>
      </c>
      <c r="BT744">
        <v>1</v>
      </c>
      <c r="BU744">
        <v>1</v>
      </c>
      <c r="BV744">
        <v>1</v>
      </c>
      <c r="BW744">
        <v>1</v>
      </c>
      <c r="BX744">
        <v>1</v>
      </c>
      <c r="BY744" t="s">
        <v>3</v>
      </c>
      <c r="BZ744">
        <v>70</v>
      </c>
      <c r="CA744">
        <v>10</v>
      </c>
      <c r="CB744" t="s">
        <v>3</v>
      </c>
      <c r="CE744">
        <v>0</v>
      </c>
      <c r="CF744">
        <v>0</v>
      </c>
      <c r="CG744">
        <v>0</v>
      </c>
      <c r="CM744">
        <v>0</v>
      </c>
      <c r="CN744" t="s">
        <v>3</v>
      </c>
      <c r="CO744">
        <v>0</v>
      </c>
      <c r="CP744">
        <f t="shared" si="671"/>
        <v>2968.38</v>
      </c>
      <c r="CQ744">
        <f t="shared" si="672"/>
        <v>2.2200000000000002</v>
      </c>
      <c r="CR744">
        <f>(((((ET744*3))*BB744-((EU744*3))*BS744)+AE744*BS744)*AV744)</f>
        <v>0</v>
      </c>
      <c r="CS744">
        <f t="shared" si="673"/>
        <v>0</v>
      </c>
      <c r="CT744">
        <f t="shared" si="674"/>
        <v>1481.97</v>
      </c>
      <c r="CU744">
        <f t="shared" si="675"/>
        <v>0</v>
      </c>
      <c r="CV744">
        <f t="shared" si="676"/>
        <v>2.4000000000000004</v>
      </c>
      <c r="CW744">
        <f t="shared" si="677"/>
        <v>0</v>
      </c>
      <c r="CX744">
        <f t="shared" si="678"/>
        <v>0</v>
      </c>
      <c r="CY744">
        <f t="shared" si="679"/>
        <v>2074.7580000000003</v>
      </c>
      <c r="CZ744">
        <f t="shared" si="680"/>
        <v>296.39400000000001</v>
      </c>
      <c r="DC744" t="s">
        <v>3</v>
      </c>
      <c r="DD744" t="s">
        <v>577</v>
      </c>
      <c r="DE744" t="s">
        <v>577</v>
      </c>
      <c r="DF744" t="s">
        <v>577</v>
      </c>
      <c r="DG744" t="s">
        <v>577</v>
      </c>
      <c r="DH744" t="s">
        <v>3</v>
      </c>
      <c r="DI744" t="s">
        <v>577</v>
      </c>
      <c r="DJ744" t="s">
        <v>577</v>
      </c>
      <c r="DK744" t="s">
        <v>3</v>
      </c>
      <c r="DL744" t="s">
        <v>3</v>
      </c>
      <c r="DM744" t="s">
        <v>3</v>
      </c>
      <c r="DN744">
        <v>0</v>
      </c>
      <c r="DO744">
        <v>0</v>
      </c>
      <c r="DP744">
        <v>1</v>
      </c>
      <c r="DQ744">
        <v>1</v>
      </c>
      <c r="DU744">
        <v>16987630</v>
      </c>
      <c r="DV744" t="s">
        <v>20</v>
      </c>
      <c r="DW744" t="s">
        <v>20</v>
      </c>
      <c r="DX744">
        <v>1</v>
      </c>
      <c r="DZ744" t="s">
        <v>3</v>
      </c>
      <c r="EA744" t="s">
        <v>3</v>
      </c>
      <c r="EB744" t="s">
        <v>3</v>
      </c>
      <c r="EC744" t="s">
        <v>3</v>
      </c>
      <c r="EE744">
        <v>1441815344</v>
      </c>
      <c r="EF744">
        <v>1</v>
      </c>
      <c r="EG744" t="s">
        <v>22</v>
      </c>
      <c r="EH744">
        <v>0</v>
      </c>
      <c r="EI744" t="s">
        <v>3</v>
      </c>
      <c r="EJ744">
        <v>4</v>
      </c>
      <c r="EK744">
        <v>0</v>
      </c>
      <c r="EL744" t="s">
        <v>23</v>
      </c>
      <c r="EM744" t="s">
        <v>24</v>
      </c>
      <c r="EO744" t="s">
        <v>3</v>
      </c>
      <c r="EQ744">
        <v>1024</v>
      </c>
      <c r="ER744">
        <v>494.73</v>
      </c>
      <c r="ES744">
        <v>0.74</v>
      </c>
      <c r="ET744">
        <v>0</v>
      </c>
      <c r="EU744">
        <v>0</v>
      </c>
      <c r="EV744">
        <v>493.99</v>
      </c>
      <c r="EW744">
        <v>0.8</v>
      </c>
      <c r="EX744">
        <v>0</v>
      </c>
      <c r="EY744">
        <v>0</v>
      </c>
      <c r="FQ744">
        <v>0</v>
      </c>
      <c r="FR744">
        <f t="shared" si="681"/>
        <v>0</v>
      </c>
      <c r="FS744">
        <v>0</v>
      </c>
      <c r="FX744">
        <v>70</v>
      </c>
      <c r="FY744">
        <v>10</v>
      </c>
      <c r="GA744" t="s">
        <v>3</v>
      </c>
      <c r="GD744">
        <v>0</v>
      </c>
      <c r="GF744">
        <v>-1912802092</v>
      </c>
      <c r="GG744">
        <v>2</v>
      </c>
      <c r="GH744">
        <v>1</v>
      </c>
      <c r="GI744">
        <v>-2</v>
      </c>
      <c r="GJ744">
        <v>0</v>
      </c>
      <c r="GK744">
        <f>ROUND(R744*(R12)/100,2)</f>
        <v>0</v>
      </c>
      <c r="GL744">
        <f t="shared" si="682"/>
        <v>0</v>
      </c>
      <c r="GM744">
        <f t="shared" si="683"/>
        <v>5339.53</v>
      </c>
      <c r="GN744">
        <f t="shared" si="684"/>
        <v>0</v>
      </c>
      <c r="GO744">
        <f t="shared" si="685"/>
        <v>0</v>
      </c>
      <c r="GP744">
        <f t="shared" si="686"/>
        <v>5339.53</v>
      </c>
      <c r="GR744">
        <v>0</v>
      </c>
      <c r="GS744">
        <v>3</v>
      </c>
      <c r="GT744">
        <v>0</v>
      </c>
      <c r="GU744" t="s">
        <v>3</v>
      </c>
      <c r="GV744">
        <f t="shared" si="687"/>
        <v>0</v>
      </c>
      <c r="GW744">
        <v>1</v>
      </c>
      <c r="GX744">
        <f t="shared" si="688"/>
        <v>0</v>
      </c>
      <c r="HA744">
        <v>0</v>
      </c>
      <c r="HB744">
        <v>0</v>
      </c>
      <c r="HC744">
        <f t="shared" si="689"/>
        <v>0</v>
      </c>
      <c r="HE744" t="s">
        <v>3</v>
      </c>
      <c r="HF744" t="s">
        <v>3</v>
      </c>
      <c r="HM744" t="s">
        <v>3</v>
      </c>
      <c r="HN744" t="s">
        <v>3</v>
      </c>
      <c r="HO744" t="s">
        <v>3</v>
      </c>
      <c r="HP744" t="s">
        <v>3</v>
      </c>
      <c r="HQ744" t="s">
        <v>3</v>
      </c>
      <c r="IK744">
        <v>0</v>
      </c>
    </row>
    <row r="745" spans="1:245" x14ac:dyDescent="0.2">
      <c r="A745">
        <v>17</v>
      </c>
      <c r="B745">
        <v>1</v>
      </c>
      <c r="D745">
        <f>ROW(EtalonRes!A626)</f>
        <v>626</v>
      </c>
      <c r="E745" t="s">
        <v>607</v>
      </c>
      <c r="F745" t="s">
        <v>608</v>
      </c>
      <c r="G745" t="s">
        <v>609</v>
      </c>
      <c r="H745" t="s">
        <v>20</v>
      </c>
      <c r="I745">
        <v>2</v>
      </c>
      <c r="J745">
        <v>0</v>
      </c>
      <c r="K745">
        <v>2</v>
      </c>
      <c r="O745">
        <f t="shared" si="657"/>
        <v>848</v>
      </c>
      <c r="P745">
        <f t="shared" si="658"/>
        <v>51.7</v>
      </c>
      <c r="Q745">
        <f t="shared" si="659"/>
        <v>0</v>
      </c>
      <c r="R745">
        <f t="shared" si="660"/>
        <v>0</v>
      </c>
      <c r="S745">
        <f t="shared" si="661"/>
        <v>796.3</v>
      </c>
      <c r="T745">
        <f t="shared" si="662"/>
        <v>0</v>
      </c>
      <c r="U745">
        <f t="shared" si="663"/>
        <v>1.2</v>
      </c>
      <c r="V745">
        <f t="shared" si="664"/>
        <v>0</v>
      </c>
      <c r="W745">
        <f t="shared" si="665"/>
        <v>0</v>
      </c>
      <c r="X745">
        <f t="shared" si="666"/>
        <v>557.41</v>
      </c>
      <c r="Y745">
        <f t="shared" si="667"/>
        <v>79.63</v>
      </c>
      <c r="AA745">
        <v>1472506909</v>
      </c>
      <c r="AB745">
        <f t="shared" si="668"/>
        <v>424</v>
      </c>
      <c r="AC745">
        <f>ROUND((ES745),6)</f>
        <v>25.85</v>
      </c>
      <c r="AD745">
        <f>ROUND((((ET745)-(EU745))+AE745),6)</f>
        <v>0</v>
      </c>
      <c r="AE745">
        <f t="shared" ref="AE745:AF747" si="690">ROUND((EU745),6)</f>
        <v>0</v>
      </c>
      <c r="AF745">
        <f t="shared" si="690"/>
        <v>398.15</v>
      </c>
      <c r="AG745">
        <f t="shared" si="669"/>
        <v>0</v>
      </c>
      <c r="AH745">
        <f t="shared" ref="AH745:AI747" si="691">(EW745)</f>
        <v>0.6</v>
      </c>
      <c r="AI745">
        <f t="shared" si="691"/>
        <v>0</v>
      </c>
      <c r="AJ745">
        <f t="shared" si="670"/>
        <v>0</v>
      </c>
      <c r="AK745">
        <v>424</v>
      </c>
      <c r="AL745">
        <v>25.85</v>
      </c>
      <c r="AM745">
        <v>0</v>
      </c>
      <c r="AN745">
        <v>0</v>
      </c>
      <c r="AO745">
        <v>398.15</v>
      </c>
      <c r="AP745">
        <v>0</v>
      </c>
      <c r="AQ745">
        <v>0.6</v>
      </c>
      <c r="AR745">
        <v>0</v>
      </c>
      <c r="AS745">
        <v>0</v>
      </c>
      <c r="AT745">
        <v>70</v>
      </c>
      <c r="AU745">
        <v>10</v>
      </c>
      <c r="AV745">
        <v>1</v>
      </c>
      <c r="AW745">
        <v>1</v>
      </c>
      <c r="AZ745">
        <v>1</v>
      </c>
      <c r="BA745">
        <v>1</v>
      </c>
      <c r="BB745">
        <v>1</v>
      </c>
      <c r="BC745">
        <v>1</v>
      </c>
      <c r="BD745" t="s">
        <v>3</v>
      </c>
      <c r="BE745" t="s">
        <v>3</v>
      </c>
      <c r="BF745" t="s">
        <v>3</v>
      </c>
      <c r="BG745" t="s">
        <v>3</v>
      </c>
      <c r="BH745">
        <v>0</v>
      </c>
      <c r="BI745">
        <v>4</v>
      </c>
      <c r="BJ745" t="s">
        <v>610</v>
      </c>
      <c r="BM745">
        <v>0</v>
      </c>
      <c r="BN745">
        <v>0</v>
      </c>
      <c r="BO745" t="s">
        <v>3</v>
      </c>
      <c r="BP745">
        <v>0</v>
      </c>
      <c r="BQ745">
        <v>1</v>
      </c>
      <c r="BR745">
        <v>0</v>
      </c>
      <c r="BS745">
        <v>1</v>
      </c>
      <c r="BT745">
        <v>1</v>
      </c>
      <c r="BU745">
        <v>1</v>
      </c>
      <c r="BV745">
        <v>1</v>
      </c>
      <c r="BW745">
        <v>1</v>
      </c>
      <c r="BX745">
        <v>1</v>
      </c>
      <c r="BY745" t="s">
        <v>3</v>
      </c>
      <c r="BZ745">
        <v>70</v>
      </c>
      <c r="CA745">
        <v>10</v>
      </c>
      <c r="CB745" t="s">
        <v>3</v>
      </c>
      <c r="CE745">
        <v>0</v>
      </c>
      <c r="CF745">
        <v>0</v>
      </c>
      <c r="CG745">
        <v>0</v>
      </c>
      <c r="CM745">
        <v>0</v>
      </c>
      <c r="CN745" t="s">
        <v>3</v>
      </c>
      <c r="CO745">
        <v>0</v>
      </c>
      <c r="CP745">
        <f t="shared" si="671"/>
        <v>848</v>
      </c>
      <c r="CQ745">
        <f t="shared" si="672"/>
        <v>25.85</v>
      </c>
      <c r="CR745">
        <f>((((ET745)*BB745-(EU745)*BS745)+AE745*BS745)*AV745)</f>
        <v>0</v>
      </c>
      <c r="CS745">
        <f t="shared" si="673"/>
        <v>0</v>
      </c>
      <c r="CT745">
        <f t="shared" si="674"/>
        <v>398.15</v>
      </c>
      <c r="CU745">
        <f t="shared" si="675"/>
        <v>0</v>
      </c>
      <c r="CV745">
        <f t="shared" si="676"/>
        <v>0.6</v>
      </c>
      <c r="CW745">
        <f t="shared" si="677"/>
        <v>0</v>
      </c>
      <c r="CX745">
        <f t="shared" si="678"/>
        <v>0</v>
      </c>
      <c r="CY745">
        <f t="shared" si="679"/>
        <v>557.41</v>
      </c>
      <c r="CZ745">
        <f t="shared" si="680"/>
        <v>79.63</v>
      </c>
      <c r="DC745" t="s">
        <v>3</v>
      </c>
      <c r="DD745" t="s">
        <v>3</v>
      </c>
      <c r="DE745" t="s">
        <v>3</v>
      </c>
      <c r="DF745" t="s">
        <v>3</v>
      </c>
      <c r="DG745" t="s">
        <v>3</v>
      </c>
      <c r="DH745" t="s">
        <v>3</v>
      </c>
      <c r="DI745" t="s">
        <v>3</v>
      </c>
      <c r="DJ745" t="s">
        <v>3</v>
      </c>
      <c r="DK745" t="s">
        <v>3</v>
      </c>
      <c r="DL745" t="s">
        <v>3</v>
      </c>
      <c r="DM745" t="s">
        <v>3</v>
      </c>
      <c r="DN745">
        <v>0</v>
      </c>
      <c r="DO745">
        <v>0</v>
      </c>
      <c r="DP745">
        <v>1</v>
      </c>
      <c r="DQ745">
        <v>1</v>
      </c>
      <c r="DU745">
        <v>16987630</v>
      </c>
      <c r="DV745" t="s">
        <v>20</v>
      </c>
      <c r="DW745" t="s">
        <v>20</v>
      </c>
      <c r="DX745">
        <v>1</v>
      </c>
      <c r="DZ745" t="s">
        <v>3</v>
      </c>
      <c r="EA745" t="s">
        <v>3</v>
      </c>
      <c r="EB745" t="s">
        <v>3</v>
      </c>
      <c r="EC745" t="s">
        <v>3</v>
      </c>
      <c r="EE745">
        <v>1441815344</v>
      </c>
      <c r="EF745">
        <v>1</v>
      </c>
      <c r="EG745" t="s">
        <v>22</v>
      </c>
      <c r="EH745">
        <v>0</v>
      </c>
      <c r="EI745" t="s">
        <v>3</v>
      </c>
      <c r="EJ745">
        <v>4</v>
      </c>
      <c r="EK745">
        <v>0</v>
      </c>
      <c r="EL745" t="s">
        <v>23</v>
      </c>
      <c r="EM745" t="s">
        <v>24</v>
      </c>
      <c r="EO745" t="s">
        <v>3</v>
      </c>
      <c r="EQ745">
        <v>0</v>
      </c>
      <c r="ER745">
        <v>424</v>
      </c>
      <c r="ES745">
        <v>25.85</v>
      </c>
      <c r="ET745">
        <v>0</v>
      </c>
      <c r="EU745">
        <v>0</v>
      </c>
      <c r="EV745">
        <v>398.15</v>
      </c>
      <c r="EW745">
        <v>0.6</v>
      </c>
      <c r="EX745">
        <v>0</v>
      </c>
      <c r="EY745">
        <v>0</v>
      </c>
      <c r="FQ745">
        <v>0</v>
      </c>
      <c r="FR745">
        <f t="shared" si="681"/>
        <v>0</v>
      </c>
      <c r="FS745">
        <v>0</v>
      </c>
      <c r="FX745">
        <v>70</v>
      </c>
      <c r="FY745">
        <v>10</v>
      </c>
      <c r="GA745" t="s">
        <v>3</v>
      </c>
      <c r="GD745">
        <v>0</v>
      </c>
      <c r="GF745">
        <v>-268487647</v>
      </c>
      <c r="GG745">
        <v>2</v>
      </c>
      <c r="GH745">
        <v>1</v>
      </c>
      <c r="GI745">
        <v>-2</v>
      </c>
      <c r="GJ745">
        <v>0</v>
      </c>
      <c r="GK745">
        <f>ROUND(R745*(R12)/100,2)</f>
        <v>0</v>
      </c>
      <c r="GL745">
        <f t="shared" si="682"/>
        <v>0</v>
      </c>
      <c r="GM745">
        <f t="shared" si="683"/>
        <v>1485.04</v>
      </c>
      <c r="GN745">
        <f t="shared" si="684"/>
        <v>0</v>
      </c>
      <c r="GO745">
        <f t="shared" si="685"/>
        <v>0</v>
      </c>
      <c r="GP745">
        <f t="shared" si="686"/>
        <v>1485.04</v>
      </c>
      <c r="GR745">
        <v>0</v>
      </c>
      <c r="GS745">
        <v>3</v>
      </c>
      <c r="GT745">
        <v>0</v>
      </c>
      <c r="GU745" t="s">
        <v>3</v>
      </c>
      <c r="GV745">
        <f t="shared" si="687"/>
        <v>0</v>
      </c>
      <c r="GW745">
        <v>1</v>
      </c>
      <c r="GX745">
        <f t="shared" si="688"/>
        <v>0</v>
      </c>
      <c r="HA745">
        <v>0</v>
      </c>
      <c r="HB745">
        <v>0</v>
      </c>
      <c r="HC745">
        <f t="shared" si="689"/>
        <v>0</v>
      </c>
      <c r="HE745" t="s">
        <v>3</v>
      </c>
      <c r="HF745" t="s">
        <v>3</v>
      </c>
      <c r="HM745" t="s">
        <v>3</v>
      </c>
      <c r="HN745" t="s">
        <v>3</v>
      </c>
      <c r="HO745" t="s">
        <v>3</v>
      </c>
      <c r="HP745" t="s">
        <v>3</v>
      </c>
      <c r="HQ745" t="s">
        <v>3</v>
      </c>
      <c r="IK745">
        <v>0</v>
      </c>
    </row>
    <row r="746" spans="1:245" x14ac:dyDescent="0.2">
      <c r="A746">
        <v>17</v>
      </c>
      <c r="B746">
        <v>1</v>
      </c>
      <c r="D746">
        <f>ROW(EtalonRes!A631)</f>
        <v>631</v>
      </c>
      <c r="E746" t="s">
        <v>611</v>
      </c>
      <c r="F746" t="s">
        <v>612</v>
      </c>
      <c r="G746" t="s">
        <v>613</v>
      </c>
      <c r="H746" t="s">
        <v>20</v>
      </c>
      <c r="I746">
        <v>1</v>
      </c>
      <c r="J746">
        <v>0</v>
      </c>
      <c r="K746">
        <v>1</v>
      </c>
      <c r="O746">
        <f t="shared" si="657"/>
        <v>2924.2</v>
      </c>
      <c r="P746">
        <f t="shared" si="658"/>
        <v>1206.82</v>
      </c>
      <c r="Q746">
        <f t="shared" si="659"/>
        <v>0</v>
      </c>
      <c r="R746">
        <f t="shared" si="660"/>
        <v>0</v>
      </c>
      <c r="S746">
        <f t="shared" si="661"/>
        <v>1717.38</v>
      </c>
      <c r="T746">
        <f t="shared" si="662"/>
        <v>0</v>
      </c>
      <c r="U746">
        <f t="shared" si="663"/>
        <v>2.42</v>
      </c>
      <c r="V746">
        <f t="shared" si="664"/>
        <v>0</v>
      </c>
      <c r="W746">
        <f t="shared" si="665"/>
        <v>0</v>
      </c>
      <c r="X746">
        <f t="shared" si="666"/>
        <v>1202.17</v>
      </c>
      <c r="Y746">
        <f t="shared" si="667"/>
        <v>171.74</v>
      </c>
      <c r="AA746">
        <v>1472506909</v>
      </c>
      <c r="AB746">
        <f t="shared" si="668"/>
        <v>2924.2</v>
      </c>
      <c r="AC746">
        <f>ROUND((ES746),6)</f>
        <v>1206.82</v>
      </c>
      <c r="AD746">
        <f>ROUND((((ET746)-(EU746))+AE746),6)</f>
        <v>0</v>
      </c>
      <c r="AE746">
        <f t="shared" si="690"/>
        <v>0</v>
      </c>
      <c r="AF746">
        <f t="shared" si="690"/>
        <v>1717.38</v>
      </c>
      <c r="AG746">
        <f t="shared" si="669"/>
        <v>0</v>
      </c>
      <c r="AH746">
        <f t="shared" si="691"/>
        <v>2.42</v>
      </c>
      <c r="AI746">
        <f t="shared" si="691"/>
        <v>0</v>
      </c>
      <c r="AJ746">
        <f t="shared" si="670"/>
        <v>0</v>
      </c>
      <c r="AK746">
        <v>2924.2</v>
      </c>
      <c r="AL746">
        <v>1206.82</v>
      </c>
      <c r="AM746">
        <v>0</v>
      </c>
      <c r="AN746">
        <v>0</v>
      </c>
      <c r="AO746">
        <v>1717.38</v>
      </c>
      <c r="AP746">
        <v>0</v>
      </c>
      <c r="AQ746">
        <v>2.42</v>
      </c>
      <c r="AR746">
        <v>0</v>
      </c>
      <c r="AS746">
        <v>0</v>
      </c>
      <c r="AT746">
        <v>70</v>
      </c>
      <c r="AU746">
        <v>10</v>
      </c>
      <c r="AV746">
        <v>1</v>
      </c>
      <c r="AW746">
        <v>1</v>
      </c>
      <c r="AZ746">
        <v>1</v>
      </c>
      <c r="BA746">
        <v>1</v>
      </c>
      <c r="BB746">
        <v>1</v>
      </c>
      <c r="BC746">
        <v>1</v>
      </c>
      <c r="BD746" t="s">
        <v>3</v>
      </c>
      <c r="BE746" t="s">
        <v>3</v>
      </c>
      <c r="BF746" t="s">
        <v>3</v>
      </c>
      <c r="BG746" t="s">
        <v>3</v>
      </c>
      <c r="BH746">
        <v>0</v>
      </c>
      <c r="BI746">
        <v>4</v>
      </c>
      <c r="BJ746" t="s">
        <v>614</v>
      </c>
      <c r="BM746">
        <v>0</v>
      </c>
      <c r="BN746">
        <v>0</v>
      </c>
      <c r="BO746" t="s">
        <v>3</v>
      </c>
      <c r="BP746">
        <v>0</v>
      </c>
      <c r="BQ746">
        <v>1</v>
      </c>
      <c r="BR746">
        <v>0</v>
      </c>
      <c r="BS746">
        <v>1</v>
      </c>
      <c r="BT746">
        <v>1</v>
      </c>
      <c r="BU746">
        <v>1</v>
      </c>
      <c r="BV746">
        <v>1</v>
      </c>
      <c r="BW746">
        <v>1</v>
      </c>
      <c r="BX746">
        <v>1</v>
      </c>
      <c r="BY746" t="s">
        <v>3</v>
      </c>
      <c r="BZ746">
        <v>70</v>
      </c>
      <c r="CA746">
        <v>10</v>
      </c>
      <c r="CB746" t="s">
        <v>3</v>
      </c>
      <c r="CE746">
        <v>0</v>
      </c>
      <c r="CF746">
        <v>0</v>
      </c>
      <c r="CG746">
        <v>0</v>
      </c>
      <c r="CM746">
        <v>0</v>
      </c>
      <c r="CN746" t="s">
        <v>3</v>
      </c>
      <c r="CO746">
        <v>0</v>
      </c>
      <c r="CP746">
        <f t="shared" si="671"/>
        <v>2924.2</v>
      </c>
      <c r="CQ746">
        <f t="shared" si="672"/>
        <v>1206.82</v>
      </c>
      <c r="CR746">
        <f>((((ET746)*BB746-(EU746)*BS746)+AE746*BS746)*AV746)</f>
        <v>0</v>
      </c>
      <c r="CS746">
        <f t="shared" si="673"/>
        <v>0</v>
      </c>
      <c r="CT746">
        <f t="shared" si="674"/>
        <v>1717.38</v>
      </c>
      <c r="CU746">
        <f t="shared" si="675"/>
        <v>0</v>
      </c>
      <c r="CV746">
        <f t="shared" si="676"/>
        <v>2.42</v>
      </c>
      <c r="CW746">
        <f t="shared" si="677"/>
        <v>0</v>
      </c>
      <c r="CX746">
        <f t="shared" si="678"/>
        <v>0</v>
      </c>
      <c r="CY746">
        <f t="shared" si="679"/>
        <v>1202.1660000000002</v>
      </c>
      <c r="CZ746">
        <f t="shared" si="680"/>
        <v>171.73800000000003</v>
      </c>
      <c r="DC746" t="s">
        <v>3</v>
      </c>
      <c r="DD746" t="s">
        <v>3</v>
      </c>
      <c r="DE746" t="s">
        <v>3</v>
      </c>
      <c r="DF746" t="s">
        <v>3</v>
      </c>
      <c r="DG746" t="s">
        <v>3</v>
      </c>
      <c r="DH746" t="s">
        <v>3</v>
      </c>
      <c r="DI746" t="s">
        <v>3</v>
      </c>
      <c r="DJ746" t="s">
        <v>3</v>
      </c>
      <c r="DK746" t="s">
        <v>3</v>
      </c>
      <c r="DL746" t="s">
        <v>3</v>
      </c>
      <c r="DM746" t="s">
        <v>3</v>
      </c>
      <c r="DN746">
        <v>0</v>
      </c>
      <c r="DO746">
        <v>0</v>
      </c>
      <c r="DP746">
        <v>1</v>
      </c>
      <c r="DQ746">
        <v>1</v>
      </c>
      <c r="DU746">
        <v>16987630</v>
      </c>
      <c r="DV746" t="s">
        <v>20</v>
      </c>
      <c r="DW746" t="s">
        <v>20</v>
      </c>
      <c r="DX746">
        <v>1</v>
      </c>
      <c r="DZ746" t="s">
        <v>3</v>
      </c>
      <c r="EA746" t="s">
        <v>3</v>
      </c>
      <c r="EB746" t="s">
        <v>3</v>
      </c>
      <c r="EC746" t="s">
        <v>3</v>
      </c>
      <c r="EE746">
        <v>1441815344</v>
      </c>
      <c r="EF746">
        <v>1</v>
      </c>
      <c r="EG746" t="s">
        <v>22</v>
      </c>
      <c r="EH746">
        <v>0</v>
      </c>
      <c r="EI746" t="s">
        <v>3</v>
      </c>
      <c r="EJ746">
        <v>4</v>
      </c>
      <c r="EK746">
        <v>0</v>
      </c>
      <c r="EL746" t="s">
        <v>23</v>
      </c>
      <c r="EM746" t="s">
        <v>24</v>
      </c>
      <c r="EO746" t="s">
        <v>3</v>
      </c>
      <c r="EQ746">
        <v>0</v>
      </c>
      <c r="ER746">
        <v>2924.2</v>
      </c>
      <c r="ES746">
        <v>1206.82</v>
      </c>
      <c r="ET746">
        <v>0</v>
      </c>
      <c r="EU746">
        <v>0</v>
      </c>
      <c r="EV746">
        <v>1717.38</v>
      </c>
      <c r="EW746">
        <v>2.42</v>
      </c>
      <c r="EX746">
        <v>0</v>
      </c>
      <c r="EY746">
        <v>0</v>
      </c>
      <c r="FQ746">
        <v>0</v>
      </c>
      <c r="FR746">
        <f t="shared" si="681"/>
        <v>0</v>
      </c>
      <c r="FS746">
        <v>0</v>
      </c>
      <c r="FX746">
        <v>70</v>
      </c>
      <c r="FY746">
        <v>10</v>
      </c>
      <c r="GA746" t="s">
        <v>3</v>
      </c>
      <c r="GD746">
        <v>0</v>
      </c>
      <c r="GF746">
        <v>1377483184</v>
      </c>
      <c r="GG746">
        <v>2</v>
      </c>
      <c r="GH746">
        <v>1</v>
      </c>
      <c r="GI746">
        <v>-2</v>
      </c>
      <c r="GJ746">
        <v>0</v>
      </c>
      <c r="GK746">
        <f>ROUND(R746*(R12)/100,2)</f>
        <v>0</v>
      </c>
      <c r="GL746">
        <f t="shared" si="682"/>
        <v>0</v>
      </c>
      <c r="GM746">
        <f t="shared" si="683"/>
        <v>4298.1099999999997</v>
      </c>
      <c r="GN746">
        <f t="shared" si="684"/>
        <v>0</v>
      </c>
      <c r="GO746">
        <f t="shared" si="685"/>
        <v>0</v>
      </c>
      <c r="GP746">
        <f t="shared" si="686"/>
        <v>4298.1099999999997</v>
      </c>
      <c r="GR746">
        <v>0</v>
      </c>
      <c r="GS746">
        <v>3</v>
      </c>
      <c r="GT746">
        <v>0</v>
      </c>
      <c r="GU746" t="s">
        <v>3</v>
      </c>
      <c r="GV746">
        <f t="shared" si="687"/>
        <v>0</v>
      </c>
      <c r="GW746">
        <v>1</v>
      </c>
      <c r="GX746">
        <f t="shared" si="688"/>
        <v>0</v>
      </c>
      <c r="HA746">
        <v>0</v>
      </c>
      <c r="HB746">
        <v>0</v>
      </c>
      <c r="HC746">
        <f t="shared" si="689"/>
        <v>0</v>
      </c>
      <c r="HE746" t="s">
        <v>3</v>
      </c>
      <c r="HF746" t="s">
        <v>3</v>
      </c>
      <c r="HM746" t="s">
        <v>3</v>
      </c>
      <c r="HN746" t="s">
        <v>3</v>
      </c>
      <c r="HO746" t="s">
        <v>3</v>
      </c>
      <c r="HP746" t="s">
        <v>3</v>
      </c>
      <c r="HQ746" t="s">
        <v>3</v>
      </c>
      <c r="IK746">
        <v>0</v>
      </c>
    </row>
    <row r="747" spans="1:245" x14ac:dyDescent="0.2">
      <c r="A747">
        <v>17</v>
      </c>
      <c r="B747">
        <v>1</v>
      </c>
      <c r="D747">
        <f>ROW(EtalonRes!A632)</f>
        <v>632</v>
      </c>
      <c r="E747" t="s">
        <v>3</v>
      </c>
      <c r="F747" t="s">
        <v>615</v>
      </c>
      <c r="G747" t="s">
        <v>616</v>
      </c>
      <c r="H747" t="s">
        <v>617</v>
      </c>
      <c r="I747">
        <f>ROUND(ROUND((5+5+5+5+5+5)/10,9),9)</f>
        <v>3</v>
      </c>
      <c r="J747">
        <v>0</v>
      </c>
      <c r="K747">
        <f>ROUND(ROUND((5+5+5+5+5+5)/10,9),9)</f>
        <v>3</v>
      </c>
      <c r="O747">
        <f t="shared" si="657"/>
        <v>5781.39</v>
      </c>
      <c r="P747">
        <f t="shared" si="658"/>
        <v>0</v>
      </c>
      <c r="Q747">
        <f t="shared" si="659"/>
        <v>0</v>
      </c>
      <c r="R747">
        <f t="shared" si="660"/>
        <v>0</v>
      </c>
      <c r="S747">
        <f t="shared" si="661"/>
        <v>5781.39</v>
      </c>
      <c r="T747">
        <f t="shared" si="662"/>
        <v>0</v>
      </c>
      <c r="U747">
        <f t="shared" si="663"/>
        <v>10.8</v>
      </c>
      <c r="V747">
        <f t="shared" si="664"/>
        <v>0</v>
      </c>
      <c r="W747">
        <f t="shared" si="665"/>
        <v>0</v>
      </c>
      <c r="X747">
        <f t="shared" si="666"/>
        <v>4046.97</v>
      </c>
      <c r="Y747">
        <f t="shared" si="667"/>
        <v>578.14</v>
      </c>
      <c r="AA747">
        <v>-1</v>
      </c>
      <c r="AB747">
        <f t="shared" si="668"/>
        <v>1927.13</v>
      </c>
      <c r="AC747">
        <f>ROUND((ES747),6)</f>
        <v>0</v>
      </c>
      <c r="AD747">
        <f>ROUND((((ET747)-(EU747))+AE747),6)</f>
        <v>0</v>
      </c>
      <c r="AE747">
        <f t="shared" si="690"/>
        <v>0</v>
      </c>
      <c r="AF747">
        <f t="shared" si="690"/>
        <v>1927.13</v>
      </c>
      <c r="AG747">
        <f t="shared" si="669"/>
        <v>0</v>
      </c>
      <c r="AH747">
        <f t="shared" si="691"/>
        <v>3.6</v>
      </c>
      <c r="AI747">
        <f t="shared" si="691"/>
        <v>0</v>
      </c>
      <c r="AJ747">
        <f t="shared" si="670"/>
        <v>0</v>
      </c>
      <c r="AK747">
        <v>1927.13</v>
      </c>
      <c r="AL747">
        <v>0</v>
      </c>
      <c r="AM747">
        <v>0</v>
      </c>
      <c r="AN747">
        <v>0</v>
      </c>
      <c r="AO747">
        <v>1927.13</v>
      </c>
      <c r="AP747">
        <v>0</v>
      </c>
      <c r="AQ747">
        <v>3.6</v>
      </c>
      <c r="AR747">
        <v>0</v>
      </c>
      <c r="AS747">
        <v>0</v>
      </c>
      <c r="AT747">
        <v>70</v>
      </c>
      <c r="AU747">
        <v>10</v>
      </c>
      <c r="AV747">
        <v>1</v>
      </c>
      <c r="AW747">
        <v>1</v>
      </c>
      <c r="AZ747">
        <v>1</v>
      </c>
      <c r="BA747">
        <v>1</v>
      </c>
      <c r="BB747">
        <v>1</v>
      </c>
      <c r="BC747">
        <v>1</v>
      </c>
      <c r="BD747" t="s">
        <v>3</v>
      </c>
      <c r="BE747" t="s">
        <v>3</v>
      </c>
      <c r="BF747" t="s">
        <v>3</v>
      </c>
      <c r="BG747" t="s">
        <v>3</v>
      </c>
      <c r="BH747">
        <v>0</v>
      </c>
      <c r="BI747">
        <v>4</v>
      </c>
      <c r="BJ747" t="s">
        <v>618</v>
      </c>
      <c r="BM747">
        <v>0</v>
      </c>
      <c r="BN747">
        <v>0</v>
      </c>
      <c r="BO747" t="s">
        <v>3</v>
      </c>
      <c r="BP747">
        <v>0</v>
      </c>
      <c r="BQ747">
        <v>1</v>
      </c>
      <c r="BR747">
        <v>0</v>
      </c>
      <c r="BS747">
        <v>1</v>
      </c>
      <c r="BT747">
        <v>1</v>
      </c>
      <c r="BU747">
        <v>1</v>
      </c>
      <c r="BV747">
        <v>1</v>
      </c>
      <c r="BW747">
        <v>1</v>
      </c>
      <c r="BX747">
        <v>1</v>
      </c>
      <c r="BY747" t="s">
        <v>3</v>
      </c>
      <c r="BZ747">
        <v>70</v>
      </c>
      <c r="CA747">
        <v>10</v>
      </c>
      <c r="CB747" t="s">
        <v>3</v>
      </c>
      <c r="CE747">
        <v>0</v>
      </c>
      <c r="CF747">
        <v>0</v>
      </c>
      <c r="CG747">
        <v>0</v>
      </c>
      <c r="CM747">
        <v>0</v>
      </c>
      <c r="CN747" t="s">
        <v>3</v>
      </c>
      <c r="CO747">
        <v>0</v>
      </c>
      <c r="CP747">
        <f t="shared" si="671"/>
        <v>5781.39</v>
      </c>
      <c r="CQ747">
        <f t="shared" si="672"/>
        <v>0</v>
      </c>
      <c r="CR747">
        <f>((((ET747)*BB747-(EU747)*BS747)+AE747*BS747)*AV747)</f>
        <v>0</v>
      </c>
      <c r="CS747">
        <f t="shared" si="673"/>
        <v>0</v>
      </c>
      <c r="CT747">
        <f t="shared" si="674"/>
        <v>1927.13</v>
      </c>
      <c r="CU747">
        <f t="shared" si="675"/>
        <v>0</v>
      </c>
      <c r="CV747">
        <f t="shared" si="676"/>
        <v>3.6</v>
      </c>
      <c r="CW747">
        <f t="shared" si="677"/>
        <v>0</v>
      </c>
      <c r="CX747">
        <f t="shared" si="678"/>
        <v>0</v>
      </c>
      <c r="CY747">
        <f t="shared" si="679"/>
        <v>4046.9730000000004</v>
      </c>
      <c r="CZ747">
        <f t="shared" si="680"/>
        <v>578.13900000000001</v>
      </c>
      <c r="DC747" t="s">
        <v>3</v>
      </c>
      <c r="DD747" t="s">
        <v>3</v>
      </c>
      <c r="DE747" t="s">
        <v>3</v>
      </c>
      <c r="DF747" t="s">
        <v>3</v>
      </c>
      <c r="DG747" t="s">
        <v>3</v>
      </c>
      <c r="DH747" t="s">
        <v>3</v>
      </c>
      <c r="DI747" t="s">
        <v>3</v>
      </c>
      <c r="DJ747" t="s">
        <v>3</v>
      </c>
      <c r="DK747" t="s">
        <v>3</v>
      </c>
      <c r="DL747" t="s">
        <v>3</v>
      </c>
      <c r="DM747" t="s">
        <v>3</v>
      </c>
      <c r="DN747">
        <v>0</v>
      </c>
      <c r="DO747">
        <v>0</v>
      </c>
      <c r="DP747">
        <v>1</v>
      </c>
      <c r="DQ747">
        <v>1</v>
      </c>
      <c r="DU747">
        <v>1003</v>
      </c>
      <c r="DV747" t="s">
        <v>617</v>
      </c>
      <c r="DW747" t="s">
        <v>617</v>
      </c>
      <c r="DX747">
        <v>10</v>
      </c>
      <c r="DZ747" t="s">
        <v>3</v>
      </c>
      <c r="EA747" t="s">
        <v>3</v>
      </c>
      <c r="EB747" t="s">
        <v>3</v>
      </c>
      <c r="EC747" t="s">
        <v>3</v>
      </c>
      <c r="EE747">
        <v>1441815344</v>
      </c>
      <c r="EF747">
        <v>1</v>
      </c>
      <c r="EG747" t="s">
        <v>22</v>
      </c>
      <c r="EH747">
        <v>0</v>
      </c>
      <c r="EI747" t="s">
        <v>3</v>
      </c>
      <c r="EJ747">
        <v>4</v>
      </c>
      <c r="EK747">
        <v>0</v>
      </c>
      <c r="EL747" t="s">
        <v>23</v>
      </c>
      <c r="EM747" t="s">
        <v>24</v>
      </c>
      <c r="EO747" t="s">
        <v>3</v>
      </c>
      <c r="EQ747">
        <v>1311744</v>
      </c>
      <c r="ER747">
        <v>1927.13</v>
      </c>
      <c r="ES747">
        <v>0</v>
      </c>
      <c r="ET747">
        <v>0</v>
      </c>
      <c r="EU747">
        <v>0</v>
      </c>
      <c r="EV747">
        <v>1927.13</v>
      </c>
      <c r="EW747">
        <v>3.6</v>
      </c>
      <c r="EX747">
        <v>0</v>
      </c>
      <c r="EY747">
        <v>0</v>
      </c>
      <c r="FQ747">
        <v>0</v>
      </c>
      <c r="FR747">
        <f t="shared" si="681"/>
        <v>0</v>
      </c>
      <c r="FS747">
        <v>0</v>
      </c>
      <c r="FX747">
        <v>70</v>
      </c>
      <c r="FY747">
        <v>10</v>
      </c>
      <c r="GA747" t="s">
        <v>3</v>
      </c>
      <c r="GD747">
        <v>0</v>
      </c>
      <c r="GF747">
        <v>1248554923</v>
      </c>
      <c r="GG747">
        <v>2</v>
      </c>
      <c r="GH747">
        <v>1</v>
      </c>
      <c r="GI747">
        <v>-2</v>
      </c>
      <c r="GJ747">
        <v>0</v>
      </c>
      <c r="GK747">
        <f>ROUND(R747*(R12)/100,2)</f>
        <v>0</v>
      </c>
      <c r="GL747">
        <f t="shared" si="682"/>
        <v>0</v>
      </c>
      <c r="GM747">
        <f t="shared" si="683"/>
        <v>10406.5</v>
      </c>
      <c r="GN747">
        <f t="shared" si="684"/>
        <v>0</v>
      </c>
      <c r="GO747">
        <f t="shared" si="685"/>
        <v>0</v>
      </c>
      <c r="GP747">
        <f t="shared" si="686"/>
        <v>10406.5</v>
      </c>
      <c r="GR747">
        <v>0</v>
      </c>
      <c r="GS747">
        <v>3</v>
      </c>
      <c r="GT747">
        <v>0</v>
      </c>
      <c r="GU747" t="s">
        <v>3</v>
      </c>
      <c r="GV747">
        <f t="shared" si="687"/>
        <v>0</v>
      </c>
      <c r="GW747">
        <v>1</v>
      </c>
      <c r="GX747">
        <f t="shared" si="688"/>
        <v>0</v>
      </c>
      <c r="HA747">
        <v>0</v>
      </c>
      <c r="HB747">
        <v>0</v>
      </c>
      <c r="HC747">
        <f t="shared" si="689"/>
        <v>0</v>
      </c>
      <c r="HE747" t="s">
        <v>3</v>
      </c>
      <c r="HF747" t="s">
        <v>3</v>
      </c>
      <c r="HM747" t="s">
        <v>3</v>
      </c>
      <c r="HN747" t="s">
        <v>3</v>
      </c>
      <c r="HO747" t="s">
        <v>3</v>
      </c>
      <c r="HP747" t="s">
        <v>3</v>
      </c>
      <c r="HQ747" t="s">
        <v>3</v>
      </c>
      <c r="IK747">
        <v>0</v>
      </c>
    </row>
    <row r="748" spans="1:245" x14ac:dyDescent="0.2">
      <c r="A748">
        <v>17</v>
      </c>
      <c r="B748">
        <v>1</v>
      </c>
      <c r="D748">
        <f>ROW(EtalonRes!A633)</f>
        <v>633</v>
      </c>
      <c r="E748" t="s">
        <v>3</v>
      </c>
      <c r="F748" t="s">
        <v>619</v>
      </c>
      <c r="G748" t="s">
        <v>620</v>
      </c>
      <c r="H748" t="s">
        <v>617</v>
      </c>
      <c r="I748">
        <f>ROUND(ROUND((5+5+5+5+5+5)/10,9),9)</f>
        <v>3</v>
      </c>
      <c r="J748">
        <v>0</v>
      </c>
      <c r="K748">
        <f>ROUND(ROUND((5+5+5+5+5+5)/10,9),9)</f>
        <v>3</v>
      </c>
      <c r="O748">
        <f t="shared" si="657"/>
        <v>770.88</v>
      </c>
      <c r="P748">
        <f t="shared" si="658"/>
        <v>0</v>
      </c>
      <c r="Q748">
        <f t="shared" si="659"/>
        <v>0</v>
      </c>
      <c r="R748">
        <f t="shared" si="660"/>
        <v>0</v>
      </c>
      <c r="S748">
        <f t="shared" si="661"/>
        <v>770.88</v>
      </c>
      <c r="T748">
        <f t="shared" si="662"/>
        <v>0</v>
      </c>
      <c r="U748">
        <f t="shared" si="663"/>
        <v>1.44</v>
      </c>
      <c r="V748">
        <f t="shared" si="664"/>
        <v>0</v>
      </c>
      <c r="W748">
        <f t="shared" si="665"/>
        <v>0</v>
      </c>
      <c r="X748">
        <f t="shared" si="666"/>
        <v>539.62</v>
      </c>
      <c r="Y748">
        <f t="shared" si="667"/>
        <v>77.09</v>
      </c>
      <c r="AA748">
        <v>-1</v>
      </c>
      <c r="AB748">
        <f t="shared" si="668"/>
        <v>256.95999999999998</v>
      </c>
      <c r="AC748">
        <f>ROUND(((ES748*4)),6)</f>
        <v>0</v>
      </c>
      <c r="AD748">
        <f>ROUND(((((ET748*4))-((EU748*4)))+AE748),6)</f>
        <v>0</v>
      </c>
      <c r="AE748">
        <f>ROUND(((EU748*4)),6)</f>
        <v>0</v>
      </c>
      <c r="AF748">
        <f>ROUND(((EV748*4)),6)</f>
        <v>256.95999999999998</v>
      </c>
      <c r="AG748">
        <f t="shared" si="669"/>
        <v>0</v>
      </c>
      <c r="AH748">
        <f>((EW748*4))</f>
        <v>0.48</v>
      </c>
      <c r="AI748">
        <f>((EX748*4))</f>
        <v>0</v>
      </c>
      <c r="AJ748">
        <f t="shared" si="670"/>
        <v>0</v>
      </c>
      <c r="AK748">
        <v>64.239999999999995</v>
      </c>
      <c r="AL748">
        <v>0</v>
      </c>
      <c r="AM748">
        <v>0</v>
      </c>
      <c r="AN748">
        <v>0</v>
      </c>
      <c r="AO748">
        <v>64.239999999999995</v>
      </c>
      <c r="AP748">
        <v>0</v>
      </c>
      <c r="AQ748">
        <v>0.12</v>
      </c>
      <c r="AR748">
        <v>0</v>
      </c>
      <c r="AS748">
        <v>0</v>
      </c>
      <c r="AT748">
        <v>70</v>
      </c>
      <c r="AU748">
        <v>10</v>
      </c>
      <c r="AV748">
        <v>1</v>
      </c>
      <c r="AW748">
        <v>1</v>
      </c>
      <c r="AZ748">
        <v>1</v>
      </c>
      <c r="BA748">
        <v>1</v>
      </c>
      <c r="BB748">
        <v>1</v>
      </c>
      <c r="BC748">
        <v>1</v>
      </c>
      <c r="BD748" t="s">
        <v>3</v>
      </c>
      <c r="BE748" t="s">
        <v>3</v>
      </c>
      <c r="BF748" t="s">
        <v>3</v>
      </c>
      <c r="BG748" t="s">
        <v>3</v>
      </c>
      <c r="BH748">
        <v>0</v>
      </c>
      <c r="BI748">
        <v>4</v>
      </c>
      <c r="BJ748" t="s">
        <v>621</v>
      </c>
      <c r="BM748">
        <v>0</v>
      </c>
      <c r="BN748">
        <v>0</v>
      </c>
      <c r="BO748" t="s">
        <v>3</v>
      </c>
      <c r="BP748">
        <v>0</v>
      </c>
      <c r="BQ748">
        <v>1</v>
      </c>
      <c r="BR748">
        <v>0</v>
      </c>
      <c r="BS748">
        <v>1</v>
      </c>
      <c r="BT748">
        <v>1</v>
      </c>
      <c r="BU748">
        <v>1</v>
      </c>
      <c r="BV748">
        <v>1</v>
      </c>
      <c r="BW748">
        <v>1</v>
      </c>
      <c r="BX748">
        <v>1</v>
      </c>
      <c r="BY748" t="s">
        <v>3</v>
      </c>
      <c r="BZ748">
        <v>70</v>
      </c>
      <c r="CA748">
        <v>10</v>
      </c>
      <c r="CB748" t="s">
        <v>3</v>
      </c>
      <c r="CE748">
        <v>0</v>
      </c>
      <c r="CF748">
        <v>0</v>
      </c>
      <c r="CG748">
        <v>0</v>
      </c>
      <c r="CM748">
        <v>0</v>
      </c>
      <c r="CN748" t="s">
        <v>3</v>
      </c>
      <c r="CO748">
        <v>0</v>
      </c>
      <c r="CP748">
        <f t="shared" si="671"/>
        <v>770.88</v>
      </c>
      <c r="CQ748">
        <f t="shared" si="672"/>
        <v>0</v>
      </c>
      <c r="CR748">
        <f>(((((ET748*4))*BB748-((EU748*4))*BS748)+AE748*BS748)*AV748)</f>
        <v>0</v>
      </c>
      <c r="CS748">
        <f t="shared" si="673"/>
        <v>0</v>
      </c>
      <c r="CT748">
        <f t="shared" si="674"/>
        <v>256.95999999999998</v>
      </c>
      <c r="CU748">
        <f t="shared" si="675"/>
        <v>0</v>
      </c>
      <c r="CV748">
        <f t="shared" si="676"/>
        <v>0.48</v>
      </c>
      <c r="CW748">
        <f t="shared" si="677"/>
        <v>0</v>
      </c>
      <c r="CX748">
        <f t="shared" si="678"/>
        <v>0</v>
      </c>
      <c r="CY748">
        <f t="shared" si="679"/>
        <v>539.61599999999999</v>
      </c>
      <c r="CZ748">
        <f t="shared" si="680"/>
        <v>77.088000000000008</v>
      </c>
      <c r="DC748" t="s">
        <v>3</v>
      </c>
      <c r="DD748" t="s">
        <v>106</v>
      </c>
      <c r="DE748" t="s">
        <v>106</v>
      </c>
      <c r="DF748" t="s">
        <v>106</v>
      </c>
      <c r="DG748" t="s">
        <v>106</v>
      </c>
      <c r="DH748" t="s">
        <v>3</v>
      </c>
      <c r="DI748" t="s">
        <v>106</v>
      </c>
      <c r="DJ748" t="s">
        <v>106</v>
      </c>
      <c r="DK748" t="s">
        <v>3</v>
      </c>
      <c r="DL748" t="s">
        <v>3</v>
      </c>
      <c r="DM748" t="s">
        <v>3</v>
      </c>
      <c r="DN748">
        <v>0</v>
      </c>
      <c r="DO748">
        <v>0</v>
      </c>
      <c r="DP748">
        <v>1</v>
      </c>
      <c r="DQ748">
        <v>1</v>
      </c>
      <c r="DU748">
        <v>1003</v>
      </c>
      <c r="DV748" t="s">
        <v>617</v>
      </c>
      <c r="DW748" t="s">
        <v>617</v>
      </c>
      <c r="DX748">
        <v>10</v>
      </c>
      <c r="DZ748" t="s">
        <v>3</v>
      </c>
      <c r="EA748" t="s">
        <v>3</v>
      </c>
      <c r="EB748" t="s">
        <v>3</v>
      </c>
      <c r="EC748" t="s">
        <v>3</v>
      </c>
      <c r="EE748">
        <v>1441815344</v>
      </c>
      <c r="EF748">
        <v>1</v>
      </c>
      <c r="EG748" t="s">
        <v>22</v>
      </c>
      <c r="EH748">
        <v>0</v>
      </c>
      <c r="EI748" t="s">
        <v>3</v>
      </c>
      <c r="EJ748">
        <v>4</v>
      </c>
      <c r="EK748">
        <v>0</v>
      </c>
      <c r="EL748" t="s">
        <v>23</v>
      </c>
      <c r="EM748" t="s">
        <v>24</v>
      </c>
      <c r="EO748" t="s">
        <v>3</v>
      </c>
      <c r="EQ748">
        <v>1024</v>
      </c>
      <c r="ER748">
        <v>64.239999999999995</v>
      </c>
      <c r="ES748">
        <v>0</v>
      </c>
      <c r="ET748">
        <v>0</v>
      </c>
      <c r="EU748">
        <v>0</v>
      </c>
      <c r="EV748">
        <v>64.239999999999995</v>
      </c>
      <c r="EW748">
        <v>0.12</v>
      </c>
      <c r="EX748">
        <v>0</v>
      </c>
      <c r="EY748">
        <v>0</v>
      </c>
      <c r="FQ748">
        <v>0</v>
      </c>
      <c r="FR748">
        <f t="shared" si="681"/>
        <v>0</v>
      </c>
      <c r="FS748">
        <v>0</v>
      </c>
      <c r="FX748">
        <v>70</v>
      </c>
      <c r="FY748">
        <v>10</v>
      </c>
      <c r="GA748" t="s">
        <v>3</v>
      </c>
      <c r="GD748">
        <v>0</v>
      </c>
      <c r="GF748">
        <v>481267422</v>
      </c>
      <c r="GG748">
        <v>2</v>
      </c>
      <c r="GH748">
        <v>1</v>
      </c>
      <c r="GI748">
        <v>-2</v>
      </c>
      <c r="GJ748">
        <v>0</v>
      </c>
      <c r="GK748">
        <f>ROUND(R748*(R12)/100,2)</f>
        <v>0</v>
      </c>
      <c r="GL748">
        <f t="shared" si="682"/>
        <v>0</v>
      </c>
      <c r="GM748">
        <f t="shared" si="683"/>
        <v>1387.59</v>
      </c>
      <c r="GN748">
        <f t="shared" si="684"/>
        <v>0</v>
      </c>
      <c r="GO748">
        <f t="shared" si="685"/>
        <v>0</v>
      </c>
      <c r="GP748">
        <f t="shared" si="686"/>
        <v>1387.59</v>
      </c>
      <c r="GR748">
        <v>0</v>
      </c>
      <c r="GS748">
        <v>3</v>
      </c>
      <c r="GT748">
        <v>0</v>
      </c>
      <c r="GU748" t="s">
        <v>3</v>
      </c>
      <c r="GV748">
        <f t="shared" si="687"/>
        <v>0</v>
      </c>
      <c r="GW748">
        <v>1</v>
      </c>
      <c r="GX748">
        <f t="shared" si="688"/>
        <v>0</v>
      </c>
      <c r="HA748">
        <v>0</v>
      </c>
      <c r="HB748">
        <v>0</v>
      </c>
      <c r="HC748">
        <f t="shared" si="689"/>
        <v>0</v>
      </c>
      <c r="HE748" t="s">
        <v>3</v>
      </c>
      <c r="HF748" t="s">
        <v>3</v>
      </c>
      <c r="HM748" t="s">
        <v>3</v>
      </c>
      <c r="HN748" t="s">
        <v>3</v>
      </c>
      <c r="HO748" t="s">
        <v>3</v>
      </c>
      <c r="HP748" t="s">
        <v>3</v>
      </c>
      <c r="HQ748" t="s">
        <v>3</v>
      </c>
      <c r="IK748">
        <v>0</v>
      </c>
    </row>
    <row r="749" spans="1:245" x14ac:dyDescent="0.2">
      <c r="A749">
        <v>17</v>
      </c>
      <c r="B749">
        <v>1</v>
      </c>
      <c r="D749">
        <f>ROW(EtalonRes!A635)</f>
        <v>635</v>
      </c>
      <c r="E749" t="s">
        <v>622</v>
      </c>
      <c r="F749" t="s">
        <v>623</v>
      </c>
      <c r="G749" t="s">
        <v>624</v>
      </c>
      <c r="H749" t="s">
        <v>104</v>
      </c>
      <c r="I749">
        <f>ROUND(ROUND((10+10)*0.2*0.1/100,9),9)</f>
        <v>4.0000000000000001E-3</v>
      </c>
      <c r="J749">
        <v>0</v>
      </c>
      <c r="K749">
        <f>ROUND(ROUND((10+10)*0.2*0.1/100,9),9)</f>
        <v>4.0000000000000001E-3</v>
      </c>
      <c r="O749">
        <f t="shared" si="657"/>
        <v>24.08</v>
      </c>
      <c r="P749">
        <f t="shared" si="658"/>
        <v>0.06</v>
      </c>
      <c r="Q749">
        <f t="shared" si="659"/>
        <v>0</v>
      </c>
      <c r="R749">
        <f t="shared" si="660"/>
        <v>0</v>
      </c>
      <c r="S749">
        <f t="shared" si="661"/>
        <v>24.02</v>
      </c>
      <c r="T749">
        <f t="shared" si="662"/>
        <v>0</v>
      </c>
      <c r="U749">
        <f t="shared" si="663"/>
        <v>4.4880000000000003E-2</v>
      </c>
      <c r="V749">
        <f t="shared" si="664"/>
        <v>0</v>
      </c>
      <c r="W749">
        <f t="shared" si="665"/>
        <v>0</v>
      </c>
      <c r="X749">
        <f t="shared" si="666"/>
        <v>16.809999999999999</v>
      </c>
      <c r="Y749">
        <f t="shared" si="667"/>
        <v>2.4</v>
      </c>
      <c r="AA749">
        <v>1472506909</v>
      </c>
      <c r="AB749">
        <f t="shared" si="668"/>
        <v>6020.87</v>
      </c>
      <c r="AC749">
        <f>ROUND((ES749),6)</f>
        <v>14.63</v>
      </c>
      <c r="AD749">
        <f>ROUND((((ET749)-(EU749))+AE749),6)</f>
        <v>0</v>
      </c>
      <c r="AE749">
        <f t="shared" ref="AE749:AF751" si="692">ROUND((EU749),6)</f>
        <v>0</v>
      </c>
      <c r="AF749">
        <f t="shared" si="692"/>
        <v>6006.24</v>
      </c>
      <c r="AG749">
        <f t="shared" si="669"/>
        <v>0</v>
      </c>
      <c r="AH749">
        <f t="shared" ref="AH749:AI751" si="693">(EW749)</f>
        <v>11.22</v>
      </c>
      <c r="AI749">
        <f t="shared" si="693"/>
        <v>0</v>
      </c>
      <c r="AJ749">
        <f t="shared" si="670"/>
        <v>0</v>
      </c>
      <c r="AK749">
        <v>6020.87</v>
      </c>
      <c r="AL749">
        <v>14.63</v>
      </c>
      <c r="AM749">
        <v>0</v>
      </c>
      <c r="AN749">
        <v>0</v>
      </c>
      <c r="AO749">
        <v>6006.24</v>
      </c>
      <c r="AP749">
        <v>0</v>
      </c>
      <c r="AQ749">
        <v>11.22</v>
      </c>
      <c r="AR749">
        <v>0</v>
      </c>
      <c r="AS749">
        <v>0</v>
      </c>
      <c r="AT749">
        <v>70</v>
      </c>
      <c r="AU749">
        <v>10</v>
      </c>
      <c r="AV749">
        <v>1</v>
      </c>
      <c r="AW749">
        <v>1</v>
      </c>
      <c r="AZ749">
        <v>1</v>
      </c>
      <c r="BA749">
        <v>1</v>
      </c>
      <c r="BB749">
        <v>1</v>
      </c>
      <c r="BC749">
        <v>1</v>
      </c>
      <c r="BD749" t="s">
        <v>3</v>
      </c>
      <c r="BE749" t="s">
        <v>3</v>
      </c>
      <c r="BF749" t="s">
        <v>3</v>
      </c>
      <c r="BG749" t="s">
        <v>3</v>
      </c>
      <c r="BH749">
        <v>0</v>
      </c>
      <c r="BI749">
        <v>4</v>
      </c>
      <c r="BJ749" t="s">
        <v>625</v>
      </c>
      <c r="BM749">
        <v>0</v>
      </c>
      <c r="BN749">
        <v>0</v>
      </c>
      <c r="BO749" t="s">
        <v>3</v>
      </c>
      <c r="BP749">
        <v>0</v>
      </c>
      <c r="BQ749">
        <v>1</v>
      </c>
      <c r="BR749">
        <v>0</v>
      </c>
      <c r="BS749">
        <v>1</v>
      </c>
      <c r="BT749">
        <v>1</v>
      </c>
      <c r="BU749">
        <v>1</v>
      </c>
      <c r="BV749">
        <v>1</v>
      </c>
      <c r="BW749">
        <v>1</v>
      </c>
      <c r="BX749">
        <v>1</v>
      </c>
      <c r="BY749" t="s">
        <v>3</v>
      </c>
      <c r="BZ749">
        <v>70</v>
      </c>
      <c r="CA749">
        <v>10</v>
      </c>
      <c r="CB749" t="s">
        <v>3</v>
      </c>
      <c r="CE749">
        <v>0</v>
      </c>
      <c r="CF749">
        <v>0</v>
      </c>
      <c r="CG749">
        <v>0</v>
      </c>
      <c r="CM749">
        <v>0</v>
      </c>
      <c r="CN749" t="s">
        <v>3</v>
      </c>
      <c r="CO749">
        <v>0</v>
      </c>
      <c r="CP749">
        <f t="shared" si="671"/>
        <v>24.08</v>
      </c>
      <c r="CQ749">
        <f t="shared" si="672"/>
        <v>14.63</v>
      </c>
      <c r="CR749">
        <f>((((ET749)*BB749-(EU749)*BS749)+AE749*BS749)*AV749)</f>
        <v>0</v>
      </c>
      <c r="CS749">
        <f t="shared" si="673"/>
        <v>0</v>
      </c>
      <c r="CT749">
        <f t="shared" si="674"/>
        <v>6006.24</v>
      </c>
      <c r="CU749">
        <f t="shared" si="675"/>
        <v>0</v>
      </c>
      <c r="CV749">
        <f t="shared" si="676"/>
        <v>11.22</v>
      </c>
      <c r="CW749">
        <f t="shared" si="677"/>
        <v>0</v>
      </c>
      <c r="CX749">
        <f t="shared" si="678"/>
        <v>0</v>
      </c>
      <c r="CY749">
        <f t="shared" si="679"/>
        <v>16.814</v>
      </c>
      <c r="CZ749">
        <f t="shared" si="680"/>
        <v>2.4019999999999997</v>
      </c>
      <c r="DC749" t="s">
        <v>3</v>
      </c>
      <c r="DD749" t="s">
        <v>3</v>
      </c>
      <c r="DE749" t="s">
        <v>3</v>
      </c>
      <c r="DF749" t="s">
        <v>3</v>
      </c>
      <c r="DG749" t="s">
        <v>3</v>
      </c>
      <c r="DH749" t="s">
        <v>3</v>
      </c>
      <c r="DI749" t="s">
        <v>3</v>
      </c>
      <c r="DJ749" t="s">
        <v>3</v>
      </c>
      <c r="DK749" t="s">
        <v>3</v>
      </c>
      <c r="DL749" t="s">
        <v>3</v>
      </c>
      <c r="DM749" t="s">
        <v>3</v>
      </c>
      <c r="DN749">
        <v>0</v>
      </c>
      <c r="DO749">
        <v>0</v>
      </c>
      <c r="DP749">
        <v>1</v>
      </c>
      <c r="DQ749">
        <v>1</v>
      </c>
      <c r="DU749">
        <v>1003</v>
      </c>
      <c r="DV749" t="s">
        <v>104</v>
      </c>
      <c r="DW749" t="s">
        <v>104</v>
      </c>
      <c r="DX749">
        <v>100</v>
      </c>
      <c r="DZ749" t="s">
        <v>3</v>
      </c>
      <c r="EA749" t="s">
        <v>3</v>
      </c>
      <c r="EB749" t="s">
        <v>3</v>
      </c>
      <c r="EC749" t="s">
        <v>3</v>
      </c>
      <c r="EE749">
        <v>1441815344</v>
      </c>
      <c r="EF749">
        <v>1</v>
      </c>
      <c r="EG749" t="s">
        <v>22</v>
      </c>
      <c r="EH749">
        <v>0</v>
      </c>
      <c r="EI749" t="s">
        <v>3</v>
      </c>
      <c r="EJ749">
        <v>4</v>
      </c>
      <c r="EK749">
        <v>0</v>
      </c>
      <c r="EL749" t="s">
        <v>23</v>
      </c>
      <c r="EM749" t="s">
        <v>24</v>
      </c>
      <c r="EO749" t="s">
        <v>3</v>
      </c>
      <c r="EQ749">
        <v>0</v>
      </c>
      <c r="ER749">
        <v>6020.87</v>
      </c>
      <c r="ES749">
        <v>14.63</v>
      </c>
      <c r="ET749">
        <v>0</v>
      </c>
      <c r="EU749">
        <v>0</v>
      </c>
      <c r="EV749">
        <v>6006.24</v>
      </c>
      <c r="EW749">
        <v>11.22</v>
      </c>
      <c r="EX749">
        <v>0</v>
      </c>
      <c r="EY749">
        <v>0</v>
      </c>
      <c r="FQ749">
        <v>0</v>
      </c>
      <c r="FR749">
        <f t="shared" si="681"/>
        <v>0</v>
      </c>
      <c r="FS749">
        <v>0</v>
      </c>
      <c r="FX749">
        <v>70</v>
      </c>
      <c r="FY749">
        <v>10</v>
      </c>
      <c r="GA749" t="s">
        <v>3</v>
      </c>
      <c r="GD749">
        <v>0</v>
      </c>
      <c r="GF749">
        <v>-1811468466</v>
      </c>
      <c r="GG749">
        <v>2</v>
      </c>
      <c r="GH749">
        <v>1</v>
      </c>
      <c r="GI749">
        <v>-2</v>
      </c>
      <c r="GJ749">
        <v>0</v>
      </c>
      <c r="GK749">
        <f>ROUND(R749*(R12)/100,2)</f>
        <v>0</v>
      </c>
      <c r="GL749">
        <f t="shared" si="682"/>
        <v>0</v>
      </c>
      <c r="GM749">
        <f t="shared" si="683"/>
        <v>43.29</v>
      </c>
      <c r="GN749">
        <f t="shared" si="684"/>
        <v>0</v>
      </c>
      <c r="GO749">
        <f t="shared" si="685"/>
        <v>0</v>
      </c>
      <c r="GP749">
        <f t="shared" si="686"/>
        <v>43.29</v>
      </c>
      <c r="GR749">
        <v>0</v>
      </c>
      <c r="GS749">
        <v>3</v>
      </c>
      <c r="GT749">
        <v>0</v>
      </c>
      <c r="GU749" t="s">
        <v>3</v>
      </c>
      <c r="GV749">
        <f t="shared" si="687"/>
        <v>0</v>
      </c>
      <c r="GW749">
        <v>1</v>
      </c>
      <c r="GX749">
        <f t="shared" si="688"/>
        <v>0</v>
      </c>
      <c r="HA749">
        <v>0</v>
      </c>
      <c r="HB749">
        <v>0</v>
      </c>
      <c r="HC749">
        <f t="shared" si="689"/>
        <v>0</v>
      </c>
      <c r="HE749" t="s">
        <v>3</v>
      </c>
      <c r="HF749" t="s">
        <v>3</v>
      </c>
      <c r="HM749" t="s">
        <v>3</v>
      </c>
      <c r="HN749" t="s">
        <v>3</v>
      </c>
      <c r="HO749" t="s">
        <v>3</v>
      </c>
      <c r="HP749" t="s">
        <v>3</v>
      </c>
      <c r="HQ749" t="s">
        <v>3</v>
      </c>
      <c r="IK749">
        <v>0</v>
      </c>
    </row>
    <row r="750" spans="1:245" x14ac:dyDescent="0.2">
      <c r="A750">
        <v>17</v>
      </c>
      <c r="B750">
        <v>1</v>
      </c>
      <c r="D750">
        <f>ROW(EtalonRes!A636)</f>
        <v>636</v>
      </c>
      <c r="E750" t="s">
        <v>626</v>
      </c>
      <c r="F750" t="s">
        <v>627</v>
      </c>
      <c r="G750" t="s">
        <v>628</v>
      </c>
      <c r="H750" t="s">
        <v>104</v>
      </c>
      <c r="I750">
        <f>ROUND(ROUND((10+10)*0.1/100,9),9)</f>
        <v>0.02</v>
      </c>
      <c r="J750">
        <v>0</v>
      </c>
      <c r="K750">
        <f>ROUND(ROUND((10+10)*0.1/100,9),9)</f>
        <v>0.02</v>
      </c>
      <c r="O750">
        <f t="shared" si="657"/>
        <v>21.84</v>
      </c>
      <c r="P750">
        <f t="shared" si="658"/>
        <v>0</v>
      </c>
      <c r="Q750">
        <f t="shared" si="659"/>
        <v>0</v>
      </c>
      <c r="R750">
        <f t="shared" si="660"/>
        <v>0</v>
      </c>
      <c r="S750">
        <f t="shared" si="661"/>
        <v>21.84</v>
      </c>
      <c r="T750">
        <f t="shared" si="662"/>
        <v>0</v>
      </c>
      <c r="U750">
        <f t="shared" si="663"/>
        <v>4.0800000000000003E-2</v>
      </c>
      <c r="V750">
        <f t="shared" si="664"/>
        <v>0</v>
      </c>
      <c r="W750">
        <f t="shared" si="665"/>
        <v>0</v>
      </c>
      <c r="X750">
        <f t="shared" si="666"/>
        <v>15.29</v>
      </c>
      <c r="Y750">
        <f t="shared" si="667"/>
        <v>2.1800000000000002</v>
      </c>
      <c r="AA750">
        <v>1472506909</v>
      </c>
      <c r="AB750">
        <f t="shared" si="668"/>
        <v>1092.04</v>
      </c>
      <c r="AC750">
        <f>ROUND((ES750),6)</f>
        <v>0</v>
      </c>
      <c r="AD750">
        <f>ROUND((((ET750)-(EU750))+AE750),6)</f>
        <v>0</v>
      </c>
      <c r="AE750">
        <f t="shared" si="692"/>
        <v>0</v>
      </c>
      <c r="AF750">
        <f t="shared" si="692"/>
        <v>1092.04</v>
      </c>
      <c r="AG750">
        <f t="shared" si="669"/>
        <v>0</v>
      </c>
      <c r="AH750">
        <f t="shared" si="693"/>
        <v>2.04</v>
      </c>
      <c r="AI750">
        <f t="shared" si="693"/>
        <v>0</v>
      </c>
      <c r="AJ750">
        <f t="shared" si="670"/>
        <v>0</v>
      </c>
      <c r="AK750">
        <v>1092.04</v>
      </c>
      <c r="AL750">
        <v>0</v>
      </c>
      <c r="AM750">
        <v>0</v>
      </c>
      <c r="AN750">
        <v>0</v>
      </c>
      <c r="AO750">
        <v>1092.04</v>
      </c>
      <c r="AP750">
        <v>0</v>
      </c>
      <c r="AQ750">
        <v>2.04</v>
      </c>
      <c r="AR750">
        <v>0</v>
      </c>
      <c r="AS750">
        <v>0</v>
      </c>
      <c r="AT750">
        <v>70</v>
      </c>
      <c r="AU750">
        <v>10</v>
      </c>
      <c r="AV750">
        <v>1</v>
      </c>
      <c r="AW750">
        <v>1</v>
      </c>
      <c r="AZ750">
        <v>1</v>
      </c>
      <c r="BA750">
        <v>1</v>
      </c>
      <c r="BB750">
        <v>1</v>
      </c>
      <c r="BC750">
        <v>1</v>
      </c>
      <c r="BD750" t="s">
        <v>3</v>
      </c>
      <c r="BE750" t="s">
        <v>3</v>
      </c>
      <c r="BF750" t="s">
        <v>3</v>
      </c>
      <c r="BG750" t="s">
        <v>3</v>
      </c>
      <c r="BH750">
        <v>0</v>
      </c>
      <c r="BI750">
        <v>4</v>
      </c>
      <c r="BJ750" t="s">
        <v>629</v>
      </c>
      <c r="BM750">
        <v>0</v>
      </c>
      <c r="BN750">
        <v>0</v>
      </c>
      <c r="BO750" t="s">
        <v>3</v>
      </c>
      <c r="BP750">
        <v>0</v>
      </c>
      <c r="BQ750">
        <v>1</v>
      </c>
      <c r="BR750">
        <v>0</v>
      </c>
      <c r="BS750">
        <v>1</v>
      </c>
      <c r="BT750">
        <v>1</v>
      </c>
      <c r="BU750">
        <v>1</v>
      </c>
      <c r="BV750">
        <v>1</v>
      </c>
      <c r="BW750">
        <v>1</v>
      </c>
      <c r="BX750">
        <v>1</v>
      </c>
      <c r="BY750" t="s">
        <v>3</v>
      </c>
      <c r="BZ750">
        <v>70</v>
      </c>
      <c r="CA750">
        <v>10</v>
      </c>
      <c r="CB750" t="s">
        <v>3</v>
      </c>
      <c r="CE750">
        <v>0</v>
      </c>
      <c r="CF750">
        <v>0</v>
      </c>
      <c r="CG750">
        <v>0</v>
      </c>
      <c r="CM750">
        <v>0</v>
      </c>
      <c r="CN750" t="s">
        <v>3</v>
      </c>
      <c r="CO750">
        <v>0</v>
      </c>
      <c r="CP750">
        <f t="shared" si="671"/>
        <v>21.84</v>
      </c>
      <c r="CQ750">
        <f t="shared" si="672"/>
        <v>0</v>
      </c>
      <c r="CR750">
        <f>((((ET750)*BB750-(EU750)*BS750)+AE750*BS750)*AV750)</f>
        <v>0</v>
      </c>
      <c r="CS750">
        <f t="shared" si="673"/>
        <v>0</v>
      </c>
      <c r="CT750">
        <f t="shared" si="674"/>
        <v>1092.04</v>
      </c>
      <c r="CU750">
        <f t="shared" si="675"/>
        <v>0</v>
      </c>
      <c r="CV750">
        <f t="shared" si="676"/>
        <v>2.04</v>
      </c>
      <c r="CW750">
        <f t="shared" si="677"/>
        <v>0</v>
      </c>
      <c r="CX750">
        <f t="shared" si="678"/>
        <v>0</v>
      </c>
      <c r="CY750">
        <f t="shared" si="679"/>
        <v>15.288</v>
      </c>
      <c r="CZ750">
        <f t="shared" si="680"/>
        <v>2.1840000000000002</v>
      </c>
      <c r="DC750" t="s">
        <v>3</v>
      </c>
      <c r="DD750" t="s">
        <v>3</v>
      </c>
      <c r="DE750" t="s">
        <v>3</v>
      </c>
      <c r="DF750" t="s">
        <v>3</v>
      </c>
      <c r="DG750" t="s">
        <v>3</v>
      </c>
      <c r="DH750" t="s">
        <v>3</v>
      </c>
      <c r="DI750" t="s">
        <v>3</v>
      </c>
      <c r="DJ750" t="s">
        <v>3</v>
      </c>
      <c r="DK750" t="s">
        <v>3</v>
      </c>
      <c r="DL750" t="s">
        <v>3</v>
      </c>
      <c r="DM750" t="s">
        <v>3</v>
      </c>
      <c r="DN750">
        <v>0</v>
      </c>
      <c r="DO750">
        <v>0</v>
      </c>
      <c r="DP750">
        <v>1</v>
      </c>
      <c r="DQ750">
        <v>1</v>
      </c>
      <c r="DU750">
        <v>1003</v>
      </c>
      <c r="DV750" t="s">
        <v>104</v>
      </c>
      <c r="DW750" t="s">
        <v>104</v>
      </c>
      <c r="DX750">
        <v>100</v>
      </c>
      <c r="DZ750" t="s">
        <v>3</v>
      </c>
      <c r="EA750" t="s">
        <v>3</v>
      </c>
      <c r="EB750" t="s">
        <v>3</v>
      </c>
      <c r="EC750" t="s">
        <v>3</v>
      </c>
      <c r="EE750">
        <v>1441815344</v>
      </c>
      <c r="EF750">
        <v>1</v>
      </c>
      <c r="EG750" t="s">
        <v>22</v>
      </c>
      <c r="EH750">
        <v>0</v>
      </c>
      <c r="EI750" t="s">
        <v>3</v>
      </c>
      <c r="EJ750">
        <v>4</v>
      </c>
      <c r="EK750">
        <v>0</v>
      </c>
      <c r="EL750" t="s">
        <v>23</v>
      </c>
      <c r="EM750" t="s">
        <v>24</v>
      </c>
      <c r="EO750" t="s">
        <v>3</v>
      </c>
      <c r="EQ750">
        <v>0</v>
      </c>
      <c r="ER750">
        <v>1092.04</v>
      </c>
      <c r="ES750">
        <v>0</v>
      </c>
      <c r="ET750">
        <v>0</v>
      </c>
      <c r="EU750">
        <v>0</v>
      </c>
      <c r="EV750">
        <v>1092.04</v>
      </c>
      <c r="EW750">
        <v>2.04</v>
      </c>
      <c r="EX750">
        <v>0</v>
      </c>
      <c r="EY750">
        <v>0</v>
      </c>
      <c r="FQ750">
        <v>0</v>
      </c>
      <c r="FR750">
        <f t="shared" si="681"/>
        <v>0</v>
      </c>
      <c r="FS750">
        <v>0</v>
      </c>
      <c r="FX750">
        <v>70</v>
      </c>
      <c r="FY750">
        <v>10</v>
      </c>
      <c r="GA750" t="s">
        <v>3</v>
      </c>
      <c r="GD750">
        <v>0</v>
      </c>
      <c r="GF750">
        <v>-969674239</v>
      </c>
      <c r="GG750">
        <v>2</v>
      </c>
      <c r="GH750">
        <v>1</v>
      </c>
      <c r="GI750">
        <v>-2</v>
      </c>
      <c r="GJ750">
        <v>0</v>
      </c>
      <c r="GK750">
        <f>ROUND(R750*(R12)/100,2)</f>
        <v>0</v>
      </c>
      <c r="GL750">
        <f t="shared" si="682"/>
        <v>0</v>
      </c>
      <c r="GM750">
        <f t="shared" si="683"/>
        <v>39.31</v>
      </c>
      <c r="GN750">
        <f t="shared" si="684"/>
        <v>0</v>
      </c>
      <c r="GO750">
        <f t="shared" si="685"/>
        <v>0</v>
      </c>
      <c r="GP750">
        <f t="shared" si="686"/>
        <v>39.31</v>
      </c>
      <c r="GR750">
        <v>0</v>
      </c>
      <c r="GS750">
        <v>3</v>
      </c>
      <c r="GT750">
        <v>0</v>
      </c>
      <c r="GU750" t="s">
        <v>3</v>
      </c>
      <c r="GV750">
        <f t="shared" si="687"/>
        <v>0</v>
      </c>
      <c r="GW750">
        <v>1</v>
      </c>
      <c r="GX750">
        <f t="shared" si="688"/>
        <v>0</v>
      </c>
      <c r="HA750">
        <v>0</v>
      </c>
      <c r="HB750">
        <v>0</v>
      </c>
      <c r="HC750">
        <f t="shared" si="689"/>
        <v>0</v>
      </c>
      <c r="HE750" t="s">
        <v>3</v>
      </c>
      <c r="HF750" t="s">
        <v>3</v>
      </c>
      <c r="HM750" t="s">
        <v>3</v>
      </c>
      <c r="HN750" t="s">
        <v>3</v>
      </c>
      <c r="HO750" t="s">
        <v>3</v>
      </c>
      <c r="HP750" t="s">
        <v>3</v>
      </c>
      <c r="HQ750" t="s">
        <v>3</v>
      </c>
      <c r="IK750">
        <v>0</v>
      </c>
    </row>
    <row r="751" spans="1:245" x14ac:dyDescent="0.2">
      <c r="A751">
        <v>17</v>
      </c>
      <c r="B751">
        <v>1</v>
      </c>
      <c r="D751">
        <f>ROW(EtalonRes!A638)</f>
        <v>638</v>
      </c>
      <c r="E751" t="s">
        <v>630</v>
      </c>
      <c r="F751" t="s">
        <v>631</v>
      </c>
      <c r="G751" t="s">
        <v>632</v>
      </c>
      <c r="H751" t="s">
        <v>20</v>
      </c>
      <c r="I751">
        <f>ROUND(2,9)</f>
        <v>2</v>
      </c>
      <c r="J751">
        <v>0</v>
      </c>
      <c r="K751">
        <f>ROUND(2,9)</f>
        <v>2</v>
      </c>
      <c r="O751">
        <f t="shared" si="657"/>
        <v>677.76</v>
      </c>
      <c r="P751">
        <f t="shared" si="658"/>
        <v>3.14</v>
      </c>
      <c r="Q751">
        <f t="shared" si="659"/>
        <v>0</v>
      </c>
      <c r="R751">
        <f t="shared" si="660"/>
        <v>0</v>
      </c>
      <c r="S751">
        <f t="shared" si="661"/>
        <v>674.62</v>
      </c>
      <c r="T751">
        <f t="shared" si="662"/>
        <v>0</v>
      </c>
      <c r="U751">
        <f t="shared" si="663"/>
        <v>1.2</v>
      </c>
      <c r="V751">
        <f t="shared" si="664"/>
        <v>0</v>
      </c>
      <c r="W751">
        <f t="shared" si="665"/>
        <v>0</v>
      </c>
      <c r="X751">
        <f t="shared" si="666"/>
        <v>472.23</v>
      </c>
      <c r="Y751">
        <f t="shared" si="667"/>
        <v>67.459999999999994</v>
      </c>
      <c r="AA751">
        <v>1472506909</v>
      </c>
      <c r="AB751">
        <f t="shared" si="668"/>
        <v>338.88</v>
      </c>
      <c r="AC751">
        <f>ROUND((ES751),6)</f>
        <v>1.57</v>
      </c>
      <c r="AD751">
        <f>ROUND((((ET751)-(EU751))+AE751),6)</f>
        <v>0</v>
      </c>
      <c r="AE751">
        <f t="shared" si="692"/>
        <v>0</v>
      </c>
      <c r="AF751">
        <f t="shared" si="692"/>
        <v>337.31</v>
      </c>
      <c r="AG751">
        <f t="shared" si="669"/>
        <v>0</v>
      </c>
      <c r="AH751">
        <f t="shared" si="693"/>
        <v>0.6</v>
      </c>
      <c r="AI751">
        <f t="shared" si="693"/>
        <v>0</v>
      </c>
      <c r="AJ751">
        <f t="shared" si="670"/>
        <v>0</v>
      </c>
      <c r="AK751">
        <v>338.88</v>
      </c>
      <c r="AL751">
        <v>1.57</v>
      </c>
      <c r="AM751">
        <v>0</v>
      </c>
      <c r="AN751">
        <v>0</v>
      </c>
      <c r="AO751">
        <v>337.31</v>
      </c>
      <c r="AP751">
        <v>0</v>
      </c>
      <c r="AQ751">
        <v>0.6</v>
      </c>
      <c r="AR751">
        <v>0</v>
      </c>
      <c r="AS751">
        <v>0</v>
      </c>
      <c r="AT751">
        <v>70</v>
      </c>
      <c r="AU751">
        <v>10</v>
      </c>
      <c r="AV751">
        <v>1</v>
      </c>
      <c r="AW751">
        <v>1</v>
      </c>
      <c r="AZ751">
        <v>1</v>
      </c>
      <c r="BA751">
        <v>1</v>
      </c>
      <c r="BB751">
        <v>1</v>
      </c>
      <c r="BC751">
        <v>1</v>
      </c>
      <c r="BD751" t="s">
        <v>3</v>
      </c>
      <c r="BE751" t="s">
        <v>3</v>
      </c>
      <c r="BF751" t="s">
        <v>3</v>
      </c>
      <c r="BG751" t="s">
        <v>3</v>
      </c>
      <c r="BH751">
        <v>0</v>
      </c>
      <c r="BI751">
        <v>4</v>
      </c>
      <c r="BJ751" t="s">
        <v>633</v>
      </c>
      <c r="BM751">
        <v>0</v>
      </c>
      <c r="BN751">
        <v>0</v>
      </c>
      <c r="BO751" t="s">
        <v>3</v>
      </c>
      <c r="BP751">
        <v>0</v>
      </c>
      <c r="BQ751">
        <v>1</v>
      </c>
      <c r="BR751">
        <v>0</v>
      </c>
      <c r="BS751">
        <v>1</v>
      </c>
      <c r="BT751">
        <v>1</v>
      </c>
      <c r="BU751">
        <v>1</v>
      </c>
      <c r="BV751">
        <v>1</v>
      </c>
      <c r="BW751">
        <v>1</v>
      </c>
      <c r="BX751">
        <v>1</v>
      </c>
      <c r="BY751" t="s">
        <v>3</v>
      </c>
      <c r="BZ751">
        <v>70</v>
      </c>
      <c r="CA751">
        <v>10</v>
      </c>
      <c r="CB751" t="s">
        <v>3</v>
      </c>
      <c r="CE751">
        <v>0</v>
      </c>
      <c r="CF751">
        <v>0</v>
      </c>
      <c r="CG751">
        <v>0</v>
      </c>
      <c r="CM751">
        <v>0</v>
      </c>
      <c r="CN751" t="s">
        <v>3</v>
      </c>
      <c r="CO751">
        <v>0</v>
      </c>
      <c r="CP751">
        <f t="shared" si="671"/>
        <v>677.76</v>
      </c>
      <c r="CQ751">
        <f t="shared" si="672"/>
        <v>1.57</v>
      </c>
      <c r="CR751">
        <f>((((ET751)*BB751-(EU751)*BS751)+AE751*BS751)*AV751)</f>
        <v>0</v>
      </c>
      <c r="CS751">
        <f t="shared" si="673"/>
        <v>0</v>
      </c>
      <c r="CT751">
        <f t="shared" si="674"/>
        <v>337.31</v>
      </c>
      <c r="CU751">
        <f t="shared" si="675"/>
        <v>0</v>
      </c>
      <c r="CV751">
        <f t="shared" si="676"/>
        <v>0.6</v>
      </c>
      <c r="CW751">
        <f t="shared" si="677"/>
        <v>0</v>
      </c>
      <c r="CX751">
        <f t="shared" si="678"/>
        <v>0</v>
      </c>
      <c r="CY751">
        <f t="shared" si="679"/>
        <v>472.23400000000004</v>
      </c>
      <c r="CZ751">
        <f t="shared" si="680"/>
        <v>67.462000000000003</v>
      </c>
      <c r="DC751" t="s">
        <v>3</v>
      </c>
      <c r="DD751" t="s">
        <v>3</v>
      </c>
      <c r="DE751" t="s">
        <v>3</v>
      </c>
      <c r="DF751" t="s">
        <v>3</v>
      </c>
      <c r="DG751" t="s">
        <v>3</v>
      </c>
      <c r="DH751" t="s">
        <v>3</v>
      </c>
      <c r="DI751" t="s">
        <v>3</v>
      </c>
      <c r="DJ751" t="s">
        <v>3</v>
      </c>
      <c r="DK751" t="s">
        <v>3</v>
      </c>
      <c r="DL751" t="s">
        <v>3</v>
      </c>
      <c r="DM751" t="s">
        <v>3</v>
      </c>
      <c r="DN751">
        <v>0</v>
      </c>
      <c r="DO751">
        <v>0</v>
      </c>
      <c r="DP751">
        <v>1</v>
      </c>
      <c r="DQ751">
        <v>1</v>
      </c>
      <c r="DU751">
        <v>16987630</v>
      </c>
      <c r="DV751" t="s">
        <v>20</v>
      </c>
      <c r="DW751" t="s">
        <v>20</v>
      </c>
      <c r="DX751">
        <v>1</v>
      </c>
      <c r="DZ751" t="s">
        <v>3</v>
      </c>
      <c r="EA751" t="s">
        <v>3</v>
      </c>
      <c r="EB751" t="s">
        <v>3</v>
      </c>
      <c r="EC751" t="s">
        <v>3</v>
      </c>
      <c r="EE751">
        <v>1441815344</v>
      </c>
      <c r="EF751">
        <v>1</v>
      </c>
      <c r="EG751" t="s">
        <v>22</v>
      </c>
      <c r="EH751">
        <v>0</v>
      </c>
      <c r="EI751" t="s">
        <v>3</v>
      </c>
      <c r="EJ751">
        <v>4</v>
      </c>
      <c r="EK751">
        <v>0</v>
      </c>
      <c r="EL751" t="s">
        <v>23</v>
      </c>
      <c r="EM751" t="s">
        <v>24</v>
      </c>
      <c r="EO751" t="s">
        <v>3</v>
      </c>
      <c r="EQ751">
        <v>0</v>
      </c>
      <c r="ER751">
        <v>338.88</v>
      </c>
      <c r="ES751">
        <v>1.57</v>
      </c>
      <c r="ET751">
        <v>0</v>
      </c>
      <c r="EU751">
        <v>0</v>
      </c>
      <c r="EV751">
        <v>337.31</v>
      </c>
      <c r="EW751">
        <v>0.6</v>
      </c>
      <c r="EX751">
        <v>0</v>
      </c>
      <c r="EY751">
        <v>0</v>
      </c>
      <c r="FQ751">
        <v>0</v>
      </c>
      <c r="FR751">
        <f t="shared" si="681"/>
        <v>0</v>
      </c>
      <c r="FS751">
        <v>0</v>
      </c>
      <c r="FX751">
        <v>70</v>
      </c>
      <c r="FY751">
        <v>10</v>
      </c>
      <c r="GA751" t="s">
        <v>3</v>
      </c>
      <c r="GD751">
        <v>0</v>
      </c>
      <c r="GF751">
        <v>595984218</v>
      </c>
      <c r="GG751">
        <v>2</v>
      </c>
      <c r="GH751">
        <v>1</v>
      </c>
      <c r="GI751">
        <v>-2</v>
      </c>
      <c r="GJ751">
        <v>0</v>
      </c>
      <c r="GK751">
        <f>ROUND(R751*(R12)/100,2)</f>
        <v>0</v>
      </c>
      <c r="GL751">
        <f t="shared" si="682"/>
        <v>0</v>
      </c>
      <c r="GM751">
        <f t="shared" si="683"/>
        <v>1217.45</v>
      </c>
      <c r="GN751">
        <f t="shared" si="684"/>
        <v>0</v>
      </c>
      <c r="GO751">
        <f t="shared" si="685"/>
        <v>0</v>
      </c>
      <c r="GP751">
        <f t="shared" si="686"/>
        <v>1217.45</v>
      </c>
      <c r="GR751">
        <v>0</v>
      </c>
      <c r="GS751">
        <v>3</v>
      </c>
      <c r="GT751">
        <v>0</v>
      </c>
      <c r="GU751" t="s">
        <v>3</v>
      </c>
      <c r="GV751">
        <f t="shared" si="687"/>
        <v>0</v>
      </c>
      <c r="GW751">
        <v>1</v>
      </c>
      <c r="GX751">
        <f t="shared" si="688"/>
        <v>0</v>
      </c>
      <c r="HA751">
        <v>0</v>
      </c>
      <c r="HB751">
        <v>0</v>
      </c>
      <c r="HC751">
        <f t="shared" si="689"/>
        <v>0</v>
      </c>
      <c r="HE751" t="s">
        <v>3</v>
      </c>
      <c r="HF751" t="s">
        <v>3</v>
      </c>
      <c r="HM751" t="s">
        <v>3</v>
      </c>
      <c r="HN751" t="s">
        <v>3</v>
      </c>
      <c r="HO751" t="s">
        <v>3</v>
      </c>
      <c r="HP751" t="s">
        <v>3</v>
      </c>
      <c r="HQ751" t="s">
        <v>3</v>
      </c>
      <c r="IK751">
        <v>0</v>
      </c>
    </row>
    <row r="752" spans="1:245" x14ac:dyDescent="0.2">
      <c r="A752">
        <v>17</v>
      </c>
      <c r="B752">
        <v>1</v>
      </c>
      <c r="D752">
        <f>ROW(EtalonRes!A639)</f>
        <v>639</v>
      </c>
      <c r="E752" t="s">
        <v>3</v>
      </c>
      <c r="F752" t="s">
        <v>634</v>
      </c>
      <c r="G752" t="s">
        <v>635</v>
      </c>
      <c r="H752" t="s">
        <v>20</v>
      </c>
      <c r="I752">
        <f>ROUND(2,9)</f>
        <v>2</v>
      </c>
      <c r="J752">
        <v>0</v>
      </c>
      <c r="K752">
        <f>ROUND(2,9)</f>
        <v>2</v>
      </c>
      <c r="O752">
        <f t="shared" si="657"/>
        <v>567.67999999999995</v>
      </c>
      <c r="P752">
        <f t="shared" si="658"/>
        <v>0</v>
      </c>
      <c r="Q752">
        <f t="shared" si="659"/>
        <v>0</v>
      </c>
      <c r="R752">
        <f t="shared" si="660"/>
        <v>0</v>
      </c>
      <c r="S752">
        <f t="shared" si="661"/>
        <v>567.67999999999995</v>
      </c>
      <c r="T752">
        <f t="shared" si="662"/>
        <v>0</v>
      </c>
      <c r="U752">
        <f t="shared" si="663"/>
        <v>1.1200000000000001</v>
      </c>
      <c r="V752">
        <f t="shared" si="664"/>
        <v>0</v>
      </c>
      <c r="W752">
        <f t="shared" si="665"/>
        <v>0</v>
      </c>
      <c r="X752">
        <f t="shared" si="666"/>
        <v>397.38</v>
      </c>
      <c r="Y752">
        <f t="shared" si="667"/>
        <v>56.77</v>
      </c>
      <c r="AA752">
        <v>-1</v>
      </c>
      <c r="AB752">
        <f t="shared" si="668"/>
        <v>283.83999999999997</v>
      </c>
      <c r="AC752">
        <f>ROUND(((ES752*4)),6)</f>
        <v>0</v>
      </c>
      <c r="AD752">
        <f>ROUND(((((ET752*4))-((EU752*4)))+AE752),6)</f>
        <v>0</v>
      </c>
      <c r="AE752">
        <f>ROUND(((EU752*4)),6)</f>
        <v>0</v>
      </c>
      <c r="AF752">
        <f>ROUND(((EV752*4)),6)</f>
        <v>283.83999999999997</v>
      </c>
      <c r="AG752">
        <f t="shared" si="669"/>
        <v>0</v>
      </c>
      <c r="AH752">
        <f>((EW752*4))</f>
        <v>0.56000000000000005</v>
      </c>
      <c r="AI752">
        <f>((EX752*4))</f>
        <v>0</v>
      </c>
      <c r="AJ752">
        <f t="shared" si="670"/>
        <v>0</v>
      </c>
      <c r="AK752">
        <v>70.959999999999994</v>
      </c>
      <c r="AL752">
        <v>0</v>
      </c>
      <c r="AM752">
        <v>0</v>
      </c>
      <c r="AN752">
        <v>0</v>
      </c>
      <c r="AO752">
        <v>70.959999999999994</v>
      </c>
      <c r="AP752">
        <v>0</v>
      </c>
      <c r="AQ752">
        <v>0.14000000000000001</v>
      </c>
      <c r="AR752">
        <v>0</v>
      </c>
      <c r="AS752">
        <v>0</v>
      </c>
      <c r="AT752">
        <v>70</v>
      </c>
      <c r="AU752">
        <v>10</v>
      </c>
      <c r="AV752">
        <v>1</v>
      </c>
      <c r="AW752">
        <v>1</v>
      </c>
      <c r="AZ752">
        <v>1</v>
      </c>
      <c r="BA752">
        <v>1</v>
      </c>
      <c r="BB752">
        <v>1</v>
      </c>
      <c r="BC752">
        <v>1</v>
      </c>
      <c r="BD752" t="s">
        <v>3</v>
      </c>
      <c r="BE752" t="s">
        <v>3</v>
      </c>
      <c r="BF752" t="s">
        <v>3</v>
      </c>
      <c r="BG752" t="s">
        <v>3</v>
      </c>
      <c r="BH752">
        <v>0</v>
      </c>
      <c r="BI752">
        <v>4</v>
      </c>
      <c r="BJ752" t="s">
        <v>636</v>
      </c>
      <c r="BM752">
        <v>0</v>
      </c>
      <c r="BN752">
        <v>0</v>
      </c>
      <c r="BO752" t="s">
        <v>3</v>
      </c>
      <c r="BP752">
        <v>0</v>
      </c>
      <c r="BQ752">
        <v>1</v>
      </c>
      <c r="BR752">
        <v>0</v>
      </c>
      <c r="BS752">
        <v>1</v>
      </c>
      <c r="BT752">
        <v>1</v>
      </c>
      <c r="BU752">
        <v>1</v>
      </c>
      <c r="BV752">
        <v>1</v>
      </c>
      <c r="BW752">
        <v>1</v>
      </c>
      <c r="BX752">
        <v>1</v>
      </c>
      <c r="BY752" t="s">
        <v>3</v>
      </c>
      <c r="BZ752">
        <v>70</v>
      </c>
      <c r="CA752">
        <v>10</v>
      </c>
      <c r="CB752" t="s">
        <v>3</v>
      </c>
      <c r="CE752">
        <v>0</v>
      </c>
      <c r="CF752">
        <v>0</v>
      </c>
      <c r="CG752">
        <v>0</v>
      </c>
      <c r="CM752">
        <v>0</v>
      </c>
      <c r="CN752" t="s">
        <v>3</v>
      </c>
      <c r="CO752">
        <v>0</v>
      </c>
      <c r="CP752">
        <f t="shared" si="671"/>
        <v>567.67999999999995</v>
      </c>
      <c r="CQ752">
        <f t="shared" si="672"/>
        <v>0</v>
      </c>
      <c r="CR752">
        <f>(((((ET752*4))*BB752-((EU752*4))*BS752)+AE752*BS752)*AV752)</f>
        <v>0</v>
      </c>
      <c r="CS752">
        <f t="shared" si="673"/>
        <v>0</v>
      </c>
      <c r="CT752">
        <f t="shared" si="674"/>
        <v>283.83999999999997</v>
      </c>
      <c r="CU752">
        <f t="shared" si="675"/>
        <v>0</v>
      </c>
      <c r="CV752">
        <f t="shared" si="676"/>
        <v>0.56000000000000005</v>
      </c>
      <c r="CW752">
        <f t="shared" si="677"/>
        <v>0</v>
      </c>
      <c r="CX752">
        <f t="shared" si="678"/>
        <v>0</v>
      </c>
      <c r="CY752">
        <f t="shared" si="679"/>
        <v>397.37599999999998</v>
      </c>
      <c r="CZ752">
        <f t="shared" si="680"/>
        <v>56.767999999999994</v>
      </c>
      <c r="DC752" t="s">
        <v>3</v>
      </c>
      <c r="DD752" t="s">
        <v>584</v>
      </c>
      <c r="DE752" t="s">
        <v>584</v>
      </c>
      <c r="DF752" t="s">
        <v>584</v>
      </c>
      <c r="DG752" t="s">
        <v>584</v>
      </c>
      <c r="DH752" t="s">
        <v>3</v>
      </c>
      <c r="DI752" t="s">
        <v>584</v>
      </c>
      <c r="DJ752" t="s">
        <v>584</v>
      </c>
      <c r="DK752" t="s">
        <v>3</v>
      </c>
      <c r="DL752" t="s">
        <v>3</v>
      </c>
      <c r="DM752" t="s">
        <v>3</v>
      </c>
      <c r="DN752">
        <v>0</v>
      </c>
      <c r="DO752">
        <v>0</v>
      </c>
      <c r="DP752">
        <v>1</v>
      </c>
      <c r="DQ752">
        <v>1</v>
      </c>
      <c r="DU752">
        <v>16987630</v>
      </c>
      <c r="DV752" t="s">
        <v>20</v>
      </c>
      <c r="DW752" t="s">
        <v>20</v>
      </c>
      <c r="DX752">
        <v>1</v>
      </c>
      <c r="DZ752" t="s">
        <v>3</v>
      </c>
      <c r="EA752" t="s">
        <v>3</v>
      </c>
      <c r="EB752" t="s">
        <v>3</v>
      </c>
      <c r="EC752" t="s">
        <v>3</v>
      </c>
      <c r="EE752">
        <v>1441815344</v>
      </c>
      <c r="EF752">
        <v>1</v>
      </c>
      <c r="EG752" t="s">
        <v>22</v>
      </c>
      <c r="EH752">
        <v>0</v>
      </c>
      <c r="EI752" t="s">
        <v>3</v>
      </c>
      <c r="EJ752">
        <v>4</v>
      </c>
      <c r="EK752">
        <v>0</v>
      </c>
      <c r="EL752" t="s">
        <v>23</v>
      </c>
      <c r="EM752" t="s">
        <v>24</v>
      </c>
      <c r="EO752" t="s">
        <v>3</v>
      </c>
      <c r="EQ752">
        <v>1024</v>
      </c>
      <c r="ER752">
        <v>70.959999999999994</v>
      </c>
      <c r="ES752">
        <v>0</v>
      </c>
      <c r="ET752">
        <v>0</v>
      </c>
      <c r="EU752">
        <v>0</v>
      </c>
      <c r="EV752">
        <v>70.959999999999994</v>
      </c>
      <c r="EW752">
        <v>0.14000000000000001</v>
      </c>
      <c r="EX752">
        <v>0</v>
      </c>
      <c r="EY752">
        <v>0</v>
      </c>
      <c r="FQ752">
        <v>0</v>
      </c>
      <c r="FR752">
        <f t="shared" si="681"/>
        <v>0</v>
      </c>
      <c r="FS752">
        <v>0</v>
      </c>
      <c r="FX752">
        <v>70</v>
      </c>
      <c r="FY752">
        <v>10</v>
      </c>
      <c r="GA752" t="s">
        <v>3</v>
      </c>
      <c r="GD752">
        <v>0</v>
      </c>
      <c r="GF752">
        <v>-1648066009</v>
      </c>
      <c r="GG752">
        <v>2</v>
      </c>
      <c r="GH752">
        <v>1</v>
      </c>
      <c r="GI752">
        <v>-2</v>
      </c>
      <c r="GJ752">
        <v>0</v>
      </c>
      <c r="GK752">
        <f>ROUND(R752*(R12)/100,2)</f>
        <v>0</v>
      </c>
      <c r="GL752">
        <f t="shared" si="682"/>
        <v>0</v>
      </c>
      <c r="GM752">
        <f t="shared" si="683"/>
        <v>1021.83</v>
      </c>
      <c r="GN752">
        <f t="shared" si="684"/>
        <v>0</v>
      </c>
      <c r="GO752">
        <f t="shared" si="685"/>
        <v>0</v>
      </c>
      <c r="GP752">
        <f t="shared" si="686"/>
        <v>1021.83</v>
      </c>
      <c r="GR752">
        <v>0</v>
      </c>
      <c r="GS752">
        <v>3</v>
      </c>
      <c r="GT752">
        <v>0</v>
      </c>
      <c r="GU752" t="s">
        <v>3</v>
      </c>
      <c r="GV752">
        <f t="shared" si="687"/>
        <v>0</v>
      </c>
      <c r="GW752">
        <v>1</v>
      </c>
      <c r="GX752">
        <f t="shared" si="688"/>
        <v>0</v>
      </c>
      <c r="HA752">
        <v>0</v>
      </c>
      <c r="HB752">
        <v>0</v>
      </c>
      <c r="HC752">
        <f t="shared" si="689"/>
        <v>0</v>
      </c>
      <c r="HE752" t="s">
        <v>3</v>
      </c>
      <c r="HF752" t="s">
        <v>3</v>
      </c>
      <c r="HM752" t="s">
        <v>3</v>
      </c>
      <c r="HN752" t="s">
        <v>3</v>
      </c>
      <c r="HO752" t="s">
        <v>3</v>
      </c>
      <c r="HP752" t="s">
        <v>3</v>
      </c>
      <c r="HQ752" t="s">
        <v>3</v>
      </c>
      <c r="IK752">
        <v>0</v>
      </c>
    </row>
    <row r="753" spans="1:245" x14ac:dyDescent="0.2">
      <c r="A753">
        <v>17</v>
      </c>
      <c r="B753">
        <v>1</v>
      </c>
      <c r="D753">
        <f>ROW(EtalonRes!A640)</f>
        <v>640</v>
      </c>
      <c r="E753" t="s">
        <v>3</v>
      </c>
      <c r="F753" t="s">
        <v>637</v>
      </c>
      <c r="G753" t="s">
        <v>638</v>
      </c>
      <c r="H753" t="s">
        <v>20</v>
      </c>
      <c r="I753">
        <v>2</v>
      </c>
      <c r="J753">
        <v>0</v>
      </c>
      <c r="K753">
        <v>2</v>
      </c>
      <c r="O753">
        <f t="shared" si="657"/>
        <v>9569.7999999999993</v>
      </c>
      <c r="P753">
        <f t="shared" si="658"/>
        <v>0</v>
      </c>
      <c r="Q753">
        <f t="shared" si="659"/>
        <v>0</v>
      </c>
      <c r="R753">
        <f t="shared" si="660"/>
        <v>0</v>
      </c>
      <c r="S753">
        <f t="shared" si="661"/>
        <v>9569.7999999999993</v>
      </c>
      <c r="T753">
        <f t="shared" si="662"/>
        <v>0</v>
      </c>
      <c r="U753">
        <f t="shared" si="663"/>
        <v>18.88</v>
      </c>
      <c r="V753">
        <f t="shared" si="664"/>
        <v>0</v>
      </c>
      <c r="W753">
        <f t="shared" si="665"/>
        <v>0</v>
      </c>
      <c r="X753">
        <f t="shared" si="666"/>
        <v>6698.86</v>
      </c>
      <c r="Y753">
        <f t="shared" si="667"/>
        <v>956.98</v>
      </c>
      <c r="AA753">
        <v>-1</v>
      </c>
      <c r="AB753">
        <f t="shared" si="668"/>
        <v>4784.8999999999996</v>
      </c>
      <c r="AC753">
        <f>ROUND(((ES753*118)),6)</f>
        <v>0</v>
      </c>
      <c r="AD753">
        <f>ROUND(((((ET753*118))-((EU753*118)))+AE753),6)</f>
        <v>0</v>
      </c>
      <c r="AE753">
        <f>ROUND(((EU753*118)),6)</f>
        <v>0</v>
      </c>
      <c r="AF753">
        <f>ROUND(((EV753*118)),6)</f>
        <v>4784.8999999999996</v>
      </c>
      <c r="AG753">
        <f t="shared" si="669"/>
        <v>0</v>
      </c>
      <c r="AH753">
        <f>((EW753*118))</f>
        <v>9.44</v>
      </c>
      <c r="AI753">
        <f>((EX753*118))</f>
        <v>0</v>
      </c>
      <c r="AJ753">
        <f t="shared" si="670"/>
        <v>0</v>
      </c>
      <c r="AK753">
        <v>40.549999999999997</v>
      </c>
      <c r="AL753">
        <v>0</v>
      </c>
      <c r="AM753">
        <v>0</v>
      </c>
      <c r="AN753">
        <v>0</v>
      </c>
      <c r="AO753">
        <v>40.549999999999997</v>
      </c>
      <c r="AP753">
        <v>0</v>
      </c>
      <c r="AQ753">
        <v>0.08</v>
      </c>
      <c r="AR753">
        <v>0</v>
      </c>
      <c r="AS753">
        <v>0</v>
      </c>
      <c r="AT753">
        <v>70</v>
      </c>
      <c r="AU753">
        <v>10</v>
      </c>
      <c r="AV753">
        <v>1</v>
      </c>
      <c r="AW753">
        <v>1</v>
      </c>
      <c r="AZ753">
        <v>1</v>
      </c>
      <c r="BA753">
        <v>1</v>
      </c>
      <c r="BB753">
        <v>1</v>
      </c>
      <c r="BC753">
        <v>1</v>
      </c>
      <c r="BD753" t="s">
        <v>3</v>
      </c>
      <c r="BE753" t="s">
        <v>3</v>
      </c>
      <c r="BF753" t="s">
        <v>3</v>
      </c>
      <c r="BG753" t="s">
        <v>3</v>
      </c>
      <c r="BH753">
        <v>0</v>
      </c>
      <c r="BI753">
        <v>4</v>
      </c>
      <c r="BJ753" t="s">
        <v>639</v>
      </c>
      <c r="BM753">
        <v>0</v>
      </c>
      <c r="BN753">
        <v>0</v>
      </c>
      <c r="BO753" t="s">
        <v>3</v>
      </c>
      <c r="BP753">
        <v>0</v>
      </c>
      <c r="BQ753">
        <v>1</v>
      </c>
      <c r="BR753">
        <v>0</v>
      </c>
      <c r="BS753">
        <v>1</v>
      </c>
      <c r="BT753">
        <v>1</v>
      </c>
      <c r="BU753">
        <v>1</v>
      </c>
      <c r="BV753">
        <v>1</v>
      </c>
      <c r="BW753">
        <v>1</v>
      </c>
      <c r="BX753">
        <v>1</v>
      </c>
      <c r="BY753" t="s">
        <v>3</v>
      </c>
      <c r="BZ753">
        <v>70</v>
      </c>
      <c r="CA753">
        <v>10</v>
      </c>
      <c r="CB753" t="s">
        <v>3</v>
      </c>
      <c r="CE753">
        <v>0</v>
      </c>
      <c r="CF753">
        <v>0</v>
      </c>
      <c r="CG753">
        <v>0</v>
      </c>
      <c r="CM753">
        <v>0</v>
      </c>
      <c r="CN753" t="s">
        <v>3</v>
      </c>
      <c r="CO753">
        <v>0</v>
      </c>
      <c r="CP753">
        <f t="shared" si="671"/>
        <v>9569.7999999999993</v>
      </c>
      <c r="CQ753">
        <f t="shared" si="672"/>
        <v>0</v>
      </c>
      <c r="CR753">
        <f>(((((ET753*118))*BB753-((EU753*118))*BS753)+AE753*BS753)*AV753)</f>
        <v>0</v>
      </c>
      <c r="CS753">
        <f t="shared" si="673"/>
        <v>0</v>
      </c>
      <c r="CT753">
        <f t="shared" si="674"/>
        <v>4784.8999999999996</v>
      </c>
      <c r="CU753">
        <f t="shared" si="675"/>
        <v>0</v>
      </c>
      <c r="CV753">
        <f t="shared" si="676"/>
        <v>9.44</v>
      </c>
      <c r="CW753">
        <f t="shared" si="677"/>
        <v>0</v>
      </c>
      <c r="CX753">
        <f t="shared" si="678"/>
        <v>0</v>
      </c>
      <c r="CY753">
        <f t="shared" si="679"/>
        <v>6698.86</v>
      </c>
      <c r="CZ753">
        <f t="shared" si="680"/>
        <v>956.98</v>
      </c>
      <c r="DC753" t="s">
        <v>3</v>
      </c>
      <c r="DD753" t="s">
        <v>640</v>
      </c>
      <c r="DE753" t="s">
        <v>640</v>
      </c>
      <c r="DF753" t="s">
        <v>640</v>
      </c>
      <c r="DG753" t="s">
        <v>640</v>
      </c>
      <c r="DH753" t="s">
        <v>3</v>
      </c>
      <c r="DI753" t="s">
        <v>640</v>
      </c>
      <c r="DJ753" t="s">
        <v>640</v>
      </c>
      <c r="DK753" t="s">
        <v>3</v>
      </c>
      <c r="DL753" t="s">
        <v>3</v>
      </c>
      <c r="DM753" t="s">
        <v>3</v>
      </c>
      <c r="DN753">
        <v>0</v>
      </c>
      <c r="DO753">
        <v>0</v>
      </c>
      <c r="DP753">
        <v>1</v>
      </c>
      <c r="DQ753">
        <v>1</v>
      </c>
      <c r="DU753">
        <v>16987630</v>
      </c>
      <c r="DV753" t="s">
        <v>20</v>
      </c>
      <c r="DW753" t="s">
        <v>20</v>
      </c>
      <c r="DX753">
        <v>1</v>
      </c>
      <c r="DZ753" t="s">
        <v>3</v>
      </c>
      <c r="EA753" t="s">
        <v>3</v>
      </c>
      <c r="EB753" t="s">
        <v>3</v>
      </c>
      <c r="EC753" t="s">
        <v>3</v>
      </c>
      <c r="EE753">
        <v>1441815344</v>
      </c>
      <c r="EF753">
        <v>1</v>
      </c>
      <c r="EG753" t="s">
        <v>22</v>
      </c>
      <c r="EH753">
        <v>0</v>
      </c>
      <c r="EI753" t="s">
        <v>3</v>
      </c>
      <c r="EJ753">
        <v>4</v>
      </c>
      <c r="EK753">
        <v>0</v>
      </c>
      <c r="EL753" t="s">
        <v>23</v>
      </c>
      <c r="EM753" t="s">
        <v>24</v>
      </c>
      <c r="EO753" t="s">
        <v>3</v>
      </c>
      <c r="EQ753">
        <v>1311744</v>
      </c>
      <c r="ER753">
        <v>40.549999999999997</v>
      </c>
      <c r="ES753">
        <v>0</v>
      </c>
      <c r="ET753">
        <v>0</v>
      </c>
      <c r="EU753">
        <v>0</v>
      </c>
      <c r="EV753">
        <v>40.549999999999997</v>
      </c>
      <c r="EW753">
        <v>0.08</v>
      </c>
      <c r="EX753">
        <v>0</v>
      </c>
      <c r="EY753">
        <v>0</v>
      </c>
      <c r="FQ753">
        <v>0</v>
      </c>
      <c r="FR753">
        <f t="shared" si="681"/>
        <v>0</v>
      </c>
      <c r="FS753">
        <v>0</v>
      </c>
      <c r="FX753">
        <v>70</v>
      </c>
      <c r="FY753">
        <v>10</v>
      </c>
      <c r="GA753" t="s">
        <v>3</v>
      </c>
      <c r="GD753">
        <v>0</v>
      </c>
      <c r="GF753">
        <v>-760003618</v>
      </c>
      <c r="GG753">
        <v>2</v>
      </c>
      <c r="GH753">
        <v>1</v>
      </c>
      <c r="GI753">
        <v>-2</v>
      </c>
      <c r="GJ753">
        <v>0</v>
      </c>
      <c r="GK753">
        <f>ROUND(R753*(R12)/100,2)</f>
        <v>0</v>
      </c>
      <c r="GL753">
        <f t="shared" si="682"/>
        <v>0</v>
      </c>
      <c r="GM753">
        <f t="shared" si="683"/>
        <v>17225.64</v>
      </c>
      <c r="GN753">
        <f t="shared" si="684"/>
        <v>0</v>
      </c>
      <c r="GO753">
        <f t="shared" si="685"/>
        <v>0</v>
      </c>
      <c r="GP753">
        <f t="shared" si="686"/>
        <v>17225.64</v>
      </c>
      <c r="GR753">
        <v>0</v>
      </c>
      <c r="GS753">
        <v>3</v>
      </c>
      <c r="GT753">
        <v>0</v>
      </c>
      <c r="GU753" t="s">
        <v>3</v>
      </c>
      <c r="GV753">
        <f t="shared" si="687"/>
        <v>0</v>
      </c>
      <c r="GW753">
        <v>1</v>
      </c>
      <c r="GX753">
        <f t="shared" si="688"/>
        <v>0</v>
      </c>
      <c r="HA753">
        <v>0</v>
      </c>
      <c r="HB753">
        <v>0</v>
      </c>
      <c r="HC753">
        <f t="shared" si="689"/>
        <v>0</v>
      </c>
      <c r="HE753" t="s">
        <v>3</v>
      </c>
      <c r="HF753" t="s">
        <v>3</v>
      </c>
      <c r="HM753" t="s">
        <v>3</v>
      </c>
      <c r="HN753" t="s">
        <v>3</v>
      </c>
      <c r="HO753" t="s">
        <v>3</v>
      </c>
      <c r="HP753" t="s">
        <v>3</v>
      </c>
      <c r="HQ753" t="s">
        <v>3</v>
      </c>
      <c r="IK753">
        <v>0</v>
      </c>
    </row>
    <row r="754" spans="1:245" x14ac:dyDescent="0.2">
      <c r="A754">
        <v>17</v>
      </c>
      <c r="B754">
        <v>1</v>
      </c>
      <c r="D754">
        <f>ROW(EtalonRes!A643)</f>
        <v>643</v>
      </c>
      <c r="E754" t="s">
        <v>641</v>
      </c>
      <c r="F754" t="s">
        <v>642</v>
      </c>
      <c r="G754" t="s">
        <v>643</v>
      </c>
      <c r="H754" t="s">
        <v>20</v>
      </c>
      <c r="I754">
        <v>1</v>
      </c>
      <c r="J754">
        <v>0</v>
      </c>
      <c r="K754">
        <v>1</v>
      </c>
      <c r="O754">
        <f t="shared" si="657"/>
        <v>274.04000000000002</v>
      </c>
      <c r="P754">
        <f t="shared" si="658"/>
        <v>0.09</v>
      </c>
      <c r="Q754">
        <f t="shared" si="659"/>
        <v>33.880000000000003</v>
      </c>
      <c r="R754">
        <f t="shared" si="660"/>
        <v>21.48</v>
      </c>
      <c r="S754">
        <f t="shared" si="661"/>
        <v>240.07</v>
      </c>
      <c r="T754">
        <f t="shared" si="662"/>
        <v>0</v>
      </c>
      <c r="U754">
        <f t="shared" si="663"/>
        <v>0.45</v>
      </c>
      <c r="V754">
        <f t="shared" si="664"/>
        <v>0</v>
      </c>
      <c r="W754">
        <f t="shared" si="665"/>
        <v>0</v>
      </c>
      <c r="X754">
        <f t="shared" si="666"/>
        <v>168.05</v>
      </c>
      <c r="Y754">
        <f t="shared" si="667"/>
        <v>24.01</v>
      </c>
      <c r="AA754">
        <v>1472506909</v>
      </c>
      <c r="AB754">
        <f t="shared" si="668"/>
        <v>274.04000000000002</v>
      </c>
      <c r="AC754">
        <f>ROUND((ES754),6)</f>
        <v>0.09</v>
      </c>
      <c r="AD754">
        <f>ROUND((((ET754)-(EU754))+AE754),6)</f>
        <v>33.880000000000003</v>
      </c>
      <c r="AE754">
        <f>ROUND((EU754),6)</f>
        <v>21.48</v>
      </c>
      <c r="AF754">
        <f>ROUND((EV754),6)</f>
        <v>240.07</v>
      </c>
      <c r="AG754">
        <f t="shared" si="669"/>
        <v>0</v>
      </c>
      <c r="AH754">
        <f>(EW754)</f>
        <v>0.45</v>
      </c>
      <c r="AI754">
        <f>(EX754)</f>
        <v>0</v>
      </c>
      <c r="AJ754">
        <f t="shared" si="670"/>
        <v>0</v>
      </c>
      <c r="AK754">
        <v>274.04000000000002</v>
      </c>
      <c r="AL754">
        <v>0.09</v>
      </c>
      <c r="AM754">
        <v>33.880000000000003</v>
      </c>
      <c r="AN754">
        <v>21.48</v>
      </c>
      <c r="AO754">
        <v>240.07</v>
      </c>
      <c r="AP754">
        <v>0</v>
      </c>
      <c r="AQ754">
        <v>0.45</v>
      </c>
      <c r="AR754">
        <v>0</v>
      </c>
      <c r="AS754">
        <v>0</v>
      </c>
      <c r="AT754">
        <v>70</v>
      </c>
      <c r="AU754">
        <v>10</v>
      </c>
      <c r="AV754">
        <v>1</v>
      </c>
      <c r="AW754">
        <v>1</v>
      </c>
      <c r="AZ754">
        <v>1</v>
      </c>
      <c r="BA754">
        <v>1</v>
      </c>
      <c r="BB754">
        <v>1</v>
      </c>
      <c r="BC754">
        <v>1</v>
      </c>
      <c r="BD754" t="s">
        <v>3</v>
      </c>
      <c r="BE754" t="s">
        <v>3</v>
      </c>
      <c r="BF754" t="s">
        <v>3</v>
      </c>
      <c r="BG754" t="s">
        <v>3</v>
      </c>
      <c r="BH754">
        <v>0</v>
      </c>
      <c r="BI754">
        <v>4</v>
      </c>
      <c r="BJ754" t="s">
        <v>644</v>
      </c>
      <c r="BM754">
        <v>0</v>
      </c>
      <c r="BN754">
        <v>0</v>
      </c>
      <c r="BO754" t="s">
        <v>3</v>
      </c>
      <c r="BP754">
        <v>0</v>
      </c>
      <c r="BQ754">
        <v>1</v>
      </c>
      <c r="BR754">
        <v>0</v>
      </c>
      <c r="BS754">
        <v>1</v>
      </c>
      <c r="BT754">
        <v>1</v>
      </c>
      <c r="BU754">
        <v>1</v>
      </c>
      <c r="BV754">
        <v>1</v>
      </c>
      <c r="BW754">
        <v>1</v>
      </c>
      <c r="BX754">
        <v>1</v>
      </c>
      <c r="BY754" t="s">
        <v>3</v>
      </c>
      <c r="BZ754">
        <v>70</v>
      </c>
      <c r="CA754">
        <v>10</v>
      </c>
      <c r="CB754" t="s">
        <v>3</v>
      </c>
      <c r="CE754">
        <v>0</v>
      </c>
      <c r="CF754">
        <v>0</v>
      </c>
      <c r="CG754">
        <v>0</v>
      </c>
      <c r="CM754">
        <v>0</v>
      </c>
      <c r="CN754" t="s">
        <v>3</v>
      </c>
      <c r="CO754">
        <v>0</v>
      </c>
      <c r="CP754">
        <f t="shared" si="671"/>
        <v>274.04000000000002</v>
      </c>
      <c r="CQ754">
        <f t="shared" si="672"/>
        <v>0.09</v>
      </c>
      <c r="CR754">
        <f>((((ET754)*BB754-(EU754)*BS754)+AE754*BS754)*AV754)</f>
        <v>33.880000000000003</v>
      </c>
      <c r="CS754">
        <f t="shared" si="673"/>
        <v>21.48</v>
      </c>
      <c r="CT754">
        <f t="shared" si="674"/>
        <v>240.07</v>
      </c>
      <c r="CU754">
        <f t="shared" si="675"/>
        <v>0</v>
      </c>
      <c r="CV754">
        <f t="shared" si="676"/>
        <v>0.45</v>
      </c>
      <c r="CW754">
        <f t="shared" si="677"/>
        <v>0</v>
      </c>
      <c r="CX754">
        <f t="shared" si="678"/>
        <v>0</v>
      </c>
      <c r="CY754">
        <f t="shared" si="679"/>
        <v>168.04899999999998</v>
      </c>
      <c r="CZ754">
        <f t="shared" si="680"/>
        <v>24.006999999999998</v>
      </c>
      <c r="DC754" t="s">
        <v>3</v>
      </c>
      <c r="DD754" t="s">
        <v>3</v>
      </c>
      <c r="DE754" t="s">
        <v>3</v>
      </c>
      <c r="DF754" t="s">
        <v>3</v>
      </c>
      <c r="DG754" t="s">
        <v>3</v>
      </c>
      <c r="DH754" t="s">
        <v>3</v>
      </c>
      <c r="DI754" t="s">
        <v>3</v>
      </c>
      <c r="DJ754" t="s">
        <v>3</v>
      </c>
      <c r="DK754" t="s">
        <v>3</v>
      </c>
      <c r="DL754" t="s">
        <v>3</v>
      </c>
      <c r="DM754" t="s">
        <v>3</v>
      </c>
      <c r="DN754">
        <v>0</v>
      </c>
      <c r="DO754">
        <v>0</v>
      </c>
      <c r="DP754">
        <v>1</v>
      </c>
      <c r="DQ754">
        <v>1</v>
      </c>
      <c r="DU754">
        <v>16987630</v>
      </c>
      <c r="DV754" t="s">
        <v>20</v>
      </c>
      <c r="DW754" t="s">
        <v>20</v>
      </c>
      <c r="DX754">
        <v>1</v>
      </c>
      <c r="DZ754" t="s">
        <v>3</v>
      </c>
      <c r="EA754" t="s">
        <v>3</v>
      </c>
      <c r="EB754" t="s">
        <v>3</v>
      </c>
      <c r="EC754" t="s">
        <v>3</v>
      </c>
      <c r="EE754">
        <v>1441815344</v>
      </c>
      <c r="EF754">
        <v>1</v>
      </c>
      <c r="EG754" t="s">
        <v>22</v>
      </c>
      <c r="EH754">
        <v>0</v>
      </c>
      <c r="EI754" t="s">
        <v>3</v>
      </c>
      <c r="EJ754">
        <v>4</v>
      </c>
      <c r="EK754">
        <v>0</v>
      </c>
      <c r="EL754" t="s">
        <v>23</v>
      </c>
      <c r="EM754" t="s">
        <v>24</v>
      </c>
      <c r="EO754" t="s">
        <v>3</v>
      </c>
      <c r="EQ754">
        <v>0</v>
      </c>
      <c r="ER754">
        <v>274.04000000000002</v>
      </c>
      <c r="ES754">
        <v>0.09</v>
      </c>
      <c r="ET754">
        <v>33.880000000000003</v>
      </c>
      <c r="EU754">
        <v>21.48</v>
      </c>
      <c r="EV754">
        <v>240.07</v>
      </c>
      <c r="EW754">
        <v>0.45</v>
      </c>
      <c r="EX754">
        <v>0</v>
      </c>
      <c r="EY754">
        <v>0</v>
      </c>
      <c r="FQ754">
        <v>0</v>
      </c>
      <c r="FR754">
        <f t="shared" si="681"/>
        <v>0</v>
      </c>
      <c r="FS754">
        <v>0</v>
      </c>
      <c r="FX754">
        <v>70</v>
      </c>
      <c r="FY754">
        <v>10</v>
      </c>
      <c r="GA754" t="s">
        <v>3</v>
      </c>
      <c r="GD754">
        <v>0</v>
      </c>
      <c r="GF754">
        <v>31183776</v>
      </c>
      <c r="GG754">
        <v>2</v>
      </c>
      <c r="GH754">
        <v>1</v>
      </c>
      <c r="GI754">
        <v>-2</v>
      </c>
      <c r="GJ754">
        <v>0</v>
      </c>
      <c r="GK754">
        <f>ROUND(R754*(R12)/100,2)</f>
        <v>23.2</v>
      </c>
      <c r="GL754">
        <f t="shared" si="682"/>
        <v>0</v>
      </c>
      <c r="GM754">
        <f t="shared" si="683"/>
        <v>489.3</v>
      </c>
      <c r="GN754">
        <f t="shared" si="684"/>
        <v>0</v>
      </c>
      <c r="GO754">
        <f t="shared" si="685"/>
        <v>0</v>
      </c>
      <c r="GP754">
        <f t="shared" si="686"/>
        <v>489.3</v>
      </c>
      <c r="GR754">
        <v>0</v>
      </c>
      <c r="GS754">
        <v>3</v>
      </c>
      <c r="GT754">
        <v>0</v>
      </c>
      <c r="GU754" t="s">
        <v>3</v>
      </c>
      <c r="GV754">
        <f t="shared" si="687"/>
        <v>0</v>
      </c>
      <c r="GW754">
        <v>1</v>
      </c>
      <c r="GX754">
        <f t="shared" si="688"/>
        <v>0</v>
      </c>
      <c r="HA754">
        <v>0</v>
      </c>
      <c r="HB754">
        <v>0</v>
      </c>
      <c r="HC754">
        <f t="shared" si="689"/>
        <v>0</v>
      </c>
      <c r="HE754" t="s">
        <v>3</v>
      </c>
      <c r="HF754" t="s">
        <v>3</v>
      </c>
      <c r="HM754" t="s">
        <v>3</v>
      </c>
      <c r="HN754" t="s">
        <v>3</v>
      </c>
      <c r="HO754" t="s">
        <v>3</v>
      </c>
      <c r="HP754" t="s">
        <v>3</v>
      </c>
      <c r="HQ754" t="s">
        <v>3</v>
      </c>
      <c r="IK754">
        <v>0</v>
      </c>
    </row>
    <row r="755" spans="1:245" x14ac:dyDescent="0.2">
      <c r="A755">
        <v>19</v>
      </c>
      <c r="B755">
        <v>1</v>
      </c>
      <c r="F755" t="s">
        <v>3</v>
      </c>
      <c r="G755" t="s">
        <v>645</v>
      </c>
      <c r="H755" t="s">
        <v>3</v>
      </c>
      <c r="AA755">
        <v>1</v>
      </c>
      <c r="IK755">
        <v>0</v>
      </c>
    </row>
    <row r="756" spans="1:245" x14ac:dyDescent="0.2">
      <c r="A756">
        <v>17</v>
      </c>
      <c r="B756">
        <v>1</v>
      </c>
      <c r="D756">
        <f>ROW(EtalonRes!A648)</f>
        <v>648</v>
      </c>
      <c r="E756" t="s">
        <v>646</v>
      </c>
      <c r="F756" t="s">
        <v>571</v>
      </c>
      <c r="G756" t="s">
        <v>647</v>
      </c>
      <c r="H756" t="s">
        <v>20</v>
      </c>
      <c r="I756">
        <f>ROUND(1+1,9)</f>
        <v>2</v>
      </c>
      <c r="J756">
        <v>0</v>
      </c>
      <c r="K756">
        <f>ROUND(1+1,9)</f>
        <v>2</v>
      </c>
      <c r="O756">
        <f t="shared" ref="O756:O771" si="694">ROUND(CP756,2)</f>
        <v>11268.98</v>
      </c>
      <c r="P756">
        <f t="shared" ref="P756:P771" si="695">ROUND(CQ756*I756,2)</f>
        <v>154.16</v>
      </c>
      <c r="Q756">
        <f t="shared" ref="Q756:Q771" si="696">ROUND(CR756*I756,2)</f>
        <v>0</v>
      </c>
      <c r="R756">
        <f t="shared" ref="R756:R771" si="697">ROUND(CS756*I756,2)</f>
        <v>0</v>
      </c>
      <c r="S756">
        <f t="shared" ref="S756:S771" si="698">ROUND(CT756*I756,2)</f>
        <v>11114.82</v>
      </c>
      <c r="T756">
        <f t="shared" ref="T756:T771" si="699">ROUND(CU756*I756,2)</f>
        <v>0</v>
      </c>
      <c r="U756">
        <f t="shared" ref="U756:U771" si="700">CV756*I756</f>
        <v>18</v>
      </c>
      <c r="V756">
        <f t="shared" ref="V756:V771" si="701">CW756*I756</f>
        <v>0</v>
      </c>
      <c r="W756">
        <f t="shared" ref="W756:W771" si="702">ROUND(CX756*I756,2)</f>
        <v>0</v>
      </c>
      <c r="X756">
        <f t="shared" ref="X756:X771" si="703">ROUND(CY756,2)</f>
        <v>7780.37</v>
      </c>
      <c r="Y756">
        <f t="shared" ref="Y756:Y771" si="704">ROUND(CZ756,2)</f>
        <v>1111.48</v>
      </c>
      <c r="AA756">
        <v>1472506909</v>
      </c>
      <c r="AB756">
        <f t="shared" ref="AB756:AB771" si="705">ROUND((AC756+AD756+AF756),6)</f>
        <v>5634.49</v>
      </c>
      <c r="AC756">
        <f>ROUND((ES756),6)</f>
        <v>77.08</v>
      </c>
      <c r="AD756">
        <f>ROUND((((ET756)-(EU756))+AE756),6)</f>
        <v>0</v>
      </c>
      <c r="AE756">
        <f>ROUND((EU756),6)</f>
        <v>0</v>
      </c>
      <c r="AF756">
        <f>ROUND((EV756),6)</f>
        <v>5557.41</v>
      </c>
      <c r="AG756">
        <f t="shared" ref="AG756:AG771" si="706">ROUND((AP756),6)</f>
        <v>0</v>
      </c>
      <c r="AH756">
        <f>(EW756)</f>
        <v>9</v>
      </c>
      <c r="AI756">
        <f>(EX756)</f>
        <v>0</v>
      </c>
      <c r="AJ756">
        <f t="shared" ref="AJ756:AJ771" si="707">(AS756)</f>
        <v>0</v>
      </c>
      <c r="AK756">
        <v>5634.49</v>
      </c>
      <c r="AL756">
        <v>77.08</v>
      </c>
      <c r="AM756">
        <v>0</v>
      </c>
      <c r="AN756">
        <v>0</v>
      </c>
      <c r="AO756">
        <v>5557.41</v>
      </c>
      <c r="AP756">
        <v>0</v>
      </c>
      <c r="AQ756">
        <v>9</v>
      </c>
      <c r="AR756">
        <v>0</v>
      </c>
      <c r="AS756">
        <v>0</v>
      </c>
      <c r="AT756">
        <v>70</v>
      </c>
      <c r="AU756">
        <v>10</v>
      </c>
      <c r="AV756">
        <v>1</v>
      </c>
      <c r="AW756">
        <v>1</v>
      </c>
      <c r="AZ756">
        <v>1</v>
      </c>
      <c r="BA756">
        <v>1</v>
      </c>
      <c r="BB756">
        <v>1</v>
      </c>
      <c r="BC756">
        <v>1</v>
      </c>
      <c r="BD756" t="s">
        <v>3</v>
      </c>
      <c r="BE756" t="s">
        <v>3</v>
      </c>
      <c r="BF756" t="s">
        <v>3</v>
      </c>
      <c r="BG756" t="s">
        <v>3</v>
      </c>
      <c r="BH756">
        <v>0</v>
      </c>
      <c r="BI756">
        <v>4</v>
      </c>
      <c r="BJ756" t="s">
        <v>573</v>
      </c>
      <c r="BM756">
        <v>0</v>
      </c>
      <c r="BN756">
        <v>0</v>
      </c>
      <c r="BO756" t="s">
        <v>3</v>
      </c>
      <c r="BP756">
        <v>0</v>
      </c>
      <c r="BQ756">
        <v>1</v>
      </c>
      <c r="BR756">
        <v>0</v>
      </c>
      <c r="BS756">
        <v>1</v>
      </c>
      <c r="BT756">
        <v>1</v>
      </c>
      <c r="BU756">
        <v>1</v>
      </c>
      <c r="BV756">
        <v>1</v>
      </c>
      <c r="BW756">
        <v>1</v>
      </c>
      <c r="BX756">
        <v>1</v>
      </c>
      <c r="BY756" t="s">
        <v>3</v>
      </c>
      <c r="BZ756">
        <v>70</v>
      </c>
      <c r="CA756">
        <v>10</v>
      </c>
      <c r="CB756" t="s">
        <v>3</v>
      </c>
      <c r="CE756">
        <v>0</v>
      </c>
      <c r="CF756">
        <v>0</v>
      </c>
      <c r="CG756">
        <v>0</v>
      </c>
      <c r="CM756">
        <v>0</v>
      </c>
      <c r="CN756" t="s">
        <v>3</v>
      </c>
      <c r="CO756">
        <v>0</v>
      </c>
      <c r="CP756">
        <f t="shared" ref="CP756:CP771" si="708">(P756+Q756+S756)</f>
        <v>11268.98</v>
      </c>
      <c r="CQ756">
        <f t="shared" ref="CQ756:CQ771" si="709">(AC756*BC756*AW756)</f>
        <v>77.08</v>
      </c>
      <c r="CR756">
        <f>((((ET756)*BB756-(EU756)*BS756)+AE756*BS756)*AV756)</f>
        <v>0</v>
      </c>
      <c r="CS756">
        <f t="shared" ref="CS756:CS771" si="710">(AE756*BS756*AV756)</f>
        <v>0</v>
      </c>
      <c r="CT756">
        <f t="shared" ref="CT756:CT771" si="711">(AF756*BA756*AV756)</f>
        <v>5557.41</v>
      </c>
      <c r="CU756">
        <f t="shared" ref="CU756:CU771" si="712">AG756</f>
        <v>0</v>
      </c>
      <c r="CV756">
        <f t="shared" ref="CV756:CV771" si="713">(AH756*AV756)</f>
        <v>9</v>
      </c>
      <c r="CW756">
        <f t="shared" ref="CW756:CW771" si="714">AI756</f>
        <v>0</v>
      </c>
      <c r="CX756">
        <f t="shared" ref="CX756:CX771" si="715">AJ756</f>
        <v>0</v>
      </c>
      <c r="CY756">
        <f t="shared" ref="CY756:CY771" si="716">((S756*BZ756)/100)</f>
        <v>7780.3739999999998</v>
      </c>
      <c r="CZ756">
        <f t="shared" ref="CZ756:CZ771" si="717">((S756*CA756)/100)</f>
        <v>1111.482</v>
      </c>
      <c r="DC756" t="s">
        <v>3</v>
      </c>
      <c r="DD756" t="s">
        <v>3</v>
      </c>
      <c r="DE756" t="s">
        <v>3</v>
      </c>
      <c r="DF756" t="s">
        <v>3</v>
      </c>
      <c r="DG756" t="s">
        <v>3</v>
      </c>
      <c r="DH756" t="s">
        <v>3</v>
      </c>
      <c r="DI756" t="s">
        <v>3</v>
      </c>
      <c r="DJ756" t="s">
        <v>3</v>
      </c>
      <c r="DK756" t="s">
        <v>3</v>
      </c>
      <c r="DL756" t="s">
        <v>3</v>
      </c>
      <c r="DM756" t="s">
        <v>3</v>
      </c>
      <c r="DN756">
        <v>0</v>
      </c>
      <c r="DO756">
        <v>0</v>
      </c>
      <c r="DP756">
        <v>1</v>
      </c>
      <c r="DQ756">
        <v>1</v>
      </c>
      <c r="DU756">
        <v>16987630</v>
      </c>
      <c r="DV756" t="s">
        <v>20</v>
      </c>
      <c r="DW756" t="s">
        <v>20</v>
      </c>
      <c r="DX756">
        <v>1</v>
      </c>
      <c r="DZ756" t="s">
        <v>3</v>
      </c>
      <c r="EA756" t="s">
        <v>3</v>
      </c>
      <c r="EB756" t="s">
        <v>3</v>
      </c>
      <c r="EC756" t="s">
        <v>3</v>
      </c>
      <c r="EE756">
        <v>1441815344</v>
      </c>
      <c r="EF756">
        <v>1</v>
      </c>
      <c r="EG756" t="s">
        <v>22</v>
      </c>
      <c r="EH756">
        <v>0</v>
      </c>
      <c r="EI756" t="s">
        <v>3</v>
      </c>
      <c r="EJ756">
        <v>4</v>
      </c>
      <c r="EK756">
        <v>0</v>
      </c>
      <c r="EL756" t="s">
        <v>23</v>
      </c>
      <c r="EM756" t="s">
        <v>24</v>
      </c>
      <c r="EO756" t="s">
        <v>3</v>
      </c>
      <c r="EQ756">
        <v>0</v>
      </c>
      <c r="ER756">
        <v>5634.49</v>
      </c>
      <c r="ES756">
        <v>77.08</v>
      </c>
      <c r="ET756">
        <v>0</v>
      </c>
      <c r="EU756">
        <v>0</v>
      </c>
      <c r="EV756">
        <v>5557.41</v>
      </c>
      <c r="EW756">
        <v>9</v>
      </c>
      <c r="EX756">
        <v>0</v>
      </c>
      <c r="EY756">
        <v>0</v>
      </c>
      <c r="FQ756">
        <v>0</v>
      </c>
      <c r="FR756">
        <f t="shared" ref="FR756:FR771" si="718">ROUND(IF(BI756=3,GM756,0),2)</f>
        <v>0</v>
      </c>
      <c r="FS756">
        <v>0</v>
      </c>
      <c r="FX756">
        <v>70</v>
      </c>
      <c r="FY756">
        <v>10</v>
      </c>
      <c r="GA756" t="s">
        <v>3</v>
      </c>
      <c r="GD756">
        <v>0</v>
      </c>
      <c r="GF756">
        <v>-401622857</v>
      </c>
      <c r="GG756">
        <v>2</v>
      </c>
      <c r="GH756">
        <v>1</v>
      </c>
      <c r="GI756">
        <v>-2</v>
      </c>
      <c r="GJ756">
        <v>0</v>
      </c>
      <c r="GK756">
        <f>ROUND(R756*(R12)/100,2)</f>
        <v>0</v>
      </c>
      <c r="GL756">
        <f t="shared" ref="GL756:GL771" si="719">ROUND(IF(AND(BH756=3,BI756=3,FS756&lt;&gt;0),P756,0),2)</f>
        <v>0</v>
      </c>
      <c r="GM756">
        <f t="shared" ref="GM756:GM771" si="720">ROUND(O756+X756+Y756+GK756,2)+GX756</f>
        <v>20160.830000000002</v>
      </c>
      <c r="GN756">
        <f t="shared" ref="GN756:GN771" si="721">IF(OR(BI756=0,BI756=1),GM756-GX756,0)</f>
        <v>0</v>
      </c>
      <c r="GO756">
        <f t="shared" ref="GO756:GO771" si="722">IF(BI756=2,GM756-GX756,0)</f>
        <v>0</v>
      </c>
      <c r="GP756">
        <f t="shared" ref="GP756:GP771" si="723">IF(BI756=4,GM756-GX756,0)</f>
        <v>20160.830000000002</v>
      </c>
      <c r="GR756">
        <v>0</v>
      </c>
      <c r="GS756">
        <v>3</v>
      </c>
      <c r="GT756">
        <v>0</v>
      </c>
      <c r="GU756" t="s">
        <v>3</v>
      </c>
      <c r="GV756">
        <f t="shared" ref="GV756:GV771" si="724">ROUND((GT756),6)</f>
        <v>0</v>
      </c>
      <c r="GW756">
        <v>1</v>
      </c>
      <c r="GX756">
        <f t="shared" ref="GX756:GX771" si="725">ROUND(HC756*I756,2)</f>
        <v>0</v>
      </c>
      <c r="HA756">
        <v>0</v>
      </c>
      <c r="HB756">
        <v>0</v>
      </c>
      <c r="HC756">
        <f t="shared" ref="HC756:HC771" si="726">GV756*GW756</f>
        <v>0</v>
      </c>
      <c r="HE756" t="s">
        <v>3</v>
      </c>
      <c r="HF756" t="s">
        <v>3</v>
      </c>
      <c r="HM756" t="s">
        <v>3</v>
      </c>
      <c r="HN756" t="s">
        <v>3</v>
      </c>
      <c r="HO756" t="s">
        <v>3</v>
      </c>
      <c r="HP756" t="s">
        <v>3</v>
      </c>
      <c r="HQ756" t="s">
        <v>3</v>
      </c>
      <c r="IK756">
        <v>0</v>
      </c>
    </row>
    <row r="757" spans="1:245" x14ac:dyDescent="0.2">
      <c r="A757">
        <v>17</v>
      </c>
      <c r="B757">
        <v>1</v>
      </c>
      <c r="D757">
        <f>ROW(EtalonRes!A651)</f>
        <v>651</v>
      </c>
      <c r="E757" t="s">
        <v>3</v>
      </c>
      <c r="F757" t="s">
        <v>574</v>
      </c>
      <c r="G757" t="s">
        <v>575</v>
      </c>
      <c r="H757" t="s">
        <v>20</v>
      </c>
      <c r="I757">
        <f>ROUND(1+1,9)</f>
        <v>2</v>
      </c>
      <c r="J757">
        <v>0</v>
      </c>
      <c r="K757">
        <f>ROUND(1+1,9)</f>
        <v>2</v>
      </c>
      <c r="O757">
        <f t="shared" si="694"/>
        <v>1114.08</v>
      </c>
      <c r="P757">
        <f t="shared" si="695"/>
        <v>2.58</v>
      </c>
      <c r="Q757">
        <f t="shared" si="696"/>
        <v>0</v>
      </c>
      <c r="R757">
        <f t="shared" si="697"/>
        <v>0</v>
      </c>
      <c r="S757">
        <f t="shared" si="698"/>
        <v>1111.5</v>
      </c>
      <c r="T757">
        <f t="shared" si="699"/>
        <v>0</v>
      </c>
      <c r="U757">
        <f t="shared" si="700"/>
        <v>1.7999999999999998</v>
      </c>
      <c r="V757">
        <f t="shared" si="701"/>
        <v>0</v>
      </c>
      <c r="W757">
        <f t="shared" si="702"/>
        <v>0</v>
      </c>
      <c r="X757">
        <f t="shared" si="703"/>
        <v>778.05</v>
      </c>
      <c r="Y757">
        <f t="shared" si="704"/>
        <v>111.15</v>
      </c>
      <c r="AA757">
        <v>-1</v>
      </c>
      <c r="AB757">
        <f t="shared" si="705"/>
        <v>557.04</v>
      </c>
      <c r="AC757">
        <f>ROUND(((ES757*3)),6)</f>
        <v>1.29</v>
      </c>
      <c r="AD757">
        <f>ROUND(((((ET757*3))-((EU757*3)))+AE757),6)</f>
        <v>0</v>
      </c>
      <c r="AE757">
        <f>ROUND(((EU757*3)),6)</f>
        <v>0</v>
      </c>
      <c r="AF757">
        <f>ROUND(((EV757*3)),6)</f>
        <v>555.75</v>
      </c>
      <c r="AG757">
        <f t="shared" si="706"/>
        <v>0</v>
      </c>
      <c r="AH757">
        <f>((EW757*3))</f>
        <v>0.89999999999999991</v>
      </c>
      <c r="AI757">
        <f>((EX757*3))</f>
        <v>0</v>
      </c>
      <c r="AJ757">
        <f t="shared" si="707"/>
        <v>0</v>
      </c>
      <c r="AK757">
        <v>185.68</v>
      </c>
      <c r="AL757">
        <v>0.43</v>
      </c>
      <c r="AM757">
        <v>0</v>
      </c>
      <c r="AN757">
        <v>0</v>
      </c>
      <c r="AO757">
        <v>185.25</v>
      </c>
      <c r="AP757">
        <v>0</v>
      </c>
      <c r="AQ757">
        <v>0.3</v>
      </c>
      <c r="AR757">
        <v>0</v>
      </c>
      <c r="AS757">
        <v>0</v>
      </c>
      <c r="AT757">
        <v>70</v>
      </c>
      <c r="AU757">
        <v>10</v>
      </c>
      <c r="AV757">
        <v>1</v>
      </c>
      <c r="AW757">
        <v>1</v>
      </c>
      <c r="AZ757">
        <v>1</v>
      </c>
      <c r="BA757">
        <v>1</v>
      </c>
      <c r="BB757">
        <v>1</v>
      </c>
      <c r="BC757">
        <v>1</v>
      </c>
      <c r="BD757" t="s">
        <v>3</v>
      </c>
      <c r="BE757" t="s">
        <v>3</v>
      </c>
      <c r="BF757" t="s">
        <v>3</v>
      </c>
      <c r="BG757" t="s">
        <v>3</v>
      </c>
      <c r="BH757">
        <v>0</v>
      </c>
      <c r="BI757">
        <v>4</v>
      </c>
      <c r="BJ757" t="s">
        <v>576</v>
      </c>
      <c r="BM757">
        <v>0</v>
      </c>
      <c r="BN757">
        <v>0</v>
      </c>
      <c r="BO757" t="s">
        <v>3</v>
      </c>
      <c r="BP757">
        <v>0</v>
      </c>
      <c r="BQ757">
        <v>1</v>
      </c>
      <c r="BR757">
        <v>0</v>
      </c>
      <c r="BS757">
        <v>1</v>
      </c>
      <c r="BT757">
        <v>1</v>
      </c>
      <c r="BU757">
        <v>1</v>
      </c>
      <c r="BV757">
        <v>1</v>
      </c>
      <c r="BW757">
        <v>1</v>
      </c>
      <c r="BX757">
        <v>1</v>
      </c>
      <c r="BY757" t="s">
        <v>3</v>
      </c>
      <c r="BZ757">
        <v>70</v>
      </c>
      <c r="CA757">
        <v>10</v>
      </c>
      <c r="CB757" t="s">
        <v>3</v>
      </c>
      <c r="CE757">
        <v>0</v>
      </c>
      <c r="CF757">
        <v>0</v>
      </c>
      <c r="CG757">
        <v>0</v>
      </c>
      <c r="CM757">
        <v>0</v>
      </c>
      <c r="CN757" t="s">
        <v>3</v>
      </c>
      <c r="CO757">
        <v>0</v>
      </c>
      <c r="CP757">
        <f t="shared" si="708"/>
        <v>1114.08</v>
      </c>
      <c r="CQ757">
        <f t="shared" si="709"/>
        <v>1.29</v>
      </c>
      <c r="CR757">
        <f>(((((ET757*3))*BB757-((EU757*3))*BS757)+AE757*BS757)*AV757)</f>
        <v>0</v>
      </c>
      <c r="CS757">
        <f t="shared" si="710"/>
        <v>0</v>
      </c>
      <c r="CT757">
        <f t="shared" si="711"/>
        <v>555.75</v>
      </c>
      <c r="CU757">
        <f t="shared" si="712"/>
        <v>0</v>
      </c>
      <c r="CV757">
        <f t="shared" si="713"/>
        <v>0.89999999999999991</v>
      </c>
      <c r="CW757">
        <f t="shared" si="714"/>
        <v>0</v>
      </c>
      <c r="CX757">
        <f t="shared" si="715"/>
        <v>0</v>
      </c>
      <c r="CY757">
        <f t="shared" si="716"/>
        <v>778.05</v>
      </c>
      <c r="CZ757">
        <f t="shared" si="717"/>
        <v>111.15</v>
      </c>
      <c r="DC757" t="s">
        <v>3</v>
      </c>
      <c r="DD757" t="s">
        <v>577</v>
      </c>
      <c r="DE757" t="s">
        <v>577</v>
      </c>
      <c r="DF757" t="s">
        <v>577</v>
      </c>
      <c r="DG757" t="s">
        <v>577</v>
      </c>
      <c r="DH757" t="s">
        <v>3</v>
      </c>
      <c r="DI757" t="s">
        <v>577</v>
      </c>
      <c r="DJ757" t="s">
        <v>577</v>
      </c>
      <c r="DK757" t="s">
        <v>3</v>
      </c>
      <c r="DL757" t="s">
        <v>3</v>
      </c>
      <c r="DM757" t="s">
        <v>3</v>
      </c>
      <c r="DN757">
        <v>0</v>
      </c>
      <c r="DO757">
        <v>0</v>
      </c>
      <c r="DP757">
        <v>1</v>
      </c>
      <c r="DQ757">
        <v>1</v>
      </c>
      <c r="DU757">
        <v>16987630</v>
      </c>
      <c r="DV757" t="s">
        <v>20</v>
      </c>
      <c r="DW757" t="s">
        <v>20</v>
      </c>
      <c r="DX757">
        <v>1</v>
      </c>
      <c r="DZ757" t="s">
        <v>3</v>
      </c>
      <c r="EA757" t="s">
        <v>3</v>
      </c>
      <c r="EB757" t="s">
        <v>3</v>
      </c>
      <c r="EC757" t="s">
        <v>3</v>
      </c>
      <c r="EE757">
        <v>1441815344</v>
      </c>
      <c r="EF757">
        <v>1</v>
      </c>
      <c r="EG757" t="s">
        <v>22</v>
      </c>
      <c r="EH757">
        <v>0</v>
      </c>
      <c r="EI757" t="s">
        <v>3</v>
      </c>
      <c r="EJ757">
        <v>4</v>
      </c>
      <c r="EK757">
        <v>0</v>
      </c>
      <c r="EL757" t="s">
        <v>23</v>
      </c>
      <c r="EM757" t="s">
        <v>24</v>
      </c>
      <c r="EO757" t="s">
        <v>3</v>
      </c>
      <c r="EQ757">
        <v>1024</v>
      </c>
      <c r="ER757">
        <v>185.68</v>
      </c>
      <c r="ES757">
        <v>0.43</v>
      </c>
      <c r="ET757">
        <v>0</v>
      </c>
      <c r="EU757">
        <v>0</v>
      </c>
      <c r="EV757">
        <v>185.25</v>
      </c>
      <c r="EW757">
        <v>0.3</v>
      </c>
      <c r="EX757">
        <v>0</v>
      </c>
      <c r="EY757">
        <v>0</v>
      </c>
      <c r="FQ757">
        <v>0</v>
      </c>
      <c r="FR757">
        <f t="shared" si="718"/>
        <v>0</v>
      </c>
      <c r="FS757">
        <v>0</v>
      </c>
      <c r="FX757">
        <v>70</v>
      </c>
      <c r="FY757">
        <v>10</v>
      </c>
      <c r="GA757" t="s">
        <v>3</v>
      </c>
      <c r="GD757">
        <v>0</v>
      </c>
      <c r="GF757">
        <v>-886302342</v>
      </c>
      <c r="GG757">
        <v>2</v>
      </c>
      <c r="GH757">
        <v>1</v>
      </c>
      <c r="GI757">
        <v>-2</v>
      </c>
      <c r="GJ757">
        <v>0</v>
      </c>
      <c r="GK757">
        <f>ROUND(R757*(R12)/100,2)</f>
        <v>0</v>
      </c>
      <c r="GL757">
        <f t="shared" si="719"/>
        <v>0</v>
      </c>
      <c r="GM757">
        <f t="shared" si="720"/>
        <v>2003.28</v>
      </c>
      <c r="GN757">
        <f t="shared" si="721"/>
        <v>0</v>
      </c>
      <c r="GO757">
        <f t="shared" si="722"/>
        <v>0</v>
      </c>
      <c r="GP757">
        <f t="shared" si="723"/>
        <v>2003.28</v>
      </c>
      <c r="GR757">
        <v>0</v>
      </c>
      <c r="GS757">
        <v>3</v>
      </c>
      <c r="GT757">
        <v>0</v>
      </c>
      <c r="GU757" t="s">
        <v>3</v>
      </c>
      <c r="GV757">
        <f t="shared" si="724"/>
        <v>0</v>
      </c>
      <c r="GW757">
        <v>1</v>
      </c>
      <c r="GX757">
        <f t="shared" si="725"/>
        <v>0</v>
      </c>
      <c r="HA757">
        <v>0</v>
      </c>
      <c r="HB757">
        <v>0</v>
      </c>
      <c r="HC757">
        <f t="shared" si="726"/>
        <v>0</v>
      </c>
      <c r="HE757" t="s">
        <v>3</v>
      </c>
      <c r="HF757" t="s">
        <v>3</v>
      </c>
      <c r="HM757" t="s">
        <v>3</v>
      </c>
      <c r="HN757" t="s">
        <v>3</v>
      </c>
      <c r="HO757" t="s">
        <v>3</v>
      </c>
      <c r="HP757" t="s">
        <v>3</v>
      </c>
      <c r="HQ757" t="s">
        <v>3</v>
      </c>
      <c r="IK757">
        <v>0</v>
      </c>
    </row>
    <row r="758" spans="1:245" x14ac:dyDescent="0.2">
      <c r="A758">
        <v>17</v>
      </c>
      <c r="B758">
        <v>1</v>
      </c>
      <c r="D758">
        <f>ROW(EtalonRes!A654)</f>
        <v>654</v>
      </c>
      <c r="E758" t="s">
        <v>3</v>
      </c>
      <c r="F758" t="s">
        <v>578</v>
      </c>
      <c r="G758" t="s">
        <v>579</v>
      </c>
      <c r="H758" t="s">
        <v>20</v>
      </c>
      <c r="I758">
        <f>ROUND(6+6,9)</f>
        <v>12</v>
      </c>
      <c r="J758">
        <v>0</v>
      </c>
      <c r="K758">
        <f>ROUND(6+6,9)</f>
        <v>12</v>
      </c>
      <c r="O758">
        <f t="shared" si="694"/>
        <v>13902.36</v>
      </c>
      <c r="P758">
        <f t="shared" si="695"/>
        <v>21.36</v>
      </c>
      <c r="Q758">
        <f t="shared" si="696"/>
        <v>0</v>
      </c>
      <c r="R758">
        <f t="shared" si="697"/>
        <v>0</v>
      </c>
      <c r="S758">
        <f t="shared" si="698"/>
        <v>13881</v>
      </c>
      <c r="T758">
        <f t="shared" si="699"/>
        <v>0</v>
      </c>
      <c r="U758">
        <f t="shared" si="700"/>
        <v>19.559999999999999</v>
      </c>
      <c r="V758">
        <f t="shared" si="701"/>
        <v>0</v>
      </c>
      <c r="W758">
        <f t="shared" si="702"/>
        <v>0</v>
      </c>
      <c r="X758">
        <f t="shared" si="703"/>
        <v>9716.7000000000007</v>
      </c>
      <c r="Y758">
        <f t="shared" si="704"/>
        <v>1388.1</v>
      </c>
      <c r="AA758">
        <v>-1</v>
      </c>
      <c r="AB758">
        <f t="shared" si="705"/>
        <v>1158.53</v>
      </c>
      <c r="AC758">
        <f>ROUND((ES758),6)</f>
        <v>1.78</v>
      </c>
      <c r="AD758">
        <f>ROUND((((ET758)-(EU758))+AE758),6)</f>
        <v>0</v>
      </c>
      <c r="AE758">
        <f>ROUND((EU758),6)</f>
        <v>0</v>
      </c>
      <c r="AF758">
        <f>ROUND((EV758),6)</f>
        <v>1156.75</v>
      </c>
      <c r="AG758">
        <f t="shared" si="706"/>
        <v>0</v>
      </c>
      <c r="AH758">
        <f>(EW758)</f>
        <v>1.63</v>
      </c>
      <c r="AI758">
        <f>(EX758)</f>
        <v>0</v>
      </c>
      <c r="AJ758">
        <f t="shared" si="707"/>
        <v>0</v>
      </c>
      <c r="AK758">
        <v>1158.53</v>
      </c>
      <c r="AL758">
        <v>1.78</v>
      </c>
      <c r="AM758">
        <v>0</v>
      </c>
      <c r="AN758">
        <v>0</v>
      </c>
      <c r="AO758">
        <v>1156.75</v>
      </c>
      <c r="AP758">
        <v>0</v>
      </c>
      <c r="AQ758">
        <v>1.63</v>
      </c>
      <c r="AR758">
        <v>0</v>
      </c>
      <c r="AS758">
        <v>0</v>
      </c>
      <c r="AT758">
        <v>70</v>
      </c>
      <c r="AU758">
        <v>10</v>
      </c>
      <c r="AV758">
        <v>1</v>
      </c>
      <c r="AW758">
        <v>1</v>
      </c>
      <c r="AZ758">
        <v>1</v>
      </c>
      <c r="BA758">
        <v>1</v>
      </c>
      <c r="BB758">
        <v>1</v>
      </c>
      <c r="BC758">
        <v>1</v>
      </c>
      <c r="BD758" t="s">
        <v>3</v>
      </c>
      <c r="BE758" t="s">
        <v>3</v>
      </c>
      <c r="BF758" t="s">
        <v>3</v>
      </c>
      <c r="BG758" t="s">
        <v>3</v>
      </c>
      <c r="BH758">
        <v>0</v>
      </c>
      <c r="BI758">
        <v>4</v>
      </c>
      <c r="BJ758" t="s">
        <v>580</v>
      </c>
      <c r="BM758">
        <v>0</v>
      </c>
      <c r="BN758">
        <v>0</v>
      </c>
      <c r="BO758" t="s">
        <v>3</v>
      </c>
      <c r="BP758">
        <v>0</v>
      </c>
      <c r="BQ758">
        <v>1</v>
      </c>
      <c r="BR758">
        <v>0</v>
      </c>
      <c r="BS758">
        <v>1</v>
      </c>
      <c r="BT758">
        <v>1</v>
      </c>
      <c r="BU758">
        <v>1</v>
      </c>
      <c r="BV758">
        <v>1</v>
      </c>
      <c r="BW758">
        <v>1</v>
      </c>
      <c r="BX758">
        <v>1</v>
      </c>
      <c r="BY758" t="s">
        <v>3</v>
      </c>
      <c r="BZ758">
        <v>70</v>
      </c>
      <c r="CA758">
        <v>10</v>
      </c>
      <c r="CB758" t="s">
        <v>3</v>
      </c>
      <c r="CE758">
        <v>0</v>
      </c>
      <c r="CF758">
        <v>0</v>
      </c>
      <c r="CG758">
        <v>0</v>
      </c>
      <c r="CM758">
        <v>0</v>
      </c>
      <c r="CN758" t="s">
        <v>3</v>
      </c>
      <c r="CO758">
        <v>0</v>
      </c>
      <c r="CP758">
        <f t="shared" si="708"/>
        <v>13902.36</v>
      </c>
      <c r="CQ758">
        <f t="shared" si="709"/>
        <v>1.78</v>
      </c>
      <c r="CR758">
        <f>((((ET758)*BB758-(EU758)*BS758)+AE758*BS758)*AV758)</f>
        <v>0</v>
      </c>
      <c r="CS758">
        <f t="shared" si="710"/>
        <v>0</v>
      </c>
      <c r="CT758">
        <f t="shared" si="711"/>
        <v>1156.75</v>
      </c>
      <c r="CU758">
        <f t="shared" si="712"/>
        <v>0</v>
      </c>
      <c r="CV758">
        <f t="shared" si="713"/>
        <v>1.63</v>
      </c>
      <c r="CW758">
        <f t="shared" si="714"/>
        <v>0</v>
      </c>
      <c r="CX758">
        <f t="shared" si="715"/>
        <v>0</v>
      </c>
      <c r="CY758">
        <f t="shared" si="716"/>
        <v>9716.7000000000007</v>
      </c>
      <c r="CZ758">
        <f t="shared" si="717"/>
        <v>1388.1</v>
      </c>
      <c r="DC758" t="s">
        <v>3</v>
      </c>
      <c r="DD758" t="s">
        <v>3</v>
      </c>
      <c r="DE758" t="s">
        <v>3</v>
      </c>
      <c r="DF758" t="s">
        <v>3</v>
      </c>
      <c r="DG758" t="s">
        <v>3</v>
      </c>
      <c r="DH758" t="s">
        <v>3</v>
      </c>
      <c r="DI758" t="s">
        <v>3</v>
      </c>
      <c r="DJ758" t="s">
        <v>3</v>
      </c>
      <c r="DK758" t="s">
        <v>3</v>
      </c>
      <c r="DL758" t="s">
        <v>3</v>
      </c>
      <c r="DM758" t="s">
        <v>3</v>
      </c>
      <c r="DN758">
        <v>0</v>
      </c>
      <c r="DO758">
        <v>0</v>
      </c>
      <c r="DP758">
        <v>1</v>
      </c>
      <c r="DQ758">
        <v>1</v>
      </c>
      <c r="DU758">
        <v>16987630</v>
      </c>
      <c r="DV758" t="s">
        <v>20</v>
      </c>
      <c r="DW758" t="s">
        <v>20</v>
      </c>
      <c r="DX758">
        <v>1</v>
      </c>
      <c r="DZ758" t="s">
        <v>3</v>
      </c>
      <c r="EA758" t="s">
        <v>3</v>
      </c>
      <c r="EB758" t="s">
        <v>3</v>
      </c>
      <c r="EC758" t="s">
        <v>3</v>
      </c>
      <c r="EE758">
        <v>1441815344</v>
      </c>
      <c r="EF758">
        <v>1</v>
      </c>
      <c r="EG758" t="s">
        <v>22</v>
      </c>
      <c r="EH758">
        <v>0</v>
      </c>
      <c r="EI758" t="s">
        <v>3</v>
      </c>
      <c r="EJ758">
        <v>4</v>
      </c>
      <c r="EK758">
        <v>0</v>
      </c>
      <c r="EL758" t="s">
        <v>23</v>
      </c>
      <c r="EM758" t="s">
        <v>24</v>
      </c>
      <c r="EO758" t="s">
        <v>3</v>
      </c>
      <c r="EQ758">
        <v>1311744</v>
      </c>
      <c r="ER758">
        <v>1158.53</v>
      </c>
      <c r="ES758">
        <v>1.78</v>
      </c>
      <c r="ET758">
        <v>0</v>
      </c>
      <c r="EU758">
        <v>0</v>
      </c>
      <c r="EV758">
        <v>1156.75</v>
      </c>
      <c r="EW758">
        <v>1.63</v>
      </c>
      <c r="EX758">
        <v>0</v>
      </c>
      <c r="EY758">
        <v>0</v>
      </c>
      <c r="FQ758">
        <v>0</v>
      </c>
      <c r="FR758">
        <f t="shared" si="718"/>
        <v>0</v>
      </c>
      <c r="FS758">
        <v>0</v>
      </c>
      <c r="FX758">
        <v>70</v>
      </c>
      <c r="FY758">
        <v>10</v>
      </c>
      <c r="GA758" t="s">
        <v>3</v>
      </c>
      <c r="GD758">
        <v>0</v>
      </c>
      <c r="GF758">
        <v>1177730177</v>
      </c>
      <c r="GG758">
        <v>2</v>
      </c>
      <c r="GH758">
        <v>1</v>
      </c>
      <c r="GI758">
        <v>-2</v>
      </c>
      <c r="GJ758">
        <v>0</v>
      </c>
      <c r="GK758">
        <f>ROUND(R758*(R12)/100,2)</f>
        <v>0</v>
      </c>
      <c r="GL758">
        <f t="shared" si="719"/>
        <v>0</v>
      </c>
      <c r="GM758">
        <f t="shared" si="720"/>
        <v>25007.16</v>
      </c>
      <c r="GN758">
        <f t="shared" si="721"/>
        <v>0</v>
      </c>
      <c r="GO758">
        <f t="shared" si="722"/>
        <v>0</v>
      </c>
      <c r="GP758">
        <f t="shared" si="723"/>
        <v>25007.16</v>
      </c>
      <c r="GR758">
        <v>0</v>
      </c>
      <c r="GS758">
        <v>3</v>
      </c>
      <c r="GT758">
        <v>0</v>
      </c>
      <c r="GU758" t="s">
        <v>3</v>
      </c>
      <c r="GV758">
        <f t="shared" si="724"/>
        <v>0</v>
      </c>
      <c r="GW758">
        <v>1</v>
      </c>
      <c r="GX758">
        <f t="shared" si="725"/>
        <v>0</v>
      </c>
      <c r="HA758">
        <v>0</v>
      </c>
      <c r="HB758">
        <v>0</v>
      </c>
      <c r="HC758">
        <f t="shared" si="726"/>
        <v>0</v>
      </c>
      <c r="HE758" t="s">
        <v>3</v>
      </c>
      <c r="HF758" t="s">
        <v>3</v>
      </c>
      <c r="HM758" t="s">
        <v>3</v>
      </c>
      <c r="HN758" t="s">
        <v>3</v>
      </c>
      <c r="HO758" t="s">
        <v>3</v>
      </c>
      <c r="HP758" t="s">
        <v>3</v>
      </c>
      <c r="HQ758" t="s">
        <v>3</v>
      </c>
      <c r="IK758">
        <v>0</v>
      </c>
    </row>
    <row r="759" spans="1:245" x14ac:dyDescent="0.2">
      <c r="A759">
        <v>17</v>
      </c>
      <c r="B759">
        <v>1</v>
      </c>
      <c r="D759">
        <f>ROW(EtalonRes!A658)</f>
        <v>658</v>
      </c>
      <c r="E759" t="s">
        <v>3</v>
      </c>
      <c r="F759" t="s">
        <v>581</v>
      </c>
      <c r="G759" t="s">
        <v>582</v>
      </c>
      <c r="H759" t="s">
        <v>20</v>
      </c>
      <c r="I759">
        <f>ROUND(6+6,9)</f>
        <v>12</v>
      </c>
      <c r="J759">
        <v>0</v>
      </c>
      <c r="K759">
        <f>ROUND(6+6,9)</f>
        <v>12</v>
      </c>
      <c r="O759">
        <f t="shared" si="694"/>
        <v>6413.76</v>
      </c>
      <c r="P759">
        <f t="shared" si="695"/>
        <v>43.2</v>
      </c>
      <c r="Q759">
        <f t="shared" si="696"/>
        <v>0</v>
      </c>
      <c r="R759">
        <f t="shared" si="697"/>
        <v>0</v>
      </c>
      <c r="S759">
        <f t="shared" si="698"/>
        <v>6370.56</v>
      </c>
      <c r="T759">
        <f t="shared" si="699"/>
        <v>0</v>
      </c>
      <c r="U759">
        <f t="shared" si="700"/>
        <v>9.6000000000000014</v>
      </c>
      <c r="V759">
        <f t="shared" si="701"/>
        <v>0</v>
      </c>
      <c r="W759">
        <f t="shared" si="702"/>
        <v>0</v>
      </c>
      <c r="X759">
        <f t="shared" si="703"/>
        <v>4459.3900000000003</v>
      </c>
      <c r="Y759">
        <f t="shared" si="704"/>
        <v>637.05999999999995</v>
      </c>
      <c r="AA759">
        <v>-1</v>
      </c>
      <c r="AB759">
        <f t="shared" si="705"/>
        <v>534.48</v>
      </c>
      <c r="AC759">
        <f>ROUND(((ES759*4)),6)</f>
        <v>3.6</v>
      </c>
      <c r="AD759">
        <f>ROUND(((((ET759*4))-((EU759*4)))+AE759),6)</f>
        <v>0</v>
      </c>
      <c r="AE759">
        <f>ROUND(((EU759*4)),6)</f>
        <v>0</v>
      </c>
      <c r="AF759">
        <f>ROUND(((EV759*4)),6)</f>
        <v>530.88</v>
      </c>
      <c r="AG759">
        <f t="shared" si="706"/>
        <v>0</v>
      </c>
      <c r="AH759">
        <f>((EW759*4))</f>
        <v>0.8</v>
      </c>
      <c r="AI759">
        <f>((EX759*4))</f>
        <v>0</v>
      </c>
      <c r="AJ759">
        <f t="shared" si="707"/>
        <v>0</v>
      </c>
      <c r="AK759">
        <v>133.62</v>
      </c>
      <c r="AL759">
        <v>0.9</v>
      </c>
      <c r="AM759">
        <v>0</v>
      </c>
      <c r="AN759">
        <v>0</v>
      </c>
      <c r="AO759">
        <v>132.72</v>
      </c>
      <c r="AP759">
        <v>0</v>
      </c>
      <c r="AQ759">
        <v>0.2</v>
      </c>
      <c r="AR759">
        <v>0</v>
      </c>
      <c r="AS759">
        <v>0</v>
      </c>
      <c r="AT759">
        <v>70</v>
      </c>
      <c r="AU759">
        <v>10</v>
      </c>
      <c r="AV759">
        <v>1</v>
      </c>
      <c r="AW759">
        <v>1</v>
      </c>
      <c r="AZ759">
        <v>1</v>
      </c>
      <c r="BA759">
        <v>1</v>
      </c>
      <c r="BB759">
        <v>1</v>
      </c>
      <c r="BC759">
        <v>1</v>
      </c>
      <c r="BD759" t="s">
        <v>3</v>
      </c>
      <c r="BE759" t="s">
        <v>3</v>
      </c>
      <c r="BF759" t="s">
        <v>3</v>
      </c>
      <c r="BG759" t="s">
        <v>3</v>
      </c>
      <c r="BH759">
        <v>0</v>
      </c>
      <c r="BI759">
        <v>4</v>
      </c>
      <c r="BJ759" t="s">
        <v>583</v>
      </c>
      <c r="BM759">
        <v>0</v>
      </c>
      <c r="BN759">
        <v>0</v>
      </c>
      <c r="BO759" t="s">
        <v>3</v>
      </c>
      <c r="BP759">
        <v>0</v>
      </c>
      <c r="BQ759">
        <v>1</v>
      </c>
      <c r="BR759">
        <v>0</v>
      </c>
      <c r="BS759">
        <v>1</v>
      </c>
      <c r="BT759">
        <v>1</v>
      </c>
      <c r="BU759">
        <v>1</v>
      </c>
      <c r="BV759">
        <v>1</v>
      </c>
      <c r="BW759">
        <v>1</v>
      </c>
      <c r="BX759">
        <v>1</v>
      </c>
      <c r="BY759" t="s">
        <v>3</v>
      </c>
      <c r="BZ759">
        <v>70</v>
      </c>
      <c r="CA759">
        <v>10</v>
      </c>
      <c r="CB759" t="s">
        <v>3</v>
      </c>
      <c r="CE759">
        <v>0</v>
      </c>
      <c r="CF759">
        <v>0</v>
      </c>
      <c r="CG759">
        <v>0</v>
      </c>
      <c r="CM759">
        <v>0</v>
      </c>
      <c r="CN759" t="s">
        <v>3</v>
      </c>
      <c r="CO759">
        <v>0</v>
      </c>
      <c r="CP759">
        <f t="shared" si="708"/>
        <v>6413.76</v>
      </c>
      <c r="CQ759">
        <f t="shared" si="709"/>
        <v>3.6</v>
      </c>
      <c r="CR759">
        <f>(((((ET759*4))*BB759-((EU759*4))*BS759)+AE759*BS759)*AV759)</f>
        <v>0</v>
      </c>
      <c r="CS759">
        <f t="shared" si="710"/>
        <v>0</v>
      </c>
      <c r="CT759">
        <f t="shared" si="711"/>
        <v>530.88</v>
      </c>
      <c r="CU759">
        <f t="shared" si="712"/>
        <v>0</v>
      </c>
      <c r="CV759">
        <f t="shared" si="713"/>
        <v>0.8</v>
      </c>
      <c r="CW759">
        <f t="shared" si="714"/>
        <v>0</v>
      </c>
      <c r="CX759">
        <f t="shared" si="715"/>
        <v>0</v>
      </c>
      <c r="CY759">
        <f t="shared" si="716"/>
        <v>4459.3919999999998</v>
      </c>
      <c r="CZ759">
        <f t="shared" si="717"/>
        <v>637.05600000000004</v>
      </c>
      <c r="DC759" t="s">
        <v>3</v>
      </c>
      <c r="DD759" t="s">
        <v>584</v>
      </c>
      <c r="DE759" t="s">
        <v>584</v>
      </c>
      <c r="DF759" t="s">
        <v>584</v>
      </c>
      <c r="DG759" t="s">
        <v>584</v>
      </c>
      <c r="DH759" t="s">
        <v>3</v>
      </c>
      <c r="DI759" t="s">
        <v>584</v>
      </c>
      <c r="DJ759" t="s">
        <v>584</v>
      </c>
      <c r="DK759" t="s">
        <v>3</v>
      </c>
      <c r="DL759" t="s">
        <v>3</v>
      </c>
      <c r="DM759" t="s">
        <v>3</v>
      </c>
      <c r="DN759">
        <v>0</v>
      </c>
      <c r="DO759">
        <v>0</v>
      </c>
      <c r="DP759">
        <v>1</v>
      </c>
      <c r="DQ759">
        <v>1</v>
      </c>
      <c r="DU759">
        <v>16987630</v>
      </c>
      <c r="DV759" t="s">
        <v>20</v>
      </c>
      <c r="DW759" t="s">
        <v>20</v>
      </c>
      <c r="DX759">
        <v>1</v>
      </c>
      <c r="DZ759" t="s">
        <v>3</v>
      </c>
      <c r="EA759" t="s">
        <v>3</v>
      </c>
      <c r="EB759" t="s">
        <v>3</v>
      </c>
      <c r="EC759" t="s">
        <v>3</v>
      </c>
      <c r="EE759">
        <v>1441815344</v>
      </c>
      <c r="EF759">
        <v>1</v>
      </c>
      <c r="EG759" t="s">
        <v>22</v>
      </c>
      <c r="EH759">
        <v>0</v>
      </c>
      <c r="EI759" t="s">
        <v>3</v>
      </c>
      <c r="EJ759">
        <v>4</v>
      </c>
      <c r="EK759">
        <v>0</v>
      </c>
      <c r="EL759" t="s">
        <v>23</v>
      </c>
      <c r="EM759" t="s">
        <v>24</v>
      </c>
      <c r="EO759" t="s">
        <v>3</v>
      </c>
      <c r="EQ759">
        <v>1024</v>
      </c>
      <c r="ER759">
        <v>133.62</v>
      </c>
      <c r="ES759">
        <v>0.9</v>
      </c>
      <c r="ET759">
        <v>0</v>
      </c>
      <c r="EU759">
        <v>0</v>
      </c>
      <c r="EV759">
        <v>132.72</v>
      </c>
      <c r="EW759">
        <v>0.2</v>
      </c>
      <c r="EX759">
        <v>0</v>
      </c>
      <c r="EY759">
        <v>0</v>
      </c>
      <c r="FQ759">
        <v>0</v>
      </c>
      <c r="FR759">
        <f t="shared" si="718"/>
        <v>0</v>
      </c>
      <c r="FS759">
        <v>0</v>
      </c>
      <c r="FX759">
        <v>70</v>
      </c>
      <c r="FY759">
        <v>10</v>
      </c>
      <c r="GA759" t="s">
        <v>3</v>
      </c>
      <c r="GD759">
        <v>0</v>
      </c>
      <c r="GF759">
        <v>-1028445436</v>
      </c>
      <c r="GG759">
        <v>2</v>
      </c>
      <c r="GH759">
        <v>1</v>
      </c>
      <c r="GI759">
        <v>-2</v>
      </c>
      <c r="GJ759">
        <v>0</v>
      </c>
      <c r="GK759">
        <f>ROUND(R759*(R12)/100,2)</f>
        <v>0</v>
      </c>
      <c r="GL759">
        <f t="shared" si="719"/>
        <v>0</v>
      </c>
      <c r="GM759">
        <f t="shared" si="720"/>
        <v>11510.21</v>
      </c>
      <c r="GN759">
        <f t="shared" si="721"/>
        <v>0</v>
      </c>
      <c r="GO759">
        <f t="shared" si="722"/>
        <v>0</v>
      </c>
      <c r="GP759">
        <f t="shared" si="723"/>
        <v>11510.21</v>
      </c>
      <c r="GR759">
        <v>0</v>
      </c>
      <c r="GS759">
        <v>3</v>
      </c>
      <c r="GT759">
        <v>0</v>
      </c>
      <c r="GU759" t="s">
        <v>3</v>
      </c>
      <c r="GV759">
        <f t="shared" si="724"/>
        <v>0</v>
      </c>
      <c r="GW759">
        <v>1</v>
      </c>
      <c r="GX759">
        <f t="shared" si="725"/>
        <v>0</v>
      </c>
      <c r="HA759">
        <v>0</v>
      </c>
      <c r="HB759">
        <v>0</v>
      </c>
      <c r="HC759">
        <f t="shared" si="726"/>
        <v>0</v>
      </c>
      <c r="HE759" t="s">
        <v>3</v>
      </c>
      <c r="HF759" t="s">
        <v>3</v>
      </c>
      <c r="HM759" t="s">
        <v>3</v>
      </c>
      <c r="HN759" t="s">
        <v>3</v>
      </c>
      <c r="HO759" t="s">
        <v>3</v>
      </c>
      <c r="HP759" t="s">
        <v>3</v>
      </c>
      <c r="HQ759" t="s">
        <v>3</v>
      </c>
      <c r="IK759">
        <v>0</v>
      </c>
    </row>
    <row r="760" spans="1:245" x14ac:dyDescent="0.2">
      <c r="A760">
        <v>17</v>
      </c>
      <c r="B760">
        <v>1</v>
      </c>
      <c r="D760">
        <f>ROW(EtalonRes!A661)</f>
        <v>661</v>
      </c>
      <c r="E760" t="s">
        <v>648</v>
      </c>
      <c r="F760" t="s">
        <v>586</v>
      </c>
      <c r="G760" t="s">
        <v>587</v>
      </c>
      <c r="H760" t="s">
        <v>20</v>
      </c>
      <c r="I760">
        <f>ROUND(1+1,9)</f>
        <v>2</v>
      </c>
      <c r="J760">
        <v>0</v>
      </c>
      <c r="K760">
        <f>ROUND(1+1,9)</f>
        <v>2</v>
      </c>
      <c r="O760">
        <f t="shared" si="694"/>
        <v>237.48</v>
      </c>
      <c r="P760">
        <f t="shared" si="695"/>
        <v>12.6</v>
      </c>
      <c r="Q760">
        <f t="shared" si="696"/>
        <v>0</v>
      </c>
      <c r="R760">
        <f t="shared" si="697"/>
        <v>0</v>
      </c>
      <c r="S760">
        <f t="shared" si="698"/>
        <v>224.88</v>
      </c>
      <c r="T760">
        <f t="shared" si="699"/>
        <v>0</v>
      </c>
      <c r="U760">
        <f t="shared" si="700"/>
        <v>0.4</v>
      </c>
      <c r="V760">
        <f t="shared" si="701"/>
        <v>0</v>
      </c>
      <c r="W760">
        <f t="shared" si="702"/>
        <v>0</v>
      </c>
      <c r="X760">
        <f t="shared" si="703"/>
        <v>157.41999999999999</v>
      </c>
      <c r="Y760">
        <f t="shared" si="704"/>
        <v>22.49</v>
      </c>
      <c r="AA760">
        <v>1472506909</v>
      </c>
      <c r="AB760">
        <f t="shared" si="705"/>
        <v>118.74</v>
      </c>
      <c r="AC760">
        <f>ROUND((ES760),6)</f>
        <v>6.3</v>
      </c>
      <c r="AD760">
        <f>ROUND((((ET760)-(EU760))+AE760),6)</f>
        <v>0</v>
      </c>
      <c r="AE760">
        <f>ROUND((EU760),6)</f>
        <v>0</v>
      </c>
      <c r="AF760">
        <f>ROUND((EV760),6)</f>
        <v>112.44</v>
      </c>
      <c r="AG760">
        <f t="shared" si="706"/>
        <v>0</v>
      </c>
      <c r="AH760">
        <f>(EW760)</f>
        <v>0.2</v>
      </c>
      <c r="AI760">
        <f>(EX760)</f>
        <v>0</v>
      </c>
      <c r="AJ760">
        <f t="shared" si="707"/>
        <v>0</v>
      </c>
      <c r="AK760">
        <v>118.74</v>
      </c>
      <c r="AL760">
        <v>6.3</v>
      </c>
      <c r="AM760">
        <v>0</v>
      </c>
      <c r="AN760">
        <v>0</v>
      </c>
      <c r="AO760">
        <v>112.44</v>
      </c>
      <c r="AP760">
        <v>0</v>
      </c>
      <c r="AQ760">
        <v>0.2</v>
      </c>
      <c r="AR760">
        <v>0</v>
      </c>
      <c r="AS760">
        <v>0</v>
      </c>
      <c r="AT760">
        <v>70</v>
      </c>
      <c r="AU760">
        <v>10</v>
      </c>
      <c r="AV760">
        <v>1</v>
      </c>
      <c r="AW760">
        <v>1</v>
      </c>
      <c r="AZ760">
        <v>1</v>
      </c>
      <c r="BA760">
        <v>1</v>
      </c>
      <c r="BB760">
        <v>1</v>
      </c>
      <c r="BC760">
        <v>1</v>
      </c>
      <c r="BD760" t="s">
        <v>3</v>
      </c>
      <c r="BE760" t="s">
        <v>3</v>
      </c>
      <c r="BF760" t="s">
        <v>3</v>
      </c>
      <c r="BG760" t="s">
        <v>3</v>
      </c>
      <c r="BH760">
        <v>0</v>
      </c>
      <c r="BI760">
        <v>4</v>
      </c>
      <c r="BJ760" t="s">
        <v>588</v>
      </c>
      <c r="BM760">
        <v>0</v>
      </c>
      <c r="BN760">
        <v>0</v>
      </c>
      <c r="BO760" t="s">
        <v>3</v>
      </c>
      <c r="BP760">
        <v>0</v>
      </c>
      <c r="BQ760">
        <v>1</v>
      </c>
      <c r="BR760">
        <v>0</v>
      </c>
      <c r="BS760">
        <v>1</v>
      </c>
      <c r="BT760">
        <v>1</v>
      </c>
      <c r="BU760">
        <v>1</v>
      </c>
      <c r="BV760">
        <v>1</v>
      </c>
      <c r="BW760">
        <v>1</v>
      </c>
      <c r="BX760">
        <v>1</v>
      </c>
      <c r="BY760" t="s">
        <v>3</v>
      </c>
      <c r="BZ760">
        <v>70</v>
      </c>
      <c r="CA760">
        <v>10</v>
      </c>
      <c r="CB760" t="s">
        <v>3</v>
      </c>
      <c r="CE760">
        <v>0</v>
      </c>
      <c r="CF760">
        <v>0</v>
      </c>
      <c r="CG760">
        <v>0</v>
      </c>
      <c r="CM760">
        <v>0</v>
      </c>
      <c r="CN760" t="s">
        <v>3</v>
      </c>
      <c r="CO760">
        <v>0</v>
      </c>
      <c r="CP760">
        <f t="shared" si="708"/>
        <v>237.48</v>
      </c>
      <c r="CQ760">
        <f t="shared" si="709"/>
        <v>6.3</v>
      </c>
      <c r="CR760">
        <f>((((ET760)*BB760-(EU760)*BS760)+AE760*BS760)*AV760)</f>
        <v>0</v>
      </c>
      <c r="CS760">
        <f t="shared" si="710"/>
        <v>0</v>
      </c>
      <c r="CT760">
        <f t="shared" si="711"/>
        <v>112.44</v>
      </c>
      <c r="CU760">
        <f t="shared" si="712"/>
        <v>0</v>
      </c>
      <c r="CV760">
        <f t="shared" si="713"/>
        <v>0.2</v>
      </c>
      <c r="CW760">
        <f t="shared" si="714"/>
        <v>0</v>
      </c>
      <c r="CX760">
        <f t="shared" si="715"/>
        <v>0</v>
      </c>
      <c r="CY760">
        <f t="shared" si="716"/>
        <v>157.416</v>
      </c>
      <c r="CZ760">
        <f t="shared" si="717"/>
        <v>22.488000000000003</v>
      </c>
      <c r="DC760" t="s">
        <v>3</v>
      </c>
      <c r="DD760" t="s">
        <v>3</v>
      </c>
      <c r="DE760" t="s">
        <v>3</v>
      </c>
      <c r="DF760" t="s">
        <v>3</v>
      </c>
      <c r="DG760" t="s">
        <v>3</v>
      </c>
      <c r="DH760" t="s">
        <v>3</v>
      </c>
      <c r="DI760" t="s">
        <v>3</v>
      </c>
      <c r="DJ760" t="s">
        <v>3</v>
      </c>
      <c r="DK760" t="s">
        <v>3</v>
      </c>
      <c r="DL760" t="s">
        <v>3</v>
      </c>
      <c r="DM760" t="s">
        <v>3</v>
      </c>
      <c r="DN760">
        <v>0</v>
      </c>
      <c r="DO760">
        <v>0</v>
      </c>
      <c r="DP760">
        <v>1</v>
      </c>
      <c r="DQ760">
        <v>1</v>
      </c>
      <c r="DU760">
        <v>16987630</v>
      </c>
      <c r="DV760" t="s">
        <v>20</v>
      </c>
      <c r="DW760" t="s">
        <v>20</v>
      </c>
      <c r="DX760">
        <v>1</v>
      </c>
      <c r="DZ760" t="s">
        <v>3</v>
      </c>
      <c r="EA760" t="s">
        <v>3</v>
      </c>
      <c r="EB760" t="s">
        <v>3</v>
      </c>
      <c r="EC760" t="s">
        <v>3</v>
      </c>
      <c r="EE760">
        <v>1441815344</v>
      </c>
      <c r="EF760">
        <v>1</v>
      </c>
      <c r="EG760" t="s">
        <v>22</v>
      </c>
      <c r="EH760">
        <v>0</v>
      </c>
      <c r="EI760" t="s">
        <v>3</v>
      </c>
      <c r="EJ760">
        <v>4</v>
      </c>
      <c r="EK760">
        <v>0</v>
      </c>
      <c r="EL760" t="s">
        <v>23</v>
      </c>
      <c r="EM760" t="s">
        <v>24</v>
      </c>
      <c r="EO760" t="s">
        <v>3</v>
      </c>
      <c r="EQ760">
        <v>0</v>
      </c>
      <c r="ER760">
        <v>118.74</v>
      </c>
      <c r="ES760">
        <v>6.3</v>
      </c>
      <c r="ET760">
        <v>0</v>
      </c>
      <c r="EU760">
        <v>0</v>
      </c>
      <c r="EV760">
        <v>112.44</v>
      </c>
      <c r="EW760">
        <v>0.2</v>
      </c>
      <c r="EX760">
        <v>0</v>
      </c>
      <c r="EY760">
        <v>0</v>
      </c>
      <c r="FQ760">
        <v>0</v>
      </c>
      <c r="FR760">
        <f t="shared" si="718"/>
        <v>0</v>
      </c>
      <c r="FS760">
        <v>0</v>
      </c>
      <c r="FX760">
        <v>70</v>
      </c>
      <c r="FY760">
        <v>10</v>
      </c>
      <c r="GA760" t="s">
        <v>3</v>
      </c>
      <c r="GD760">
        <v>0</v>
      </c>
      <c r="GF760">
        <v>-792164964</v>
      </c>
      <c r="GG760">
        <v>2</v>
      </c>
      <c r="GH760">
        <v>1</v>
      </c>
      <c r="GI760">
        <v>-2</v>
      </c>
      <c r="GJ760">
        <v>0</v>
      </c>
      <c r="GK760">
        <f>ROUND(R760*(R12)/100,2)</f>
        <v>0</v>
      </c>
      <c r="GL760">
        <f t="shared" si="719"/>
        <v>0</v>
      </c>
      <c r="GM760">
        <f t="shared" si="720"/>
        <v>417.39</v>
      </c>
      <c r="GN760">
        <f t="shared" si="721"/>
        <v>0</v>
      </c>
      <c r="GO760">
        <f t="shared" si="722"/>
        <v>0</v>
      </c>
      <c r="GP760">
        <f t="shared" si="723"/>
        <v>417.39</v>
      </c>
      <c r="GR760">
        <v>0</v>
      </c>
      <c r="GS760">
        <v>3</v>
      </c>
      <c r="GT760">
        <v>0</v>
      </c>
      <c r="GU760" t="s">
        <v>3</v>
      </c>
      <c r="GV760">
        <f t="shared" si="724"/>
        <v>0</v>
      </c>
      <c r="GW760">
        <v>1</v>
      </c>
      <c r="GX760">
        <f t="shared" si="725"/>
        <v>0</v>
      </c>
      <c r="HA760">
        <v>0</v>
      </c>
      <c r="HB760">
        <v>0</v>
      </c>
      <c r="HC760">
        <f t="shared" si="726"/>
        <v>0</v>
      </c>
      <c r="HE760" t="s">
        <v>3</v>
      </c>
      <c r="HF760" t="s">
        <v>3</v>
      </c>
      <c r="HM760" t="s">
        <v>3</v>
      </c>
      <c r="HN760" t="s">
        <v>3</v>
      </c>
      <c r="HO760" t="s">
        <v>3</v>
      </c>
      <c r="HP760" t="s">
        <v>3</v>
      </c>
      <c r="HQ760" t="s">
        <v>3</v>
      </c>
      <c r="IK760">
        <v>0</v>
      </c>
    </row>
    <row r="761" spans="1:245" x14ac:dyDescent="0.2">
      <c r="A761">
        <v>17</v>
      </c>
      <c r="B761">
        <v>1</v>
      </c>
      <c r="D761">
        <f>ROW(EtalonRes!A662)</f>
        <v>662</v>
      </c>
      <c r="E761" t="s">
        <v>3</v>
      </c>
      <c r="F761" t="s">
        <v>589</v>
      </c>
      <c r="G761" t="s">
        <v>590</v>
      </c>
      <c r="H761" t="s">
        <v>94</v>
      </c>
      <c r="I761">
        <f>ROUND(ROUND((1+1)/10,9),9)</f>
        <v>0.2</v>
      </c>
      <c r="J761">
        <v>0</v>
      </c>
      <c r="K761">
        <f>ROUND(ROUND((1+1)/10,9),9)</f>
        <v>0.2</v>
      </c>
      <c r="O761">
        <f t="shared" si="694"/>
        <v>6500.85</v>
      </c>
      <c r="P761">
        <f t="shared" si="695"/>
        <v>0</v>
      </c>
      <c r="Q761">
        <f t="shared" si="696"/>
        <v>0</v>
      </c>
      <c r="R761">
        <f t="shared" si="697"/>
        <v>0</v>
      </c>
      <c r="S761">
        <f t="shared" si="698"/>
        <v>6500.85</v>
      </c>
      <c r="T761">
        <f t="shared" si="699"/>
        <v>0</v>
      </c>
      <c r="U761">
        <f t="shared" si="700"/>
        <v>12.826000000000002</v>
      </c>
      <c r="V761">
        <f t="shared" si="701"/>
        <v>0</v>
      </c>
      <c r="W761">
        <f t="shared" si="702"/>
        <v>0</v>
      </c>
      <c r="X761">
        <f t="shared" si="703"/>
        <v>4550.6000000000004</v>
      </c>
      <c r="Y761">
        <f t="shared" si="704"/>
        <v>650.09</v>
      </c>
      <c r="AA761">
        <v>-1</v>
      </c>
      <c r="AB761">
        <f t="shared" si="705"/>
        <v>32504.23</v>
      </c>
      <c r="AC761">
        <f>ROUND(((ES761*121)),6)</f>
        <v>0</v>
      </c>
      <c r="AD761">
        <f>ROUND(((((ET761*121))-((EU761*121)))+AE761),6)</f>
        <v>0</v>
      </c>
      <c r="AE761">
        <f>ROUND(((EU761*121)),6)</f>
        <v>0</v>
      </c>
      <c r="AF761">
        <f>ROUND(((EV761*121)),6)</f>
        <v>32504.23</v>
      </c>
      <c r="AG761">
        <f t="shared" si="706"/>
        <v>0</v>
      </c>
      <c r="AH761">
        <f>((EW761*121))</f>
        <v>64.13000000000001</v>
      </c>
      <c r="AI761">
        <f>((EX761*121))</f>
        <v>0</v>
      </c>
      <c r="AJ761">
        <f t="shared" si="707"/>
        <v>0</v>
      </c>
      <c r="AK761">
        <v>268.63</v>
      </c>
      <c r="AL761">
        <v>0</v>
      </c>
      <c r="AM761">
        <v>0</v>
      </c>
      <c r="AN761">
        <v>0</v>
      </c>
      <c r="AO761">
        <v>268.63</v>
      </c>
      <c r="AP761">
        <v>0</v>
      </c>
      <c r="AQ761">
        <v>0.53</v>
      </c>
      <c r="AR761">
        <v>0</v>
      </c>
      <c r="AS761">
        <v>0</v>
      </c>
      <c r="AT761">
        <v>70</v>
      </c>
      <c r="AU761">
        <v>10</v>
      </c>
      <c r="AV761">
        <v>1</v>
      </c>
      <c r="AW761">
        <v>1</v>
      </c>
      <c r="AZ761">
        <v>1</v>
      </c>
      <c r="BA761">
        <v>1</v>
      </c>
      <c r="BB761">
        <v>1</v>
      </c>
      <c r="BC761">
        <v>1</v>
      </c>
      <c r="BD761" t="s">
        <v>3</v>
      </c>
      <c r="BE761" t="s">
        <v>3</v>
      </c>
      <c r="BF761" t="s">
        <v>3</v>
      </c>
      <c r="BG761" t="s">
        <v>3</v>
      </c>
      <c r="BH761">
        <v>0</v>
      </c>
      <c r="BI761">
        <v>4</v>
      </c>
      <c r="BJ761" t="s">
        <v>591</v>
      </c>
      <c r="BM761">
        <v>0</v>
      </c>
      <c r="BN761">
        <v>0</v>
      </c>
      <c r="BO761" t="s">
        <v>3</v>
      </c>
      <c r="BP761">
        <v>0</v>
      </c>
      <c r="BQ761">
        <v>1</v>
      </c>
      <c r="BR761">
        <v>0</v>
      </c>
      <c r="BS761">
        <v>1</v>
      </c>
      <c r="BT761">
        <v>1</v>
      </c>
      <c r="BU761">
        <v>1</v>
      </c>
      <c r="BV761">
        <v>1</v>
      </c>
      <c r="BW761">
        <v>1</v>
      </c>
      <c r="BX761">
        <v>1</v>
      </c>
      <c r="BY761" t="s">
        <v>3</v>
      </c>
      <c r="BZ761">
        <v>70</v>
      </c>
      <c r="CA761">
        <v>10</v>
      </c>
      <c r="CB761" t="s">
        <v>3</v>
      </c>
      <c r="CE761">
        <v>0</v>
      </c>
      <c r="CF761">
        <v>0</v>
      </c>
      <c r="CG761">
        <v>0</v>
      </c>
      <c r="CM761">
        <v>0</v>
      </c>
      <c r="CN761" t="s">
        <v>3</v>
      </c>
      <c r="CO761">
        <v>0</v>
      </c>
      <c r="CP761">
        <f t="shared" si="708"/>
        <v>6500.85</v>
      </c>
      <c r="CQ761">
        <f t="shared" si="709"/>
        <v>0</v>
      </c>
      <c r="CR761">
        <f>(((((ET761*121))*BB761-((EU761*121))*BS761)+AE761*BS761)*AV761)</f>
        <v>0</v>
      </c>
      <c r="CS761">
        <f t="shared" si="710"/>
        <v>0</v>
      </c>
      <c r="CT761">
        <f t="shared" si="711"/>
        <v>32504.23</v>
      </c>
      <c r="CU761">
        <f t="shared" si="712"/>
        <v>0</v>
      </c>
      <c r="CV761">
        <f t="shared" si="713"/>
        <v>64.13000000000001</v>
      </c>
      <c r="CW761">
        <f t="shared" si="714"/>
        <v>0</v>
      </c>
      <c r="CX761">
        <f t="shared" si="715"/>
        <v>0</v>
      </c>
      <c r="CY761">
        <f t="shared" si="716"/>
        <v>4550.5950000000003</v>
      </c>
      <c r="CZ761">
        <f t="shared" si="717"/>
        <v>650.08500000000004</v>
      </c>
      <c r="DC761" t="s">
        <v>3</v>
      </c>
      <c r="DD761" t="s">
        <v>592</v>
      </c>
      <c r="DE761" t="s">
        <v>592</v>
      </c>
      <c r="DF761" t="s">
        <v>592</v>
      </c>
      <c r="DG761" t="s">
        <v>592</v>
      </c>
      <c r="DH761" t="s">
        <v>3</v>
      </c>
      <c r="DI761" t="s">
        <v>592</v>
      </c>
      <c r="DJ761" t="s">
        <v>592</v>
      </c>
      <c r="DK761" t="s">
        <v>3</v>
      </c>
      <c r="DL761" t="s">
        <v>3</v>
      </c>
      <c r="DM761" t="s">
        <v>3</v>
      </c>
      <c r="DN761">
        <v>0</v>
      </c>
      <c r="DO761">
        <v>0</v>
      </c>
      <c r="DP761">
        <v>1</v>
      </c>
      <c r="DQ761">
        <v>1</v>
      </c>
      <c r="DU761">
        <v>16987630</v>
      </c>
      <c r="DV761" t="s">
        <v>94</v>
      </c>
      <c r="DW761" t="s">
        <v>94</v>
      </c>
      <c r="DX761">
        <v>10</v>
      </c>
      <c r="DZ761" t="s">
        <v>3</v>
      </c>
      <c r="EA761" t="s">
        <v>3</v>
      </c>
      <c r="EB761" t="s">
        <v>3</v>
      </c>
      <c r="EC761" t="s">
        <v>3</v>
      </c>
      <c r="EE761">
        <v>1441815344</v>
      </c>
      <c r="EF761">
        <v>1</v>
      </c>
      <c r="EG761" t="s">
        <v>22</v>
      </c>
      <c r="EH761">
        <v>0</v>
      </c>
      <c r="EI761" t="s">
        <v>3</v>
      </c>
      <c r="EJ761">
        <v>4</v>
      </c>
      <c r="EK761">
        <v>0</v>
      </c>
      <c r="EL761" t="s">
        <v>23</v>
      </c>
      <c r="EM761" t="s">
        <v>24</v>
      </c>
      <c r="EO761" t="s">
        <v>3</v>
      </c>
      <c r="EQ761">
        <v>1024</v>
      </c>
      <c r="ER761">
        <v>268.63</v>
      </c>
      <c r="ES761">
        <v>0</v>
      </c>
      <c r="ET761">
        <v>0</v>
      </c>
      <c r="EU761">
        <v>0</v>
      </c>
      <c r="EV761">
        <v>268.63</v>
      </c>
      <c r="EW761">
        <v>0.53</v>
      </c>
      <c r="EX761">
        <v>0</v>
      </c>
      <c r="EY761">
        <v>0</v>
      </c>
      <c r="FQ761">
        <v>0</v>
      </c>
      <c r="FR761">
        <f t="shared" si="718"/>
        <v>0</v>
      </c>
      <c r="FS761">
        <v>0</v>
      </c>
      <c r="FX761">
        <v>70</v>
      </c>
      <c r="FY761">
        <v>10</v>
      </c>
      <c r="GA761" t="s">
        <v>3</v>
      </c>
      <c r="GD761">
        <v>0</v>
      </c>
      <c r="GF761">
        <v>62561816</v>
      </c>
      <c r="GG761">
        <v>2</v>
      </c>
      <c r="GH761">
        <v>1</v>
      </c>
      <c r="GI761">
        <v>-2</v>
      </c>
      <c r="GJ761">
        <v>0</v>
      </c>
      <c r="GK761">
        <f>ROUND(R761*(R12)/100,2)</f>
        <v>0</v>
      </c>
      <c r="GL761">
        <f t="shared" si="719"/>
        <v>0</v>
      </c>
      <c r="GM761">
        <f t="shared" si="720"/>
        <v>11701.54</v>
      </c>
      <c r="GN761">
        <f t="shared" si="721"/>
        <v>0</v>
      </c>
      <c r="GO761">
        <f t="shared" si="722"/>
        <v>0</v>
      </c>
      <c r="GP761">
        <f t="shared" si="723"/>
        <v>11701.54</v>
      </c>
      <c r="GR761">
        <v>0</v>
      </c>
      <c r="GS761">
        <v>3</v>
      </c>
      <c r="GT761">
        <v>0</v>
      </c>
      <c r="GU761" t="s">
        <v>3</v>
      </c>
      <c r="GV761">
        <f t="shared" si="724"/>
        <v>0</v>
      </c>
      <c r="GW761">
        <v>1</v>
      </c>
      <c r="GX761">
        <f t="shared" si="725"/>
        <v>0</v>
      </c>
      <c r="HA761">
        <v>0</v>
      </c>
      <c r="HB761">
        <v>0</v>
      </c>
      <c r="HC761">
        <f t="shared" si="726"/>
        <v>0</v>
      </c>
      <c r="HE761" t="s">
        <v>3</v>
      </c>
      <c r="HF761" t="s">
        <v>3</v>
      </c>
      <c r="HM761" t="s">
        <v>3</v>
      </c>
      <c r="HN761" t="s">
        <v>3</v>
      </c>
      <c r="HO761" t="s">
        <v>3</v>
      </c>
      <c r="HP761" t="s">
        <v>3</v>
      </c>
      <c r="HQ761" t="s">
        <v>3</v>
      </c>
      <c r="IK761">
        <v>0</v>
      </c>
    </row>
    <row r="762" spans="1:245" x14ac:dyDescent="0.2">
      <c r="A762">
        <v>17</v>
      </c>
      <c r="B762">
        <v>1</v>
      </c>
      <c r="D762">
        <f>ROW(EtalonRes!A667)</f>
        <v>667</v>
      </c>
      <c r="E762" t="s">
        <v>649</v>
      </c>
      <c r="F762" t="s">
        <v>601</v>
      </c>
      <c r="G762" t="s">
        <v>650</v>
      </c>
      <c r="H762" t="s">
        <v>20</v>
      </c>
      <c r="I762">
        <v>2</v>
      </c>
      <c r="J762">
        <v>0</v>
      </c>
      <c r="K762">
        <v>2</v>
      </c>
      <c r="O762">
        <f t="shared" si="694"/>
        <v>30050.58</v>
      </c>
      <c r="P762">
        <f t="shared" si="695"/>
        <v>411.06</v>
      </c>
      <c r="Q762">
        <f t="shared" si="696"/>
        <v>0</v>
      </c>
      <c r="R762">
        <f t="shared" si="697"/>
        <v>0</v>
      </c>
      <c r="S762">
        <f t="shared" si="698"/>
        <v>29639.52</v>
      </c>
      <c r="T762">
        <f t="shared" si="699"/>
        <v>0</v>
      </c>
      <c r="U762">
        <f t="shared" si="700"/>
        <v>48</v>
      </c>
      <c r="V762">
        <f t="shared" si="701"/>
        <v>0</v>
      </c>
      <c r="W762">
        <f t="shared" si="702"/>
        <v>0</v>
      </c>
      <c r="X762">
        <f t="shared" si="703"/>
        <v>20747.66</v>
      </c>
      <c r="Y762">
        <f t="shared" si="704"/>
        <v>2963.95</v>
      </c>
      <c r="AA762">
        <v>1472506909</v>
      </c>
      <c r="AB762">
        <f t="shared" si="705"/>
        <v>15025.29</v>
      </c>
      <c r="AC762">
        <f>ROUND((ES762),6)</f>
        <v>205.53</v>
      </c>
      <c r="AD762">
        <f>ROUND((((ET762)-(EU762))+AE762),6)</f>
        <v>0</v>
      </c>
      <c r="AE762">
        <f>ROUND((EU762),6)</f>
        <v>0</v>
      </c>
      <c r="AF762">
        <f>ROUND((EV762),6)</f>
        <v>14819.76</v>
      </c>
      <c r="AG762">
        <f t="shared" si="706"/>
        <v>0</v>
      </c>
      <c r="AH762">
        <f>(EW762)</f>
        <v>24</v>
      </c>
      <c r="AI762">
        <f>(EX762)</f>
        <v>0</v>
      </c>
      <c r="AJ762">
        <f t="shared" si="707"/>
        <v>0</v>
      </c>
      <c r="AK762">
        <v>15025.29</v>
      </c>
      <c r="AL762">
        <v>205.53</v>
      </c>
      <c r="AM762">
        <v>0</v>
      </c>
      <c r="AN762">
        <v>0</v>
      </c>
      <c r="AO762">
        <v>14819.76</v>
      </c>
      <c r="AP762">
        <v>0</v>
      </c>
      <c r="AQ762">
        <v>24</v>
      </c>
      <c r="AR762">
        <v>0</v>
      </c>
      <c r="AS762">
        <v>0</v>
      </c>
      <c r="AT762">
        <v>70</v>
      </c>
      <c r="AU762">
        <v>10</v>
      </c>
      <c r="AV762">
        <v>1</v>
      </c>
      <c r="AW762">
        <v>1</v>
      </c>
      <c r="AZ762">
        <v>1</v>
      </c>
      <c r="BA762">
        <v>1</v>
      </c>
      <c r="BB762">
        <v>1</v>
      </c>
      <c r="BC762">
        <v>1</v>
      </c>
      <c r="BD762" t="s">
        <v>3</v>
      </c>
      <c r="BE762" t="s">
        <v>3</v>
      </c>
      <c r="BF762" t="s">
        <v>3</v>
      </c>
      <c r="BG762" t="s">
        <v>3</v>
      </c>
      <c r="BH762">
        <v>0</v>
      </c>
      <c r="BI762">
        <v>4</v>
      </c>
      <c r="BJ762" t="s">
        <v>603</v>
      </c>
      <c r="BM762">
        <v>0</v>
      </c>
      <c r="BN762">
        <v>0</v>
      </c>
      <c r="BO762" t="s">
        <v>3</v>
      </c>
      <c r="BP762">
        <v>0</v>
      </c>
      <c r="BQ762">
        <v>1</v>
      </c>
      <c r="BR762">
        <v>0</v>
      </c>
      <c r="BS762">
        <v>1</v>
      </c>
      <c r="BT762">
        <v>1</v>
      </c>
      <c r="BU762">
        <v>1</v>
      </c>
      <c r="BV762">
        <v>1</v>
      </c>
      <c r="BW762">
        <v>1</v>
      </c>
      <c r="BX762">
        <v>1</v>
      </c>
      <c r="BY762" t="s">
        <v>3</v>
      </c>
      <c r="BZ762">
        <v>70</v>
      </c>
      <c r="CA762">
        <v>10</v>
      </c>
      <c r="CB762" t="s">
        <v>3</v>
      </c>
      <c r="CE762">
        <v>0</v>
      </c>
      <c r="CF762">
        <v>0</v>
      </c>
      <c r="CG762">
        <v>0</v>
      </c>
      <c r="CM762">
        <v>0</v>
      </c>
      <c r="CN762" t="s">
        <v>3</v>
      </c>
      <c r="CO762">
        <v>0</v>
      </c>
      <c r="CP762">
        <f t="shared" si="708"/>
        <v>30050.58</v>
      </c>
      <c r="CQ762">
        <f t="shared" si="709"/>
        <v>205.53</v>
      </c>
      <c r="CR762">
        <f>((((ET762)*BB762-(EU762)*BS762)+AE762*BS762)*AV762)</f>
        <v>0</v>
      </c>
      <c r="CS762">
        <f t="shared" si="710"/>
        <v>0</v>
      </c>
      <c r="CT762">
        <f t="shared" si="711"/>
        <v>14819.76</v>
      </c>
      <c r="CU762">
        <f t="shared" si="712"/>
        <v>0</v>
      </c>
      <c r="CV762">
        <f t="shared" si="713"/>
        <v>24</v>
      </c>
      <c r="CW762">
        <f t="shared" si="714"/>
        <v>0</v>
      </c>
      <c r="CX762">
        <f t="shared" si="715"/>
        <v>0</v>
      </c>
      <c r="CY762">
        <f t="shared" si="716"/>
        <v>20747.664000000001</v>
      </c>
      <c r="CZ762">
        <f t="shared" si="717"/>
        <v>2963.9520000000002</v>
      </c>
      <c r="DC762" t="s">
        <v>3</v>
      </c>
      <c r="DD762" t="s">
        <v>3</v>
      </c>
      <c r="DE762" t="s">
        <v>3</v>
      </c>
      <c r="DF762" t="s">
        <v>3</v>
      </c>
      <c r="DG762" t="s">
        <v>3</v>
      </c>
      <c r="DH762" t="s">
        <v>3</v>
      </c>
      <c r="DI762" t="s">
        <v>3</v>
      </c>
      <c r="DJ762" t="s">
        <v>3</v>
      </c>
      <c r="DK762" t="s">
        <v>3</v>
      </c>
      <c r="DL762" t="s">
        <v>3</v>
      </c>
      <c r="DM762" t="s">
        <v>3</v>
      </c>
      <c r="DN762">
        <v>0</v>
      </c>
      <c r="DO762">
        <v>0</v>
      </c>
      <c r="DP762">
        <v>1</v>
      </c>
      <c r="DQ762">
        <v>1</v>
      </c>
      <c r="DU762">
        <v>16987630</v>
      </c>
      <c r="DV762" t="s">
        <v>20</v>
      </c>
      <c r="DW762" t="s">
        <v>20</v>
      </c>
      <c r="DX762">
        <v>1</v>
      </c>
      <c r="DZ762" t="s">
        <v>3</v>
      </c>
      <c r="EA762" t="s">
        <v>3</v>
      </c>
      <c r="EB762" t="s">
        <v>3</v>
      </c>
      <c r="EC762" t="s">
        <v>3</v>
      </c>
      <c r="EE762">
        <v>1441815344</v>
      </c>
      <c r="EF762">
        <v>1</v>
      </c>
      <c r="EG762" t="s">
        <v>22</v>
      </c>
      <c r="EH762">
        <v>0</v>
      </c>
      <c r="EI762" t="s">
        <v>3</v>
      </c>
      <c r="EJ762">
        <v>4</v>
      </c>
      <c r="EK762">
        <v>0</v>
      </c>
      <c r="EL762" t="s">
        <v>23</v>
      </c>
      <c r="EM762" t="s">
        <v>24</v>
      </c>
      <c r="EO762" t="s">
        <v>3</v>
      </c>
      <c r="EQ762">
        <v>0</v>
      </c>
      <c r="ER762">
        <v>15025.29</v>
      </c>
      <c r="ES762">
        <v>205.53</v>
      </c>
      <c r="ET762">
        <v>0</v>
      </c>
      <c r="EU762">
        <v>0</v>
      </c>
      <c r="EV762">
        <v>14819.76</v>
      </c>
      <c r="EW762">
        <v>24</v>
      </c>
      <c r="EX762">
        <v>0</v>
      </c>
      <c r="EY762">
        <v>0</v>
      </c>
      <c r="FQ762">
        <v>0</v>
      </c>
      <c r="FR762">
        <f t="shared" si="718"/>
        <v>0</v>
      </c>
      <c r="FS762">
        <v>0</v>
      </c>
      <c r="FX762">
        <v>70</v>
      </c>
      <c r="FY762">
        <v>10</v>
      </c>
      <c r="GA762" t="s">
        <v>3</v>
      </c>
      <c r="GD762">
        <v>0</v>
      </c>
      <c r="GF762">
        <v>1896749594</v>
      </c>
      <c r="GG762">
        <v>2</v>
      </c>
      <c r="GH762">
        <v>1</v>
      </c>
      <c r="GI762">
        <v>-2</v>
      </c>
      <c r="GJ762">
        <v>0</v>
      </c>
      <c r="GK762">
        <f>ROUND(R762*(R12)/100,2)</f>
        <v>0</v>
      </c>
      <c r="GL762">
        <f t="shared" si="719"/>
        <v>0</v>
      </c>
      <c r="GM762">
        <f t="shared" si="720"/>
        <v>53762.19</v>
      </c>
      <c r="GN762">
        <f t="shared" si="721"/>
        <v>0</v>
      </c>
      <c r="GO762">
        <f t="shared" si="722"/>
        <v>0</v>
      </c>
      <c r="GP762">
        <f t="shared" si="723"/>
        <v>53762.19</v>
      </c>
      <c r="GR762">
        <v>0</v>
      </c>
      <c r="GS762">
        <v>3</v>
      </c>
      <c r="GT762">
        <v>0</v>
      </c>
      <c r="GU762" t="s">
        <v>3</v>
      </c>
      <c r="GV762">
        <f t="shared" si="724"/>
        <v>0</v>
      </c>
      <c r="GW762">
        <v>1</v>
      </c>
      <c r="GX762">
        <f t="shared" si="725"/>
        <v>0</v>
      </c>
      <c r="HA762">
        <v>0</v>
      </c>
      <c r="HB762">
        <v>0</v>
      </c>
      <c r="HC762">
        <f t="shared" si="726"/>
        <v>0</v>
      </c>
      <c r="HE762" t="s">
        <v>3</v>
      </c>
      <c r="HF762" t="s">
        <v>3</v>
      </c>
      <c r="HM762" t="s">
        <v>3</v>
      </c>
      <c r="HN762" t="s">
        <v>3</v>
      </c>
      <c r="HO762" t="s">
        <v>3</v>
      </c>
      <c r="HP762" t="s">
        <v>3</v>
      </c>
      <c r="HQ762" t="s">
        <v>3</v>
      </c>
      <c r="IK762">
        <v>0</v>
      </c>
    </row>
    <row r="763" spans="1:245" x14ac:dyDescent="0.2">
      <c r="A763">
        <v>17</v>
      </c>
      <c r="B763">
        <v>1</v>
      </c>
      <c r="D763">
        <f>ROW(EtalonRes!A669)</f>
        <v>669</v>
      </c>
      <c r="E763" t="s">
        <v>3</v>
      </c>
      <c r="F763" t="s">
        <v>604</v>
      </c>
      <c r="G763" t="s">
        <v>605</v>
      </c>
      <c r="H763" t="s">
        <v>20</v>
      </c>
      <c r="I763">
        <v>2</v>
      </c>
      <c r="J763">
        <v>0</v>
      </c>
      <c r="K763">
        <v>2</v>
      </c>
      <c r="O763">
        <f t="shared" si="694"/>
        <v>2968.38</v>
      </c>
      <c r="P763">
        <f t="shared" si="695"/>
        <v>4.4400000000000004</v>
      </c>
      <c r="Q763">
        <f t="shared" si="696"/>
        <v>0</v>
      </c>
      <c r="R763">
        <f t="shared" si="697"/>
        <v>0</v>
      </c>
      <c r="S763">
        <f t="shared" si="698"/>
        <v>2963.94</v>
      </c>
      <c r="T763">
        <f t="shared" si="699"/>
        <v>0</v>
      </c>
      <c r="U763">
        <f t="shared" si="700"/>
        <v>4.8000000000000007</v>
      </c>
      <c r="V763">
        <f t="shared" si="701"/>
        <v>0</v>
      </c>
      <c r="W763">
        <f t="shared" si="702"/>
        <v>0</v>
      </c>
      <c r="X763">
        <f t="shared" si="703"/>
        <v>2074.7600000000002</v>
      </c>
      <c r="Y763">
        <f t="shared" si="704"/>
        <v>296.39</v>
      </c>
      <c r="AA763">
        <v>-1</v>
      </c>
      <c r="AB763">
        <f t="shared" si="705"/>
        <v>1484.19</v>
      </c>
      <c r="AC763">
        <f>ROUND(((ES763*3)),6)</f>
        <v>2.2200000000000002</v>
      </c>
      <c r="AD763">
        <f>ROUND(((((ET763*3))-((EU763*3)))+AE763),6)</f>
        <v>0</v>
      </c>
      <c r="AE763">
        <f>ROUND(((EU763*3)),6)</f>
        <v>0</v>
      </c>
      <c r="AF763">
        <f>ROUND(((EV763*3)),6)</f>
        <v>1481.97</v>
      </c>
      <c r="AG763">
        <f t="shared" si="706"/>
        <v>0</v>
      </c>
      <c r="AH763">
        <f>((EW763*3))</f>
        <v>2.4000000000000004</v>
      </c>
      <c r="AI763">
        <f>((EX763*3))</f>
        <v>0</v>
      </c>
      <c r="AJ763">
        <f t="shared" si="707"/>
        <v>0</v>
      </c>
      <c r="AK763">
        <v>494.73</v>
      </c>
      <c r="AL763">
        <v>0.74</v>
      </c>
      <c r="AM763">
        <v>0</v>
      </c>
      <c r="AN763">
        <v>0</v>
      </c>
      <c r="AO763">
        <v>493.99</v>
      </c>
      <c r="AP763">
        <v>0</v>
      </c>
      <c r="AQ763">
        <v>0.8</v>
      </c>
      <c r="AR763">
        <v>0</v>
      </c>
      <c r="AS763">
        <v>0</v>
      </c>
      <c r="AT763">
        <v>70</v>
      </c>
      <c r="AU763">
        <v>10</v>
      </c>
      <c r="AV763">
        <v>1</v>
      </c>
      <c r="AW763">
        <v>1</v>
      </c>
      <c r="AZ763">
        <v>1</v>
      </c>
      <c r="BA763">
        <v>1</v>
      </c>
      <c r="BB763">
        <v>1</v>
      </c>
      <c r="BC763">
        <v>1</v>
      </c>
      <c r="BD763" t="s">
        <v>3</v>
      </c>
      <c r="BE763" t="s">
        <v>3</v>
      </c>
      <c r="BF763" t="s">
        <v>3</v>
      </c>
      <c r="BG763" t="s">
        <v>3</v>
      </c>
      <c r="BH763">
        <v>0</v>
      </c>
      <c r="BI763">
        <v>4</v>
      </c>
      <c r="BJ763" t="s">
        <v>606</v>
      </c>
      <c r="BM763">
        <v>0</v>
      </c>
      <c r="BN763">
        <v>0</v>
      </c>
      <c r="BO763" t="s">
        <v>3</v>
      </c>
      <c r="BP763">
        <v>0</v>
      </c>
      <c r="BQ763">
        <v>1</v>
      </c>
      <c r="BR763">
        <v>0</v>
      </c>
      <c r="BS763">
        <v>1</v>
      </c>
      <c r="BT763">
        <v>1</v>
      </c>
      <c r="BU763">
        <v>1</v>
      </c>
      <c r="BV763">
        <v>1</v>
      </c>
      <c r="BW763">
        <v>1</v>
      </c>
      <c r="BX763">
        <v>1</v>
      </c>
      <c r="BY763" t="s">
        <v>3</v>
      </c>
      <c r="BZ763">
        <v>70</v>
      </c>
      <c r="CA763">
        <v>10</v>
      </c>
      <c r="CB763" t="s">
        <v>3</v>
      </c>
      <c r="CE763">
        <v>0</v>
      </c>
      <c r="CF763">
        <v>0</v>
      </c>
      <c r="CG763">
        <v>0</v>
      </c>
      <c r="CM763">
        <v>0</v>
      </c>
      <c r="CN763" t="s">
        <v>3</v>
      </c>
      <c r="CO763">
        <v>0</v>
      </c>
      <c r="CP763">
        <f t="shared" si="708"/>
        <v>2968.38</v>
      </c>
      <c r="CQ763">
        <f t="shared" si="709"/>
        <v>2.2200000000000002</v>
      </c>
      <c r="CR763">
        <f>(((((ET763*3))*BB763-((EU763*3))*BS763)+AE763*BS763)*AV763)</f>
        <v>0</v>
      </c>
      <c r="CS763">
        <f t="shared" si="710"/>
        <v>0</v>
      </c>
      <c r="CT763">
        <f t="shared" si="711"/>
        <v>1481.97</v>
      </c>
      <c r="CU763">
        <f t="shared" si="712"/>
        <v>0</v>
      </c>
      <c r="CV763">
        <f t="shared" si="713"/>
        <v>2.4000000000000004</v>
      </c>
      <c r="CW763">
        <f t="shared" si="714"/>
        <v>0</v>
      </c>
      <c r="CX763">
        <f t="shared" si="715"/>
        <v>0</v>
      </c>
      <c r="CY763">
        <f t="shared" si="716"/>
        <v>2074.7580000000003</v>
      </c>
      <c r="CZ763">
        <f t="shared" si="717"/>
        <v>296.39400000000001</v>
      </c>
      <c r="DC763" t="s">
        <v>3</v>
      </c>
      <c r="DD763" t="s">
        <v>577</v>
      </c>
      <c r="DE763" t="s">
        <v>577</v>
      </c>
      <c r="DF763" t="s">
        <v>577</v>
      </c>
      <c r="DG763" t="s">
        <v>577</v>
      </c>
      <c r="DH763" t="s">
        <v>3</v>
      </c>
      <c r="DI763" t="s">
        <v>577</v>
      </c>
      <c r="DJ763" t="s">
        <v>577</v>
      </c>
      <c r="DK763" t="s">
        <v>3</v>
      </c>
      <c r="DL763" t="s">
        <v>3</v>
      </c>
      <c r="DM763" t="s">
        <v>3</v>
      </c>
      <c r="DN763">
        <v>0</v>
      </c>
      <c r="DO763">
        <v>0</v>
      </c>
      <c r="DP763">
        <v>1</v>
      </c>
      <c r="DQ763">
        <v>1</v>
      </c>
      <c r="DU763">
        <v>16987630</v>
      </c>
      <c r="DV763" t="s">
        <v>20</v>
      </c>
      <c r="DW763" t="s">
        <v>20</v>
      </c>
      <c r="DX763">
        <v>1</v>
      </c>
      <c r="DZ763" t="s">
        <v>3</v>
      </c>
      <c r="EA763" t="s">
        <v>3</v>
      </c>
      <c r="EB763" t="s">
        <v>3</v>
      </c>
      <c r="EC763" t="s">
        <v>3</v>
      </c>
      <c r="EE763">
        <v>1441815344</v>
      </c>
      <c r="EF763">
        <v>1</v>
      </c>
      <c r="EG763" t="s">
        <v>22</v>
      </c>
      <c r="EH763">
        <v>0</v>
      </c>
      <c r="EI763" t="s">
        <v>3</v>
      </c>
      <c r="EJ763">
        <v>4</v>
      </c>
      <c r="EK763">
        <v>0</v>
      </c>
      <c r="EL763" t="s">
        <v>23</v>
      </c>
      <c r="EM763" t="s">
        <v>24</v>
      </c>
      <c r="EO763" t="s">
        <v>3</v>
      </c>
      <c r="EQ763">
        <v>1024</v>
      </c>
      <c r="ER763">
        <v>494.73</v>
      </c>
      <c r="ES763">
        <v>0.74</v>
      </c>
      <c r="ET763">
        <v>0</v>
      </c>
      <c r="EU763">
        <v>0</v>
      </c>
      <c r="EV763">
        <v>493.99</v>
      </c>
      <c r="EW763">
        <v>0.8</v>
      </c>
      <c r="EX763">
        <v>0</v>
      </c>
      <c r="EY763">
        <v>0</v>
      </c>
      <c r="FQ763">
        <v>0</v>
      </c>
      <c r="FR763">
        <f t="shared" si="718"/>
        <v>0</v>
      </c>
      <c r="FS763">
        <v>0</v>
      </c>
      <c r="FX763">
        <v>70</v>
      </c>
      <c r="FY763">
        <v>10</v>
      </c>
      <c r="GA763" t="s">
        <v>3</v>
      </c>
      <c r="GD763">
        <v>0</v>
      </c>
      <c r="GF763">
        <v>-1912802092</v>
      </c>
      <c r="GG763">
        <v>2</v>
      </c>
      <c r="GH763">
        <v>1</v>
      </c>
      <c r="GI763">
        <v>-2</v>
      </c>
      <c r="GJ763">
        <v>0</v>
      </c>
      <c r="GK763">
        <f>ROUND(R763*(R12)/100,2)</f>
        <v>0</v>
      </c>
      <c r="GL763">
        <f t="shared" si="719"/>
        <v>0</v>
      </c>
      <c r="GM763">
        <f t="shared" si="720"/>
        <v>5339.53</v>
      </c>
      <c r="GN763">
        <f t="shared" si="721"/>
        <v>0</v>
      </c>
      <c r="GO763">
        <f t="shared" si="722"/>
        <v>0</v>
      </c>
      <c r="GP763">
        <f t="shared" si="723"/>
        <v>5339.53</v>
      </c>
      <c r="GR763">
        <v>0</v>
      </c>
      <c r="GS763">
        <v>3</v>
      </c>
      <c r="GT763">
        <v>0</v>
      </c>
      <c r="GU763" t="s">
        <v>3</v>
      </c>
      <c r="GV763">
        <f t="shared" si="724"/>
        <v>0</v>
      </c>
      <c r="GW763">
        <v>1</v>
      </c>
      <c r="GX763">
        <f t="shared" si="725"/>
        <v>0</v>
      </c>
      <c r="HA763">
        <v>0</v>
      </c>
      <c r="HB763">
        <v>0</v>
      </c>
      <c r="HC763">
        <f t="shared" si="726"/>
        <v>0</v>
      </c>
      <c r="HE763" t="s">
        <v>3</v>
      </c>
      <c r="HF763" t="s">
        <v>3</v>
      </c>
      <c r="HM763" t="s">
        <v>3</v>
      </c>
      <c r="HN763" t="s">
        <v>3</v>
      </c>
      <c r="HO763" t="s">
        <v>3</v>
      </c>
      <c r="HP763" t="s">
        <v>3</v>
      </c>
      <c r="HQ763" t="s">
        <v>3</v>
      </c>
      <c r="IK763">
        <v>0</v>
      </c>
    </row>
    <row r="764" spans="1:245" x14ac:dyDescent="0.2">
      <c r="A764">
        <v>17</v>
      </c>
      <c r="B764">
        <v>1</v>
      </c>
      <c r="D764">
        <f>ROW(EtalonRes!A670)</f>
        <v>670</v>
      </c>
      <c r="E764" t="s">
        <v>3</v>
      </c>
      <c r="F764" t="s">
        <v>615</v>
      </c>
      <c r="G764" t="s">
        <v>616</v>
      </c>
      <c r="H764" t="s">
        <v>617</v>
      </c>
      <c r="I764">
        <f>ROUND(ROUND((5+5+5+5)/10,9),9)</f>
        <v>2</v>
      </c>
      <c r="J764">
        <v>0</v>
      </c>
      <c r="K764">
        <f>ROUND(ROUND((5+5+5+5)/10,9),9)</f>
        <v>2</v>
      </c>
      <c r="O764">
        <f t="shared" si="694"/>
        <v>3854.26</v>
      </c>
      <c r="P764">
        <f t="shared" si="695"/>
        <v>0</v>
      </c>
      <c r="Q764">
        <f t="shared" si="696"/>
        <v>0</v>
      </c>
      <c r="R764">
        <f t="shared" si="697"/>
        <v>0</v>
      </c>
      <c r="S764">
        <f t="shared" si="698"/>
        <v>3854.26</v>
      </c>
      <c r="T764">
        <f t="shared" si="699"/>
        <v>0</v>
      </c>
      <c r="U764">
        <f t="shared" si="700"/>
        <v>7.2</v>
      </c>
      <c r="V764">
        <f t="shared" si="701"/>
        <v>0</v>
      </c>
      <c r="W764">
        <f t="shared" si="702"/>
        <v>0</v>
      </c>
      <c r="X764">
        <f t="shared" si="703"/>
        <v>2697.98</v>
      </c>
      <c r="Y764">
        <f t="shared" si="704"/>
        <v>385.43</v>
      </c>
      <c r="AA764">
        <v>-1</v>
      </c>
      <c r="AB764">
        <f t="shared" si="705"/>
        <v>1927.13</v>
      </c>
      <c r="AC764">
        <f>ROUND((ES764),6)</f>
        <v>0</v>
      </c>
      <c r="AD764">
        <f>ROUND((((ET764)-(EU764))+AE764),6)</f>
        <v>0</v>
      </c>
      <c r="AE764">
        <f>ROUND((EU764),6)</f>
        <v>0</v>
      </c>
      <c r="AF764">
        <f>ROUND((EV764),6)</f>
        <v>1927.13</v>
      </c>
      <c r="AG764">
        <f t="shared" si="706"/>
        <v>0</v>
      </c>
      <c r="AH764">
        <f>(EW764)</f>
        <v>3.6</v>
      </c>
      <c r="AI764">
        <f>(EX764)</f>
        <v>0</v>
      </c>
      <c r="AJ764">
        <f t="shared" si="707"/>
        <v>0</v>
      </c>
      <c r="AK764">
        <v>1927.13</v>
      </c>
      <c r="AL764">
        <v>0</v>
      </c>
      <c r="AM764">
        <v>0</v>
      </c>
      <c r="AN764">
        <v>0</v>
      </c>
      <c r="AO764">
        <v>1927.13</v>
      </c>
      <c r="AP764">
        <v>0</v>
      </c>
      <c r="AQ764">
        <v>3.6</v>
      </c>
      <c r="AR764">
        <v>0</v>
      </c>
      <c r="AS764">
        <v>0</v>
      </c>
      <c r="AT764">
        <v>70</v>
      </c>
      <c r="AU764">
        <v>10</v>
      </c>
      <c r="AV764">
        <v>1</v>
      </c>
      <c r="AW764">
        <v>1</v>
      </c>
      <c r="AZ764">
        <v>1</v>
      </c>
      <c r="BA764">
        <v>1</v>
      </c>
      <c r="BB764">
        <v>1</v>
      </c>
      <c r="BC764">
        <v>1</v>
      </c>
      <c r="BD764" t="s">
        <v>3</v>
      </c>
      <c r="BE764" t="s">
        <v>3</v>
      </c>
      <c r="BF764" t="s">
        <v>3</v>
      </c>
      <c r="BG764" t="s">
        <v>3</v>
      </c>
      <c r="BH764">
        <v>0</v>
      </c>
      <c r="BI764">
        <v>4</v>
      </c>
      <c r="BJ764" t="s">
        <v>618</v>
      </c>
      <c r="BM764">
        <v>0</v>
      </c>
      <c r="BN764">
        <v>0</v>
      </c>
      <c r="BO764" t="s">
        <v>3</v>
      </c>
      <c r="BP764">
        <v>0</v>
      </c>
      <c r="BQ764">
        <v>1</v>
      </c>
      <c r="BR764">
        <v>0</v>
      </c>
      <c r="BS764">
        <v>1</v>
      </c>
      <c r="BT764">
        <v>1</v>
      </c>
      <c r="BU764">
        <v>1</v>
      </c>
      <c r="BV764">
        <v>1</v>
      </c>
      <c r="BW764">
        <v>1</v>
      </c>
      <c r="BX764">
        <v>1</v>
      </c>
      <c r="BY764" t="s">
        <v>3</v>
      </c>
      <c r="BZ764">
        <v>70</v>
      </c>
      <c r="CA764">
        <v>10</v>
      </c>
      <c r="CB764" t="s">
        <v>3</v>
      </c>
      <c r="CE764">
        <v>0</v>
      </c>
      <c r="CF764">
        <v>0</v>
      </c>
      <c r="CG764">
        <v>0</v>
      </c>
      <c r="CM764">
        <v>0</v>
      </c>
      <c r="CN764" t="s">
        <v>3</v>
      </c>
      <c r="CO764">
        <v>0</v>
      </c>
      <c r="CP764">
        <f t="shared" si="708"/>
        <v>3854.26</v>
      </c>
      <c r="CQ764">
        <f t="shared" si="709"/>
        <v>0</v>
      </c>
      <c r="CR764">
        <f>((((ET764)*BB764-(EU764)*BS764)+AE764*BS764)*AV764)</f>
        <v>0</v>
      </c>
      <c r="CS764">
        <f t="shared" si="710"/>
        <v>0</v>
      </c>
      <c r="CT764">
        <f t="shared" si="711"/>
        <v>1927.13</v>
      </c>
      <c r="CU764">
        <f t="shared" si="712"/>
        <v>0</v>
      </c>
      <c r="CV764">
        <f t="shared" si="713"/>
        <v>3.6</v>
      </c>
      <c r="CW764">
        <f t="shared" si="714"/>
        <v>0</v>
      </c>
      <c r="CX764">
        <f t="shared" si="715"/>
        <v>0</v>
      </c>
      <c r="CY764">
        <f t="shared" si="716"/>
        <v>2697.982</v>
      </c>
      <c r="CZ764">
        <f t="shared" si="717"/>
        <v>385.42600000000004</v>
      </c>
      <c r="DC764" t="s">
        <v>3</v>
      </c>
      <c r="DD764" t="s">
        <v>3</v>
      </c>
      <c r="DE764" t="s">
        <v>3</v>
      </c>
      <c r="DF764" t="s">
        <v>3</v>
      </c>
      <c r="DG764" t="s">
        <v>3</v>
      </c>
      <c r="DH764" t="s">
        <v>3</v>
      </c>
      <c r="DI764" t="s">
        <v>3</v>
      </c>
      <c r="DJ764" t="s">
        <v>3</v>
      </c>
      <c r="DK764" t="s">
        <v>3</v>
      </c>
      <c r="DL764" t="s">
        <v>3</v>
      </c>
      <c r="DM764" t="s">
        <v>3</v>
      </c>
      <c r="DN764">
        <v>0</v>
      </c>
      <c r="DO764">
        <v>0</v>
      </c>
      <c r="DP764">
        <v>1</v>
      </c>
      <c r="DQ764">
        <v>1</v>
      </c>
      <c r="DU764">
        <v>1003</v>
      </c>
      <c r="DV764" t="s">
        <v>617</v>
      </c>
      <c r="DW764" t="s">
        <v>617</v>
      </c>
      <c r="DX764">
        <v>10</v>
      </c>
      <c r="DZ764" t="s">
        <v>3</v>
      </c>
      <c r="EA764" t="s">
        <v>3</v>
      </c>
      <c r="EB764" t="s">
        <v>3</v>
      </c>
      <c r="EC764" t="s">
        <v>3</v>
      </c>
      <c r="EE764">
        <v>1441815344</v>
      </c>
      <c r="EF764">
        <v>1</v>
      </c>
      <c r="EG764" t="s">
        <v>22</v>
      </c>
      <c r="EH764">
        <v>0</v>
      </c>
      <c r="EI764" t="s">
        <v>3</v>
      </c>
      <c r="EJ764">
        <v>4</v>
      </c>
      <c r="EK764">
        <v>0</v>
      </c>
      <c r="EL764" t="s">
        <v>23</v>
      </c>
      <c r="EM764" t="s">
        <v>24</v>
      </c>
      <c r="EO764" t="s">
        <v>3</v>
      </c>
      <c r="EQ764">
        <v>1311744</v>
      </c>
      <c r="ER764">
        <v>1927.13</v>
      </c>
      <c r="ES764">
        <v>0</v>
      </c>
      <c r="ET764">
        <v>0</v>
      </c>
      <c r="EU764">
        <v>0</v>
      </c>
      <c r="EV764">
        <v>1927.13</v>
      </c>
      <c r="EW764">
        <v>3.6</v>
      </c>
      <c r="EX764">
        <v>0</v>
      </c>
      <c r="EY764">
        <v>0</v>
      </c>
      <c r="FQ764">
        <v>0</v>
      </c>
      <c r="FR764">
        <f t="shared" si="718"/>
        <v>0</v>
      </c>
      <c r="FS764">
        <v>0</v>
      </c>
      <c r="FX764">
        <v>70</v>
      </c>
      <c r="FY764">
        <v>10</v>
      </c>
      <c r="GA764" t="s">
        <v>3</v>
      </c>
      <c r="GD764">
        <v>0</v>
      </c>
      <c r="GF764">
        <v>1248554923</v>
      </c>
      <c r="GG764">
        <v>2</v>
      </c>
      <c r="GH764">
        <v>1</v>
      </c>
      <c r="GI764">
        <v>-2</v>
      </c>
      <c r="GJ764">
        <v>0</v>
      </c>
      <c r="GK764">
        <f>ROUND(R764*(R12)/100,2)</f>
        <v>0</v>
      </c>
      <c r="GL764">
        <f t="shared" si="719"/>
        <v>0</v>
      </c>
      <c r="GM764">
        <f t="shared" si="720"/>
        <v>6937.67</v>
      </c>
      <c r="GN764">
        <f t="shared" si="721"/>
        <v>0</v>
      </c>
      <c r="GO764">
        <f t="shared" si="722"/>
        <v>0</v>
      </c>
      <c r="GP764">
        <f t="shared" si="723"/>
        <v>6937.67</v>
      </c>
      <c r="GR764">
        <v>0</v>
      </c>
      <c r="GS764">
        <v>3</v>
      </c>
      <c r="GT764">
        <v>0</v>
      </c>
      <c r="GU764" t="s">
        <v>3</v>
      </c>
      <c r="GV764">
        <f t="shared" si="724"/>
        <v>0</v>
      </c>
      <c r="GW764">
        <v>1</v>
      </c>
      <c r="GX764">
        <f t="shared" si="725"/>
        <v>0</v>
      </c>
      <c r="HA764">
        <v>0</v>
      </c>
      <c r="HB764">
        <v>0</v>
      </c>
      <c r="HC764">
        <f t="shared" si="726"/>
        <v>0</v>
      </c>
      <c r="HE764" t="s">
        <v>3</v>
      </c>
      <c r="HF764" t="s">
        <v>3</v>
      </c>
      <c r="HM764" t="s">
        <v>3</v>
      </c>
      <c r="HN764" t="s">
        <v>3</v>
      </c>
      <c r="HO764" t="s">
        <v>3</v>
      </c>
      <c r="HP764" t="s">
        <v>3</v>
      </c>
      <c r="HQ764" t="s">
        <v>3</v>
      </c>
      <c r="IK764">
        <v>0</v>
      </c>
    </row>
    <row r="765" spans="1:245" x14ac:dyDescent="0.2">
      <c r="A765">
        <v>17</v>
      </c>
      <c r="B765">
        <v>1</v>
      </c>
      <c r="D765">
        <f>ROW(EtalonRes!A671)</f>
        <v>671</v>
      </c>
      <c r="E765" t="s">
        <v>3</v>
      </c>
      <c r="F765" t="s">
        <v>619</v>
      </c>
      <c r="G765" t="s">
        <v>620</v>
      </c>
      <c r="H765" t="s">
        <v>617</v>
      </c>
      <c r="I765">
        <f>ROUND(ROUND((5+5+5+5)/10,9),9)</f>
        <v>2</v>
      </c>
      <c r="J765">
        <v>0</v>
      </c>
      <c r="K765">
        <f>ROUND(ROUND((5+5+5+5)/10,9),9)</f>
        <v>2</v>
      </c>
      <c r="O765">
        <f t="shared" si="694"/>
        <v>513.91999999999996</v>
      </c>
      <c r="P765">
        <f t="shared" si="695"/>
        <v>0</v>
      </c>
      <c r="Q765">
        <f t="shared" si="696"/>
        <v>0</v>
      </c>
      <c r="R765">
        <f t="shared" si="697"/>
        <v>0</v>
      </c>
      <c r="S765">
        <f t="shared" si="698"/>
        <v>513.91999999999996</v>
      </c>
      <c r="T765">
        <f t="shared" si="699"/>
        <v>0</v>
      </c>
      <c r="U765">
        <f t="shared" si="700"/>
        <v>0.96</v>
      </c>
      <c r="V765">
        <f t="shared" si="701"/>
        <v>0</v>
      </c>
      <c r="W765">
        <f t="shared" si="702"/>
        <v>0</v>
      </c>
      <c r="X765">
        <f t="shared" si="703"/>
        <v>359.74</v>
      </c>
      <c r="Y765">
        <f t="shared" si="704"/>
        <v>51.39</v>
      </c>
      <c r="AA765">
        <v>-1</v>
      </c>
      <c r="AB765">
        <f t="shared" si="705"/>
        <v>256.95999999999998</v>
      </c>
      <c r="AC765">
        <f>ROUND(((ES765*4)),6)</f>
        <v>0</v>
      </c>
      <c r="AD765">
        <f>ROUND(((((ET765*4))-((EU765*4)))+AE765),6)</f>
        <v>0</v>
      </c>
      <c r="AE765">
        <f>ROUND(((EU765*4)),6)</f>
        <v>0</v>
      </c>
      <c r="AF765">
        <f>ROUND(((EV765*4)),6)</f>
        <v>256.95999999999998</v>
      </c>
      <c r="AG765">
        <f t="shared" si="706"/>
        <v>0</v>
      </c>
      <c r="AH765">
        <f>((EW765*4))</f>
        <v>0.48</v>
      </c>
      <c r="AI765">
        <f>((EX765*4))</f>
        <v>0</v>
      </c>
      <c r="AJ765">
        <f t="shared" si="707"/>
        <v>0</v>
      </c>
      <c r="AK765">
        <v>64.239999999999995</v>
      </c>
      <c r="AL765">
        <v>0</v>
      </c>
      <c r="AM765">
        <v>0</v>
      </c>
      <c r="AN765">
        <v>0</v>
      </c>
      <c r="AO765">
        <v>64.239999999999995</v>
      </c>
      <c r="AP765">
        <v>0</v>
      </c>
      <c r="AQ765">
        <v>0.12</v>
      </c>
      <c r="AR765">
        <v>0</v>
      </c>
      <c r="AS765">
        <v>0</v>
      </c>
      <c r="AT765">
        <v>70</v>
      </c>
      <c r="AU765">
        <v>10</v>
      </c>
      <c r="AV765">
        <v>1</v>
      </c>
      <c r="AW765">
        <v>1</v>
      </c>
      <c r="AZ765">
        <v>1</v>
      </c>
      <c r="BA765">
        <v>1</v>
      </c>
      <c r="BB765">
        <v>1</v>
      </c>
      <c r="BC765">
        <v>1</v>
      </c>
      <c r="BD765" t="s">
        <v>3</v>
      </c>
      <c r="BE765" t="s">
        <v>3</v>
      </c>
      <c r="BF765" t="s">
        <v>3</v>
      </c>
      <c r="BG765" t="s">
        <v>3</v>
      </c>
      <c r="BH765">
        <v>0</v>
      </c>
      <c r="BI765">
        <v>4</v>
      </c>
      <c r="BJ765" t="s">
        <v>621</v>
      </c>
      <c r="BM765">
        <v>0</v>
      </c>
      <c r="BN765">
        <v>0</v>
      </c>
      <c r="BO765" t="s">
        <v>3</v>
      </c>
      <c r="BP765">
        <v>0</v>
      </c>
      <c r="BQ765">
        <v>1</v>
      </c>
      <c r="BR765">
        <v>0</v>
      </c>
      <c r="BS765">
        <v>1</v>
      </c>
      <c r="BT765">
        <v>1</v>
      </c>
      <c r="BU765">
        <v>1</v>
      </c>
      <c r="BV765">
        <v>1</v>
      </c>
      <c r="BW765">
        <v>1</v>
      </c>
      <c r="BX765">
        <v>1</v>
      </c>
      <c r="BY765" t="s">
        <v>3</v>
      </c>
      <c r="BZ765">
        <v>70</v>
      </c>
      <c r="CA765">
        <v>10</v>
      </c>
      <c r="CB765" t="s">
        <v>3</v>
      </c>
      <c r="CE765">
        <v>0</v>
      </c>
      <c r="CF765">
        <v>0</v>
      </c>
      <c r="CG765">
        <v>0</v>
      </c>
      <c r="CM765">
        <v>0</v>
      </c>
      <c r="CN765" t="s">
        <v>3</v>
      </c>
      <c r="CO765">
        <v>0</v>
      </c>
      <c r="CP765">
        <f t="shared" si="708"/>
        <v>513.91999999999996</v>
      </c>
      <c r="CQ765">
        <f t="shared" si="709"/>
        <v>0</v>
      </c>
      <c r="CR765">
        <f>(((((ET765*4))*BB765-((EU765*4))*BS765)+AE765*BS765)*AV765)</f>
        <v>0</v>
      </c>
      <c r="CS765">
        <f t="shared" si="710"/>
        <v>0</v>
      </c>
      <c r="CT765">
        <f t="shared" si="711"/>
        <v>256.95999999999998</v>
      </c>
      <c r="CU765">
        <f t="shared" si="712"/>
        <v>0</v>
      </c>
      <c r="CV765">
        <f t="shared" si="713"/>
        <v>0.48</v>
      </c>
      <c r="CW765">
        <f t="shared" si="714"/>
        <v>0</v>
      </c>
      <c r="CX765">
        <f t="shared" si="715"/>
        <v>0</v>
      </c>
      <c r="CY765">
        <f t="shared" si="716"/>
        <v>359.74399999999991</v>
      </c>
      <c r="CZ765">
        <f t="shared" si="717"/>
        <v>51.391999999999996</v>
      </c>
      <c r="DC765" t="s">
        <v>3</v>
      </c>
      <c r="DD765" t="s">
        <v>106</v>
      </c>
      <c r="DE765" t="s">
        <v>106</v>
      </c>
      <c r="DF765" t="s">
        <v>106</v>
      </c>
      <c r="DG765" t="s">
        <v>106</v>
      </c>
      <c r="DH765" t="s">
        <v>3</v>
      </c>
      <c r="DI765" t="s">
        <v>106</v>
      </c>
      <c r="DJ765" t="s">
        <v>106</v>
      </c>
      <c r="DK765" t="s">
        <v>3</v>
      </c>
      <c r="DL765" t="s">
        <v>3</v>
      </c>
      <c r="DM765" t="s">
        <v>3</v>
      </c>
      <c r="DN765">
        <v>0</v>
      </c>
      <c r="DO765">
        <v>0</v>
      </c>
      <c r="DP765">
        <v>1</v>
      </c>
      <c r="DQ765">
        <v>1</v>
      </c>
      <c r="DU765">
        <v>1003</v>
      </c>
      <c r="DV765" t="s">
        <v>617</v>
      </c>
      <c r="DW765" t="s">
        <v>617</v>
      </c>
      <c r="DX765">
        <v>10</v>
      </c>
      <c r="DZ765" t="s">
        <v>3</v>
      </c>
      <c r="EA765" t="s">
        <v>3</v>
      </c>
      <c r="EB765" t="s">
        <v>3</v>
      </c>
      <c r="EC765" t="s">
        <v>3</v>
      </c>
      <c r="EE765">
        <v>1441815344</v>
      </c>
      <c r="EF765">
        <v>1</v>
      </c>
      <c r="EG765" t="s">
        <v>22</v>
      </c>
      <c r="EH765">
        <v>0</v>
      </c>
      <c r="EI765" t="s">
        <v>3</v>
      </c>
      <c r="EJ765">
        <v>4</v>
      </c>
      <c r="EK765">
        <v>0</v>
      </c>
      <c r="EL765" t="s">
        <v>23</v>
      </c>
      <c r="EM765" t="s">
        <v>24</v>
      </c>
      <c r="EO765" t="s">
        <v>3</v>
      </c>
      <c r="EQ765">
        <v>1024</v>
      </c>
      <c r="ER765">
        <v>64.239999999999995</v>
      </c>
      <c r="ES765">
        <v>0</v>
      </c>
      <c r="ET765">
        <v>0</v>
      </c>
      <c r="EU765">
        <v>0</v>
      </c>
      <c r="EV765">
        <v>64.239999999999995</v>
      </c>
      <c r="EW765">
        <v>0.12</v>
      </c>
      <c r="EX765">
        <v>0</v>
      </c>
      <c r="EY765">
        <v>0</v>
      </c>
      <c r="FQ765">
        <v>0</v>
      </c>
      <c r="FR765">
        <f t="shared" si="718"/>
        <v>0</v>
      </c>
      <c r="FS765">
        <v>0</v>
      </c>
      <c r="FX765">
        <v>70</v>
      </c>
      <c r="FY765">
        <v>10</v>
      </c>
      <c r="GA765" t="s">
        <v>3</v>
      </c>
      <c r="GD765">
        <v>0</v>
      </c>
      <c r="GF765">
        <v>481267422</v>
      </c>
      <c r="GG765">
        <v>2</v>
      </c>
      <c r="GH765">
        <v>1</v>
      </c>
      <c r="GI765">
        <v>-2</v>
      </c>
      <c r="GJ765">
        <v>0</v>
      </c>
      <c r="GK765">
        <f>ROUND(R765*(R12)/100,2)</f>
        <v>0</v>
      </c>
      <c r="GL765">
        <f t="shared" si="719"/>
        <v>0</v>
      </c>
      <c r="GM765">
        <f t="shared" si="720"/>
        <v>925.05</v>
      </c>
      <c r="GN765">
        <f t="shared" si="721"/>
        <v>0</v>
      </c>
      <c r="GO765">
        <f t="shared" si="722"/>
        <v>0</v>
      </c>
      <c r="GP765">
        <f t="shared" si="723"/>
        <v>925.05</v>
      </c>
      <c r="GR765">
        <v>0</v>
      </c>
      <c r="GS765">
        <v>3</v>
      </c>
      <c r="GT765">
        <v>0</v>
      </c>
      <c r="GU765" t="s">
        <v>3</v>
      </c>
      <c r="GV765">
        <f t="shared" si="724"/>
        <v>0</v>
      </c>
      <c r="GW765">
        <v>1</v>
      </c>
      <c r="GX765">
        <f t="shared" si="725"/>
        <v>0</v>
      </c>
      <c r="HA765">
        <v>0</v>
      </c>
      <c r="HB765">
        <v>0</v>
      </c>
      <c r="HC765">
        <f t="shared" si="726"/>
        <v>0</v>
      </c>
      <c r="HE765" t="s">
        <v>3</v>
      </c>
      <c r="HF765" t="s">
        <v>3</v>
      </c>
      <c r="HM765" t="s">
        <v>3</v>
      </c>
      <c r="HN765" t="s">
        <v>3</v>
      </c>
      <c r="HO765" t="s">
        <v>3</v>
      </c>
      <c r="HP765" t="s">
        <v>3</v>
      </c>
      <c r="HQ765" t="s">
        <v>3</v>
      </c>
      <c r="IK765">
        <v>0</v>
      </c>
    </row>
    <row r="766" spans="1:245" x14ac:dyDescent="0.2">
      <c r="A766">
        <v>17</v>
      </c>
      <c r="B766">
        <v>1</v>
      </c>
      <c r="D766">
        <f>ROW(EtalonRes!A673)</f>
        <v>673</v>
      </c>
      <c r="E766" t="s">
        <v>651</v>
      </c>
      <c r="F766" t="s">
        <v>623</v>
      </c>
      <c r="G766" t="s">
        <v>624</v>
      </c>
      <c r="H766" t="s">
        <v>104</v>
      </c>
      <c r="I766">
        <f>ROUND(ROUND((10+10)*0.1/100,9),9)</f>
        <v>0.02</v>
      </c>
      <c r="J766">
        <v>0</v>
      </c>
      <c r="K766">
        <f>ROUND(ROUND((10+10)*0.1/100,9),9)</f>
        <v>0.02</v>
      </c>
      <c r="O766">
        <f t="shared" si="694"/>
        <v>120.41</v>
      </c>
      <c r="P766">
        <f t="shared" si="695"/>
        <v>0.28999999999999998</v>
      </c>
      <c r="Q766">
        <f t="shared" si="696"/>
        <v>0</v>
      </c>
      <c r="R766">
        <f t="shared" si="697"/>
        <v>0</v>
      </c>
      <c r="S766">
        <f t="shared" si="698"/>
        <v>120.12</v>
      </c>
      <c r="T766">
        <f t="shared" si="699"/>
        <v>0</v>
      </c>
      <c r="U766">
        <f t="shared" si="700"/>
        <v>0.22440000000000002</v>
      </c>
      <c r="V766">
        <f t="shared" si="701"/>
        <v>0</v>
      </c>
      <c r="W766">
        <f t="shared" si="702"/>
        <v>0</v>
      </c>
      <c r="X766">
        <f t="shared" si="703"/>
        <v>84.08</v>
      </c>
      <c r="Y766">
        <f t="shared" si="704"/>
        <v>12.01</v>
      </c>
      <c r="AA766">
        <v>1472506909</v>
      </c>
      <c r="AB766">
        <f t="shared" si="705"/>
        <v>6020.87</v>
      </c>
      <c r="AC766">
        <f>ROUND((ES766),6)</f>
        <v>14.63</v>
      </c>
      <c r="AD766">
        <f>ROUND((((ET766)-(EU766))+AE766),6)</f>
        <v>0</v>
      </c>
      <c r="AE766">
        <f t="shared" ref="AE766:AF768" si="727">ROUND((EU766),6)</f>
        <v>0</v>
      </c>
      <c r="AF766">
        <f t="shared" si="727"/>
        <v>6006.24</v>
      </c>
      <c r="AG766">
        <f t="shared" si="706"/>
        <v>0</v>
      </c>
      <c r="AH766">
        <f t="shared" ref="AH766:AI768" si="728">(EW766)</f>
        <v>11.22</v>
      </c>
      <c r="AI766">
        <f t="shared" si="728"/>
        <v>0</v>
      </c>
      <c r="AJ766">
        <f t="shared" si="707"/>
        <v>0</v>
      </c>
      <c r="AK766">
        <v>6020.87</v>
      </c>
      <c r="AL766">
        <v>14.63</v>
      </c>
      <c r="AM766">
        <v>0</v>
      </c>
      <c r="AN766">
        <v>0</v>
      </c>
      <c r="AO766">
        <v>6006.24</v>
      </c>
      <c r="AP766">
        <v>0</v>
      </c>
      <c r="AQ766">
        <v>11.22</v>
      </c>
      <c r="AR766">
        <v>0</v>
      </c>
      <c r="AS766">
        <v>0</v>
      </c>
      <c r="AT766">
        <v>70</v>
      </c>
      <c r="AU766">
        <v>10</v>
      </c>
      <c r="AV766">
        <v>1</v>
      </c>
      <c r="AW766">
        <v>1</v>
      </c>
      <c r="AZ766">
        <v>1</v>
      </c>
      <c r="BA766">
        <v>1</v>
      </c>
      <c r="BB766">
        <v>1</v>
      </c>
      <c r="BC766">
        <v>1</v>
      </c>
      <c r="BD766" t="s">
        <v>3</v>
      </c>
      <c r="BE766" t="s">
        <v>3</v>
      </c>
      <c r="BF766" t="s">
        <v>3</v>
      </c>
      <c r="BG766" t="s">
        <v>3</v>
      </c>
      <c r="BH766">
        <v>0</v>
      </c>
      <c r="BI766">
        <v>4</v>
      </c>
      <c r="BJ766" t="s">
        <v>625</v>
      </c>
      <c r="BM766">
        <v>0</v>
      </c>
      <c r="BN766">
        <v>0</v>
      </c>
      <c r="BO766" t="s">
        <v>3</v>
      </c>
      <c r="BP766">
        <v>0</v>
      </c>
      <c r="BQ766">
        <v>1</v>
      </c>
      <c r="BR766">
        <v>0</v>
      </c>
      <c r="BS766">
        <v>1</v>
      </c>
      <c r="BT766">
        <v>1</v>
      </c>
      <c r="BU766">
        <v>1</v>
      </c>
      <c r="BV766">
        <v>1</v>
      </c>
      <c r="BW766">
        <v>1</v>
      </c>
      <c r="BX766">
        <v>1</v>
      </c>
      <c r="BY766" t="s">
        <v>3</v>
      </c>
      <c r="BZ766">
        <v>70</v>
      </c>
      <c r="CA766">
        <v>10</v>
      </c>
      <c r="CB766" t="s">
        <v>3</v>
      </c>
      <c r="CE766">
        <v>0</v>
      </c>
      <c r="CF766">
        <v>0</v>
      </c>
      <c r="CG766">
        <v>0</v>
      </c>
      <c r="CM766">
        <v>0</v>
      </c>
      <c r="CN766" t="s">
        <v>3</v>
      </c>
      <c r="CO766">
        <v>0</v>
      </c>
      <c r="CP766">
        <f t="shared" si="708"/>
        <v>120.41000000000001</v>
      </c>
      <c r="CQ766">
        <f t="shared" si="709"/>
        <v>14.63</v>
      </c>
      <c r="CR766">
        <f>((((ET766)*BB766-(EU766)*BS766)+AE766*BS766)*AV766)</f>
        <v>0</v>
      </c>
      <c r="CS766">
        <f t="shared" si="710"/>
        <v>0</v>
      </c>
      <c r="CT766">
        <f t="shared" si="711"/>
        <v>6006.24</v>
      </c>
      <c r="CU766">
        <f t="shared" si="712"/>
        <v>0</v>
      </c>
      <c r="CV766">
        <f t="shared" si="713"/>
        <v>11.22</v>
      </c>
      <c r="CW766">
        <f t="shared" si="714"/>
        <v>0</v>
      </c>
      <c r="CX766">
        <f t="shared" si="715"/>
        <v>0</v>
      </c>
      <c r="CY766">
        <f t="shared" si="716"/>
        <v>84.084000000000003</v>
      </c>
      <c r="CZ766">
        <f t="shared" si="717"/>
        <v>12.012</v>
      </c>
      <c r="DC766" t="s">
        <v>3</v>
      </c>
      <c r="DD766" t="s">
        <v>3</v>
      </c>
      <c r="DE766" t="s">
        <v>3</v>
      </c>
      <c r="DF766" t="s">
        <v>3</v>
      </c>
      <c r="DG766" t="s">
        <v>3</v>
      </c>
      <c r="DH766" t="s">
        <v>3</v>
      </c>
      <c r="DI766" t="s">
        <v>3</v>
      </c>
      <c r="DJ766" t="s">
        <v>3</v>
      </c>
      <c r="DK766" t="s">
        <v>3</v>
      </c>
      <c r="DL766" t="s">
        <v>3</v>
      </c>
      <c r="DM766" t="s">
        <v>3</v>
      </c>
      <c r="DN766">
        <v>0</v>
      </c>
      <c r="DO766">
        <v>0</v>
      </c>
      <c r="DP766">
        <v>1</v>
      </c>
      <c r="DQ766">
        <v>1</v>
      </c>
      <c r="DU766">
        <v>1003</v>
      </c>
      <c r="DV766" t="s">
        <v>104</v>
      </c>
      <c r="DW766" t="s">
        <v>104</v>
      </c>
      <c r="DX766">
        <v>100</v>
      </c>
      <c r="DZ766" t="s">
        <v>3</v>
      </c>
      <c r="EA766" t="s">
        <v>3</v>
      </c>
      <c r="EB766" t="s">
        <v>3</v>
      </c>
      <c r="EC766" t="s">
        <v>3</v>
      </c>
      <c r="EE766">
        <v>1441815344</v>
      </c>
      <c r="EF766">
        <v>1</v>
      </c>
      <c r="EG766" t="s">
        <v>22</v>
      </c>
      <c r="EH766">
        <v>0</v>
      </c>
      <c r="EI766" t="s">
        <v>3</v>
      </c>
      <c r="EJ766">
        <v>4</v>
      </c>
      <c r="EK766">
        <v>0</v>
      </c>
      <c r="EL766" t="s">
        <v>23</v>
      </c>
      <c r="EM766" t="s">
        <v>24</v>
      </c>
      <c r="EO766" t="s">
        <v>3</v>
      </c>
      <c r="EQ766">
        <v>0</v>
      </c>
      <c r="ER766">
        <v>6020.87</v>
      </c>
      <c r="ES766">
        <v>14.63</v>
      </c>
      <c r="ET766">
        <v>0</v>
      </c>
      <c r="EU766">
        <v>0</v>
      </c>
      <c r="EV766">
        <v>6006.24</v>
      </c>
      <c r="EW766">
        <v>11.22</v>
      </c>
      <c r="EX766">
        <v>0</v>
      </c>
      <c r="EY766">
        <v>0</v>
      </c>
      <c r="FQ766">
        <v>0</v>
      </c>
      <c r="FR766">
        <f t="shared" si="718"/>
        <v>0</v>
      </c>
      <c r="FS766">
        <v>0</v>
      </c>
      <c r="FX766">
        <v>70</v>
      </c>
      <c r="FY766">
        <v>10</v>
      </c>
      <c r="GA766" t="s">
        <v>3</v>
      </c>
      <c r="GD766">
        <v>0</v>
      </c>
      <c r="GF766">
        <v>-1811468466</v>
      </c>
      <c r="GG766">
        <v>2</v>
      </c>
      <c r="GH766">
        <v>1</v>
      </c>
      <c r="GI766">
        <v>-2</v>
      </c>
      <c r="GJ766">
        <v>0</v>
      </c>
      <c r="GK766">
        <f>ROUND(R766*(R12)/100,2)</f>
        <v>0</v>
      </c>
      <c r="GL766">
        <f t="shared" si="719"/>
        <v>0</v>
      </c>
      <c r="GM766">
        <f t="shared" si="720"/>
        <v>216.5</v>
      </c>
      <c r="GN766">
        <f t="shared" si="721"/>
        <v>0</v>
      </c>
      <c r="GO766">
        <f t="shared" si="722"/>
        <v>0</v>
      </c>
      <c r="GP766">
        <f t="shared" si="723"/>
        <v>216.5</v>
      </c>
      <c r="GR766">
        <v>0</v>
      </c>
      <c r="GS766">
        <v>3</v>
      </c>
      <c r="GT766">
        <v>0</v>
      </c>
      <c r="GU766" t="s">
        <v>3</v>
      </c>
      <c r="GV766">
        <f t="shared" si="724"/>
        <v>0</v>
      </c>
      <c r="GW766">
        <v>1</v>
      </c>
      <c r="GX766">
        <f t="shared" si="725"/>
        <v>0</v>
      </c>
      <c r="HA766">
        <v>0</v>
      </c>
      <c r="HB766">
        <v>0</v>
      </c>
      <c r="HC766">
        <f t="shared" si="726"/>
        <v>0</v>
      </c>
      <c r="HE766" t="s">
        <v>3</v>
      </c>
      <c r="HF766" t="s">
        <v>3</v>
      </c>
      <c r="HM766" t="s">
        <v>3</v>
      </c>
      <c r="HN766" t="s">
        <v>3</v>
      </c>
      <c r="HO766" t="s">
        <v>3</v>
      </c>
      <c r="HP766" t="s">
        <v>3</v>
      </c>
      <c r="HQ766" t="s">
        <v>3</v>
      </c>
      <c r="IK766">
        <v>0</v>
      </c>
    </row>
    <row r="767" spans="1:245" x14ac:dyDescent="0.2">
      <c r="A767">
        <v>17</v>
      </c>
      <c r="B767">
        <v>1</v>
      </c>
      <c r="D767">
        <f>ROW(EtalonRes!A674)</f>
        <v>674</v>
      </c>
      <c r="E767" t="s">
        <v>652</v>
      </c>
      <c r="F767" t="s">
        <v>627</v>
      </c>
      <c r="G767" t="s">
        <v>628</v>
      </c>
      <c r="H767" t="s">
        <v>104</v>
      </c>
      <c r="I767">
        <f>ROUND(ROUND((10+10)*0.1/100,9),9)</f>
        <v>0.02</v>
      </c>
      <c r="J767">
        <v>0</v>
      </c>
      <c r="K767">
        <f>ROUND(ROUND((10+10)*0.1/100,9),9)</f>
        <v>0.02</v>
      </c>
      <c r="O767">
        <f t="shared" si="694"/>
        <v>21.84</v>
      </c>
      <c r="P767">
        <f t="shared" si="695"/>
        <v>0</v>
      </c>
      <c r="Q767">
        <f t="shared" si="696"/>
        <v>0</v>
      </c>
      <c r="R767">
        <f t="shared" si="697"/>
        <v>0</v>
      </c>
      <c r="S767">
        <f t="shared" si="698"/>
        <v>21.84</v>
      </c>
      <c r="T767">
        <f t="shared" si="699"/>
        <v>0</v>
      </c>
      <c r="U767">
        <f t="shared" si="700"/>
        <v>4.0800000000000003E-2</v>
      </c>
      <c r="V767">
        <f t="shared" si="701"/>
        <v>0</v>
      </c>
      <c r="W767">
        <f t="shared" si="702"/>
        <v>0</v>
      </c>
      <c r="X767">
        <f t="shared" si="703"/>
        <v>15.29</v>
      </c>
      <c r="Y767">
        <f t="shared" si="704"/>
        <v>2.1800000000000002</v>
      </c>
      <c r="AA767">
        <v>1472506909</v>
      </c>
      <c r="AB767">
        <f t="shared" si="705"/>
        <v>1092.04</v>
      </c>
      <c r="AC767">
        <f>ROUND((ES767),6)</f>
        <v>0</v>
      </c>
      <c r="AD767">
        <f>ROUND((((ET767)-(EU767))+AE767),6)</f>
        <v>0</v>
      </c>
      <c r="AE767">
        <f t="shared" si="727"/>
        <v>0</v>
      </c>
      <c r="AF767">
        <f t="shared" si="727"/>
        <v>1092.04</v>
      </c>
      <c r="AG767">
        <f t="shared" si="706"/>
        <v>0</v>
      </c>
      <c r="AH767">
        <f t="shared" si="728"/>
        <v>2.04</v>
      </c>
      <c r="AI767">
        <f t="shared" si="728"/>
        <v>0</v>
      </c>
      <c r="AJ767">
        <f t="shared" si="707"/>
        <v>0</v>
      </c>
      <c r="AK767">
        <v>1092.04</v>
      </c>
      <c r="AL767">
        <v>0</v>
      </c>
      <c r="AM767">
        <v>0</v>
      </c>
      <c r="AN767">
        <v>0</v>
      </c>
      <c r="AO767">
        <v>1092.04</v>
      </c>
      <c r="AP767">
        <v>0</v>
      </c>
      <c r="AQ767">
        <v>2.04</v>
      </c>
      <c r="AR767">
        <v>0</v>
      </c>
      <c r="AS767">
        <v>0</v>
      </c>
      <c r="AT767">
        <v>70</v>
      </c>
      <c r="AU767">
        <v>10</v>
      </c>
      <c r="AV767">
        <v>1</v>
      </c>
      <c r="AW767">
        <v>1</v>
      </c>
      <c r="AZ767">
        <v>1</v>
      </c>
      <c r="BA767">
        <v>1</v>
      </c>
      <c r="BB767">
        <v>1</v>
      </c>
      <c r="BC767">
        <v>1</v>
      </c>
      <c r="BD767" t="s">
        <v>3</v>
      </c>
      <c r="BE767" t="s">
        <v>3</v>
      </c>
      <c r="BF767" t="s">
        <v>3</v>
      </c>
      <c r="BG767" t="s">
        <v>3</v>
      </c>
      <c r="BH767">
        <v>0</v>
      </c>
      <c r="BI767">
        <v>4</v>
      </c>
      <c r="BJ767" t="s">
        <v>629</v>
      </c>
      <c r="BM767">
        <v>0</v>
      </c>
      <c r="BN767">
        <v>0</v>
      </c>
      <c r="BO767" t="s">
        <v>3</v>
      </c>
      <c r="BP767">
        <v>0</v>
      </c>
      <c r="BQ767">
        <v>1</v>
      </c>
      <c r="BR767">
        <v>0</v>
      </c>
      <c r="BS767">
        <v>1</v>
      </c>
      <c r="BT767">
        <v>1</v>
      </c>
      <c r="BU767">
        <v>1</v>
      </c>
      <c r="BV767">
        <v>1</v>
      </c>
      <c r="BW767">
        <v>1</v>
      </c>
      <c r="BX767">
        <v>1</v>
      </c>
      <c r="BY767" t="s">
        <v>3</v>
      </c>
      <c r="BZ767">
        <v>70</v>
      </c>
      <c r="CA767">
        <v>10</v>
      </c>
      <c r="CB767" t="s">
        <v>3</v>
      </c>
      <c r="CE767">
        <v>0</v>
      </c>
      <c r="CF767">
        <v>0</v>
      </c>
      <c r="CG767">
        <v>0</v>
      </c>
      <c r="CM767">
        <v>0</v>
      </c>
      <c r="CN767" t="s">
        <v>3</v>
      </c>
      <c r="CO767">
        <v>0</v>
      </c>
      <c r="CP767">
        <f t="shared" si="708"/>
        <v>21.84</v>
      </c>
      <c r="CQ767">
        <f t="shared" si="709"/>
        <v>0</v>
      </c>
      <c r="CR767">
        <f>((((ET767)*BB767-(EU767)*BS767)+AE767*BS767)*AV767)</f>
        <v>0</v>
      </c>
      <c r="CS767">
        <f t="shared" si="710"/>
        <v>0</v>
      </c>
      <c r="CT767">
        <f t="shared" si="711"/>
        <v>1092.04</v>
      </c>
      <c r="CU767">
        <f t="shared" si="712"/>
        <v>0</v>
      </c>
      <c r="CV767">
        <f t="shared" si="713"/>
        <v>2.04</v>
      </c>
      <c r="CW767">
        <f t="shared" si="714"/>
        <v>0</v>
      </c>
      <c r="CX767">
        <f t="shared" si="715"/>
        <v>0</v>
      </c>
      <c r="CY767">
        <f t="shared" si="716"/>
        <v>15.288</v>
      </c>
      <c r="CZ767">
        <f t="shared" si="717"/>
        <v>2.1840000000000002</v>
      </c>
      <c r="DC767" t="s">
        <v>3</v>
      </c>
      <c r="DD767" t="s">
        <v>3</v>
      </c>
      <c r="DE767" t="s">
        <v>3</v>
      </c>
      <c r="DF767" t="s">
        <v>3</v>
      </c>
      <c r="DG767" t="s">
        <v>3</v>
      </c>
      <c r="DH767" t="s">
        <v>3</v>
      </c>
      <c r="DI767" t="s">
        <v>3</v>
      </c>
      <c r="DJ767" t="s">
        <v>3</v>
      </c>
      <c r="DK767" t="s">
        <v>3</v>
      </c>
      <c r="DL767" t="s">
        <v>3</v>
      </c>
      <c r="DM767" t="s">
        <v>3</v>
      </c>
      <c r="DN767">
        <v>0</v>
      </c>
      <c r="DO767">
        <v>0</v>
      </c>
      <c r="DP767">
        <v>1</v>
      </c>
      <c r="DQ767">
        <v>1</v>
      </c>
      <c r="DU767">
        <v>1003</v>
      </c>
      <c r="DV767" t="s">
        <v>104</v>
      </c>
      <c r="DW767" t="s">
        <v>104</v>
      </c>
      <c r="DX767">
        <v>100</v>
      </c>
      <c r="DZ767" t="s">
        <v>3</v>
      </c>
      <c r="EA767" t="s">
        <v>3</v>
      </c>
      <c r="EB767" t="s">
        <v>3</v>
      </c>
      <c r="EC767" t="s">
        <v>3</v>
      </c>
      <c r="EE767">
        <v>1441815344</v>
      </c>
      <c r="EF767">
        <v>1</v>
      </c>
      <c r="EG767" t="s">
        <v>22</v>
      </c>
      <c r="EH767">
        <v>0</v>
      </c>
      <c r="EI767" t="s">
        <v>3</v>
      </c>
      <c r="EJ767">
        <v>4</v>
      </c>
      <c r="EK767">
        <v>0</v>
      </c>
      <c r="EL767" t="s">
        <v>23</v>
      </c>
      <c r="EM767" t="s">
        <v>24</v>
      </c>
      <c r="EO767" t="s">
        <v>3</v>
      </c>
      <c r="EQ767">
        <v>0</v>
      </c>
      <c r="ER767">
        <v>1092.04</v>
      </c>
      <c r="ES767">
        <v>0</v>
      </c>
      <c r="ET767">
        <v>0</v>
      </c>
      <c r="EU767">
        <v>0</v>
      </c>
      <c r="EV767">
        <v>1092.04</v>
      </c>
      <c r="EW767">
        <v>2.04</v>
      </c>
      <c r="EX767">
        <v>0</v>
      </c>
      <c r="EY767">
        <v>0</v>
      </c>
      <c r="FQ767">
        <v>0</v>
      </c>
      <c r="FR767">
        <f t="shared" si="718"/>
        <v>0</v>
      </c>
      <c r="FS767">
        <v>0</v>
      </c>
      <c r="FX767">
        <v>70</v>
      </c>
      <c r="FY767">
        <v>10</v>
      </c>
      <c r="GA767" t="s">
        <v>3</v>
      </c>
      <c r="GD767">
        <v>0</v>
      </c>
      <c r="GF767">
        <v>-969674239</v>
      </c>
      <c r="GG767">
        <v>2</v>
      </c>
      <c r="GH767">
        <v>1</v>
      </c>
      <c r="GI767">
        <v>-2</v>
      </c>
      <c r="GJ767">
        <v>0</v>
      </c>
      <c r="GK767">
        <f>ROUND(R767*(R12)/100,2)</f>
        <v>0</v>
      </c>
      <c r="GL767">
        <f t="shared" si="719"/>
        <v>0</v>
      </c>
      <c r="GM767">
        <f t="shared" si="720"/>
        <v>39.31</v>
      </c>
      <c r="GN767">
        <f t="shared" si="721"/>
        <v>0</v>
      </c>
      <c r="GO767">
        <f t="shared" si="722"/>
        <v>0</v>
      </c>
      <c r="GP767">
        <f t="shared" si="723"/>
        <v>39.31</v>
      </c>
      <c r="GR767">
        <v>0</v>
      </c>
      <c r="GS767">
        <v>3</v>
      </c>
      <c r="GT767">
        <v>0</v>
      </c>
      <c r="GU767" t="s">
        <v>3</v>
      </c>
      <c r="GV767">
        <f t="shared" si="724"/>
        <v>0</v>
      </c>
      <c r="GW767">
        <v>1</v>
      </c>
      <c r="GX767">
        <f t="shared" si="725"/>
        <v>0</v>
      </c>
      <c r="HA767">
        <v>0</v>
      </c>
      <c r="HB767">
        <v>0</v>
      </c>
      <c r="HC767">
        <f t="shared" si="726"/>
        <v>0</v>
      </c>
      <c r="HE767" t="s">
        <v>3</v>
      </c>
      <c r="HF767" t="s">
        <v>3</v>
      </c>
      <c r="HM767" t="s">
        <v>3</v>
      </c>
      <c r="HN767" t="s">
        <v>3</v>
      </c>
      <c r="HO767" t="s">
        <v>3</v>
      </c>
      <c r="HP767" t="s">
        <v>3</v>
      </c>
      <c r="HQ767" t="s">
        <v>3</v>
      </c>
      <c r="IK767">
        <v>0</v>
      </c>
    </row>
    <row r="768" spans="1:245" x14ac:dyDescent="0.2">
      <c r="A768">
        <v>17</v>
      </c>
      <c r="B768">
        <v>1</v>
      </c>
      <c r="D768">
        <f>ROW(EtalonRes!A676)</f>
        <v>676</v>
      </c>
      <c r="E768" t="s">
        <v>653</v>
      </c>
      <c r="F768" t="s">
        <v>631</v>
      </c>
      <c r="G768" t="s">
        <v>632</v>
      </c>
      <c r="H768" t="s">
        <v>20</v>
      </c>
      <c r="I768">
        <f>ROUND(2,9)</f>
        <v>2</v>
      </c>
      <c r="J768">
        <v>0</v>
      </c>
      <c r="K768">
        <f>ROUND(2,9)</f>
        <v>2</v>
      </c>
      <c r="O768">
        <f t="shared" si="694"/>
        <v>677.76</v>
      </c>
      <c r="P768">
        <f t="shared" si="695"/>
        <v>3.14</v>
      </c>
      <c r="Q768">
        <f t="shared" si="696"/>
        <v>0</v>
      </c>
      <c r="R768">
        <f t="shared" si="697"/>
        <v>0</v>
      </c>
      <c r="S768">
        <f t="shared" si="698"/>
        <v>674.62</v>
      </c>
      <c r="T768">
        <f t="shared" si="699"/>
        <v>0</v>
      </c>
      <c r="U768">
        <f t="shared" si="700"/>
        <v>1.2</v>
      </c>
      <c r="V768">
        <f t="shared" si="701"/>
        <v>0</v>
      </c>
      <c r="W768">
        <f t="shared" si="702"/>
        <v>0</v>
      </c>
      <c r="X768">
        <f t="shared" si="703"/>
        <v>472.23</v>
      </c>
      <c r="Y768">
        <f t="shared" si="704"/>
        <v>67.459999999999994</v>
      </c>
      <c r="AA768">
        <v>1472506909</v>
      </c>
      <c r="AB768">
        <f t="shared" si="705"/>
        <v>338.88</v>
      </c>
      <c r="AC768">
        <f>ROUND((ES768),6)</f>
        <v>1.57</v>
      </c>
      <c r="AD768">
        <f>ROUND((((ET768)-(EU768))+AE768),6)</f>
        <v>0</v>
      </c>
      <c r="AE768">
        <f t="shared" si="727"/>
        <v>0</v>
      </c>
      <c r="AF768">
        <f t="shared" si="727"/>
        <v>337.31</v>
      </c>
      <c r="AG768">
        <f t="shared" si="706"/>
        <v>0</v>
      </c>
      <c r="AH768">
        <f t="shared" si="728"/>
        <v>0.6</v>
      </c>
      <c r="AI768">
        <f t="shared" si="728"/>
        <v>0</v>
      </c>
      <c r="AJ768">
        <f t="shared" si="707"/>
        <v>0</v>
      </c>
      <c r="AK768">
        <v>338.88</v>
      </c>
      <c r="AL768">
        <v>1.57</v>
      </c>
      <c r="AM768">
        <v>0</v>
      </c>
      <c r="AN768">
        <v>0</v>
      </c>
      <c r="AO768">
        <v>337.31</v>
      </c>
      <c r="AP768">
        <v>0</v>
      </c>
      <c r="AQ768">
        <v>0.6</v>
      </c>
      <c r="AR768">
        <v>0</v>
      </c>
      <c r="AS768">
        <v>0</v>
      </c>
      <c r="AT768">
        <v>70</v>
      </c>
      <c r="AU768">
        <v>10</v>
      </c>
      <c r="AV768">
        <v>1</v>
      </c>
      <c r="AW768">
        <v>1</v>
      </c>
      <c r="AZ768">
        <v>1</v>
      </c>
      <c r="BA768">
        <v>1</v>
      </c>
      <c r="BB768">
        <v>1</v>
      </c>
      <c r="BC768">
        <v>1</v>
      </c>
      <c r="BD768" t="s">
        <v>3</v>
      </c>
      <c r="BE768" t="s">
        <v>3</v>
      </c>
      <c r="BF768" t="s">
        <v>3</v>
      </c>
      <c r="BG768" t="s">
        <v>3</v>
      </c>
      <c r="BH768">
        <v>0</v>
      </c>
      <c r="BI768">
        <v>4</v>
      </c>
      <c r="BJ768" t="s">
        <v>633</v>
      </c>
      <c r="BM768">
        <v>0</v>
      </c>
      <c r="BN768">
        <v>0</v>
      </c>
      <c r="BO768" t="s">
        <v>3</v>
      </c>
      <c r="BP768">
        <v>0</v>
      </c>
      <c r="BQ768">
        <v>1</v>
      </c>
      <c r="BR768">
        <v>0</v>
      </c>
      <c r="BS768">
        <v>1</v>
      </c>
      <c r="BT768">
        <v>1</v>
      </c>
      <c r="BU768">
        <v>1</v>
      </c>
      <c r="BV768">
        <v>1</v>
      </c>
      <c r="BW768">
        <v>1</v>
      </c>
      <c r="BX768">
        <v>1</v>
      </c>
      <c r="BY768" t="s">
        <v>3</v>
      </c>
      <c r="BZ768">
        <v>70</v>
      </c>
      <c r="CA768">
        <v>10</v>
      </c>
      <c r="CB768" t="s">
        <v>3</v>
      </c>
      <c r="CE768">
        <v>0</v>
      </c>
      <c r="CF768">
        <v>0</v>
      </c>
      <c r="CG768">
        <v>0</v>
      </c>
      <c r="CM768">
        <v>0</v>
      </c>
      <c r="CN768" t="s">
        <v>3</v>
      </c>
      <c r="CO768">
        <v>0</v>
      </c>
      <c r="CP768">
        <f t="shared" si="708"/>
        <v>677.76</v>
      </c>
      <c r="CQ768">
        <f t="shared" si="709"/>
        <v>1.57</v>
      </c>
      <c r="CR768">
        <f>((((ET768)*BB768-(EU768)*BS768)+AE768*BS768)*AV768)</f>
        <v>0</v>
      </c>
      <c r="CS768">
        <f t="shared" si="710"/>
        <v>0</v>
      </c>
      <c r="CT768">
        <f t="shared" si="711"/>
        <v>337.31</v>
      </c>
      <c r="CU768">
        <f t="shared" si="712"/>
        <v>0</v>
      </c>
      <c r="CV768">
        <f t="shared" si="713"/>
        <v>0.6</v>
      </c>
      <c r="CW768">
        <f t="shared" si="714"/>
        <v>0</v>
      </c>
      <c r="CX768">
        <f t="shared" si="715"/>
        <v>0</v>
      </c>
      <c r="CY768">
        <f t="shared" si="716"/>
        <v>472.23400000000004</v>
      </c>
      <c r="CZ768">
        <f t="shared" si="717"/>
        <v>67.462000000000003</v>
      </c>
      <c r="DC768" t="s">
        <v>3</v>
      </c>
      <c r="DD768" t="s">
        <v>3</v>
      </c>
      <c r="DE768" t="s">
        <v>3</v>
      </c>
      <c r="DF768" t="s">
        <v>3</v>
      </c>
      <c r="DG768" t="s">
        <v>3</v>
      </c>
      <c r="DH768" t="s">
        <v>3</v>
      </c>
      <c r="DI768" t="s">
        <v>3</v>
      </c>
      <c r="DJ768" t="s">
        <v>3</v>
      </c>
      <c r="DK768" t="s">
        <v>3</v>
      </c>
      <c r="DL768" t="s">
        <v>3</v>
      </c>
      <c r="DM768" t="s">
        <v>3</v>
      </c>
      <c r="DN768">
        <v>0</v>
      </c>
      <c r="DO768">
        <v>0</v>
      </c>
      <c r="DP768">
        <v>1</v>
      </c>
      <c r="DQ768">
        <v>1</v>
      </c>
      <c r="DU768">
        <v>16987630</v>
      </c>
      <c r="DV768" t="s">
        <v>20</v>
      </c>
      <c r="DW768" t="s">
        <v>20</v>
      </c>
      <c r="DX768">
        <v>1</v>
      </c>
      <c r="DZ768" t="s">
        <v>3</v>
      </c>
      <c r="EA768" t="s">
        <v>3</v>
      </c>
      <c r="EB768" t="s">
        <v>3</v>
      </c>
      <c r="EC768" t="s">
        <v>3</v>
      </c>
      <c r="EE768">
        <v>1441815344</v>
      </c>
      <c r="EF768">
        <v>1</v>
      </c>
      <c r="EG768" t="s">
        <v>22</v>
      </c>
      <c r="EH768">
        <v>0</v>
      </c>
      <c r="EI768" t="s">
        <v>3</v>
      </c>
      <c r="EJ768">
        <v>4</v>
      </c>
      <c r="EK768">
        <v>0</v>
      </c>
      <c r="EL768" t="s">
        <v>23</v>
      </c>
      <c r="EM768" t="s">
        <v>24</v>
      </c>
      <c r="EO768" t="s">
        <v>3</v>
      </c>
      <c r="EQ768">
        <v>0</v>
      </c>
      <c r="ER768">
        <v>338.88</v>
      </c>
      <c r="ES768">
        <v>1.57</v>
      </c>
      <c r="ET768">
        <v>0</v>
      </c>
      <c r="EU768">
        <v>0</v>
      </c>
      <c r="EV768">
        <v>337.31</v>
      </c>
      <c r="EW768">
        <v>0.6</v>
      </c>
      <c r="EX768">
        <v>0</v>
      </c>
      <c r="EY768">
        <v>0</v>
      </c>
      <c r="FQ768">
        <v>0</v>
      </c>
      <c r="FR768">
        <f t="shared" si="718"/>
        <v>0</v>
      </c>
      <c r="FS768">
        <v>0</v>
      </c>
      <c r="FX768">
        <v>70</v>
      </c>
      <c r="FY768">
        <v>10</v>
      </c>
      <c r="GA768" t="s">
        <v>3</v>
      </c>
      <c r="GD768">
        <v>0</v>
      </c>
      <c r="GF768">
        <v>595984218</v>
      </c>
      <c r="GG768">
        <v>2</v>
      </c>
      <c r="GH768">
        <v>1</v>
      </c>
      <c r="GI768">
        <v>-2</v>
      </c>
      <c r="GJ768">
        <v>0</v>
      </c>
      <c r="GK768">
        <f>ROUND(R768*(R12)/100,2)</f>
        <v>0</v>
      </c>
      <c r="GL768">
        <f t="shared" si="719"/>
        <v>0</v>
      </c>
      <c r="GM768">
        <f t="shared" si="720"/>
        <v>1217.45</v>
      </c>
      <c r="GN768">
        <f t="shared" si="721"/>
        <v>0</v>
      </c>
      <c r="GO768">
        <f t="shared" si="722"/>
        <v>0</v>
      </c>
      <c r="GP768">
        <f t="shared" si="723"/>
        <v>1217.45</v>
      </c>
      <c r="GR768">
        <v>0</v>
      </c>
      <c r="GS768">
        <v>3</v>
      </c>
      <c r="GT768">
        <v>0</v>
      </c>
      <c r="GU768" t="s">
        <v>3</v>
      </c>
      <c r="GV768">
        <f t="shared" si="724"/>
        <v>0</v>
      </c>
      <c r="GW768">
        <v>1</v>
      </c>
      <c r="GX768">
        <f t="shared" si="725"/>
        <v>0</v>
      </c>
      <c r="HA768">
        <v>0</v>
      </c>
      <c r="HB768">
        <v>0</v>
      </c>
      <c r="HC768">
        <f t="shared" si="726"/>
        <v>0</v>
      </c>
      <c r="HE768" t="s">
        <v>3</v>
      </c>
      <c r="HF768" t="s">
        <v>3</v>
      </c>
      <c r="HM768" t="s">
        <v>3</v>
      </c>
      <c r="HN768" t="s">
        <v>3</v>
      </c>
      <c r="HO768" t="s">
        <v>3</v>
      </c>
      <c r="HP768" t="s">
        <v>3</v>
      </c>
      <c r="HQ768" t="s">
        <v>3</v>
      </c>
      <c r="IK768">
        <v>0</v>
      </c>
    </row>
    <row r="769" spans="1:245" x14ac:dyDescent="0.2">
      <c r="A769">
        <v>17</v>
      </c>
      <c r="B769">
        <v>1</v>
      </c>
      <c r="D769">
        <f>ROW(EtalonRes!A677)</f>
        <v>677</v>
      </c>
      <c r="E769" t="s">
        <v>3</v>
      </c>
      <c r="F769" t="s">
        <v>634</v>
      </c>
      <c r="G769" t="s">
        <v>635</v>
      </c>
      <c r="H769" t="s">
        <v>20</v>
      </c>
      <c r="I769">
        <f>ROUND(2,9)</f>
        <v>2</v>
      </c>
      <c r="J769">
        <v>0</v>
      </c>
      <c r="K769">
        <f>ROUND(2,9)</f>
        <v>2</v>
      </c>
      <c r="O769">
        <f t="shared" si="694"/>
        <v>567.67999999999995</v>
      </c>
      <c r="P769">
        <f t="shared" si="695"/>
        <v>0</v>
      </c>
      <c r="Q769">
        <f t="shared" si="696"/>
        <v>0</v>
      </c>
      <c r="R769">
        <f t="shared" si="697"/>
        <v>0</v>
      </c>
      <c r="S769">
        <f t="shared" si="698"/>
        <v>567.67999999999995</v>
      </c>
      <c r="T769">
        <f t="shared" si="699"/>
        <v>0</v>
      </c>
      <c r="U769">
        <f t="shared" si="700"/>
        <v>1.1200000000000001</v>
      </c>
      <c r="V769">
        <f t="shared" si="701"/>
        <v>0</v>
      </c>
      <c r="W769">
        <f t="shared" si="702"/>
        <v>0</v>
      </c>
      <c r="X769">
        <f t="shared" si="703"/>
        <v>397.38</v>
      </c>
      <c r="Y769">
        <f t="shared" si="704"/>
        <v>56.77</v>
      </c>
      <c r="AA769">
        <v>-1</v>
      </c>
      <c r="AB769">
        <f t="shared" si="705"/>
        <v>283.83999999999997</v>
      </c>
      <c r="AC769">
        <f>ROUND(((ES769*4)),6)</f>
        <v>0</v>
      </c>
      <c r="AD769">
        <f>ROUND(((((ET769*4))-((EU769*4)))+AE769),6)</f>
        <v>0</v>
      </c>
      <c r="AE769">
        <f>ROUND(((EU769*4)),6)</f>
        <v>0</v>
      </c>
      <c r="AF769">
        <f>ROUND(((EV769*4)),6)</f>
        <v>283.83999999999997</v>
      </c>
      <c r="AG769">
        <f t="shared" si="706"/>
        <v>0</v>
      </c>
      <c r="AH769">
        <f>((EW769*4))</f>
        <v>0.56000000000000005</v>
      </c>
      <c r="AI769">
        <f>((EX769*4))</f>
        <v>0</v>
      </c>
      <c r="AJ769">
        <f t="shared" si="707"/>
        <v>0</v>
      </c>
      <c r="AK769">
        <v>70.959999999999994</v>
      </c>
      <c r="AL769">
        <v>0</v>
      </c>
      <c r="AM769">
        <v>0</v>
      </c>
      <c r="AN769">
        <v>0</v>
      </c>
      <c r="AO769">
        <v>70.959999999999994</v>
      </c>
      <c r="AP769">
        <v>0</v>
      </c>
      <c r="AQ769">
        <v>0.14000000000000001</v>
      </c>
      <c r="AR769">
        <v>0</v>
      </c>
      <c r="AS769">
        <v>0</v>
      </c>
      <c r="AT769">
        <v>70</v>
      </c>
      <c r="AU769">
        <v>10</v>
      </c>
      <c r="AV769">
        <v>1</v>
      </c>
      <c r="AW769">
        <v>1</v>
      </c>
      <c r="AZ769">
        <v>1</v>
      </c>
      <c r="BA769">
        <v>1</v>
      </c>
      <c r="BB769">
        <v>1</v>
      </c>
      <c r="BC769">
        <v>1</v>
      </c>
      <c r="BD769" t="s">
        <v>3</v>
      </c>
      <c r="BE769" t="s">
        <v>3</v>
      </c>
      <c r="BF769" t="s">
        <v>3</v>
      </c>
      <c r="BG769" t="s">
        <v>3</v>
      </c>
      <c r="BH769">
        <v>0</v>
      </c>
      <c r="BI769">
        <v>4</v>
      </c>
      <c r="BJ769" t="s">
        <v>636</v>
      </c>
      <c r="BM769">
        <v>0</v>
      </c>
      <c r="BN769">
        <v>0</v>
      </c>
      <c r="BO769" t="s">
        <v>3</v>
      </c>
      <c r="BP769">
        <v>0</v>
      </c>
      <c r="BQ769">
        <v>1</v>
      </c>
      <c r="BR769">
        <v>0</v>
      </c>
      <c r="BS769">
        <v>1</v>
      </c>
      <c r="BT769">
        <v>1</v>
      </c>
      <c r="BU769">
        <v>1</v>
      </c>
      <c r="BV769">
        <v>1</v>
      </c>
      <c r="BW769">
        <v>1</v>
      </c>
      <c r="BX769">
        <v>1</v>
      </c>
      <c r="BY769" t="s">
        <v>3</v>
      </c>
      <c r="BZ769">
        <v>70</v>
      </c>
      <c r="CA769">
        <v>10</v>
      </c>
      <c r="CB769" t="s">
        <v>3</v>
      </c>
      <c r="CE769">
        <v>0</v>
      </c>
      <c r="CF769">
        <v>0</v>
      </c>
      <c r="CG769">
        <v>0</v>
      </c>
      <c r="CM769">
        <v>0</v>
      </c>
      <c r="CN769" t="s">
        <v>3</v>
      </c>
      <c r="CO769">
        <v>0</v>
      </c>
      <c r="CP769">
        <f t="shared" si="708"/>
        <v>567.67999999999995</v>
      </c>
      <c r="CQ769">
        <f t="shared" si="709"/>
        <v>0</v>
      </c>
      <c r="CR769">
        <f>(((((ET769*4))*BB769-((EU769*4))*BS769)+AE769*BS769)*AV769)</f>
        <v>0</v>
      </c>
      <c r="CS769">
        <f t="shared" si="710"/>
        <v>0</v>
      </c>
      <c r="CT769">
        <f t="shared" si="711"/>
        <v>283.83999999999997</v>
      </c>
      <c r="CU769">
        <f t="shared" si="712"/>
        <v>0</v>
      </c>
      <c r="CV769">
        <f t="shared" si="713"/>
        <v>0.56000000000000005</v>
      </c>
      <c r="CW769">
        <f t="shared" si="714"/>
        <v>0</v>
      </c>
      <c r="CX769">
        <f t="shared" si="715"/>
        <v>0</v>
      </c>
      <c r="CY769">
        <f t="shared" si="716"/>
        <v>397.37599999999998</v>
      </c>
      <c r="CZ769">
        <f t="shared" si="717"/>
        <v>56.767999999999994</v>
      </c>
      <c r="DC769" t="s">
        <v>3</v>
      </c>
      <c r="DD769" t="s">
        <v>584</v>
      </c>
      <c r="DE769" t="s">
        <v>584</v>
      </c>
      <c r="DF769" t="s">
        <v>584</v>
      </c>
      <c r="DG769" t="s">
        <v>584</v>
      </c>
      <c r="DH769" t="s">
        <v>3</v>
      </c>
      <c r="DI769" t="s">
        <v>584</v>
      </c>
      <c r="DJ769" t="s">
        <v>584</v>
      </c>
      <c r="DK769" t="s">
        <v>3</v>
      </c>
      <c r="DL769" t="s">
        <v>3</v>
      </c>
      <c r="DM769" t="s">
        <v>3</v>
      </c>
      <c r="DN769">
        <v>0</v>
      </c>
      <c r="DO769">
        <v>0</v>
      </c>
      <c r="DP769">
        <v>1</v>
      </c>
      <c r="DQ769">
        <v>1</v>
      </c>
      <c r="DU769">
        <v>16987630</v>
      </c>
      <c r="DV769" t="s">
        <v>20</v>
      </c>
      <c r="DW769" t="s">
        <v>20</v>
      </c>
      <c r="DX769">
        <v>1</v>
      </c>
      <c r="DZ769" t="s">
        <v>3</v>
      </c>
      <c r="EA769" t="s">
        <v>3</v>
      </c>
      <c r="EB769" t="s">
        <v>3</v>
      </c>
      <c r="EC769" t="s">
        <v>3</v>
      </c>
      <c r="EE769">
        <v>1441815344</v>
      </c>
      <c r="EF769">
        <v>1</v>
      </c>
      <c r="EG769" t="s">
        <v>22</v>
      </c>
      <c r="EH769">
        <v>0</v>
      </c>
      <c r="EI769" t="s">
        <v>3</v>
      </c>
      <c r="EJ769">
        <v>4</v>
      </c>
      <c r="EK769">
        <v>0</v>
      </c>
      <c r="EL769" t="s">
        <v>23</v>
      </c>
      <c r="EM769" t="s">
        <v>24</v>
      </c>
      <c r="EO769" t="s">
        <v>3</v>
      </c>
      <c r="EQ769">
        <v>1024</v>
      </c>
      <c r="ER769">
        <v>70.959999999999994</v>
      </c>
      <c r="ES769">
        <v>0</v>
      </c>
      <c r="ET769">
        <v>0</v>
      </c>
      <c r="EU769">
        <v>0</v>
      </c>
      <c r="EV769">
        <v>70.959999999999994</v>
      </c>
      <c r="EW769">
        <v>0.14000000000000001</v>
      </c>
      <c r="EX769">
        <v>0</v>
      </c>
      <c r="EY769">
        <v>0</v>
      </c>
      <c r="FQ769">
        <v>0</v>
      </c>
      <c r="FR769">
        <f t="shared" si="718"/>
        <v>0</v>
      </c>
      <c r="FS769">
        <v>0</v>
      </c>
      <c r="FX769">
        <v>70</v>
      </c>
      <c r="FY769">
        <v>10</v>
      </c>
      <c r="GA769" t="s">
        <v>3</v>
      </c>
      <c r="GD769">
        <v>0</v>
      </c>
      <c r="GF769">
        <v>-1648066009</v>
      </c>
      <c r="GG769">
        <v>2</v>
      </c>
      <c r="GH769">
        <v>1</v>
      </c>
      <c r="GI769">
        <v>-2</v>
      </c>
      <c r="GJ769">
        <v>0</v>
      </c>
      <c r="GK769">
        <f>ROUND(R769*(R12)/100,2)</f>
        <v>0</v>
      </c>
      <c r="GL769">
        <f t="shared" si="719"/>
        <v>0</v>
      </c>
      <c r="GM769">
        <f t="shared" si="720"/>
        <v>1021.83</v>
      </c>
      <c r="GN769">
        <f t="shared" si="721"/>
        <v>0</v>
      </c>
      <c r="GO769">
        <f t="shared" si="722"/>
        <v>0</v>
      </c>
      <c r="GP769">
        <f t="shared" si="723"/>
        <v>1021.83</v>
      </c>
      <c r="GR769">
        <v>0</v>
      </c>
      <c r="GS769">
        <v>3</v>
      </c>
      <c r="GT769">
        <v>0</v>
      </c>
      <c r="GU769" t="s">
        <v>3</v>
      </c>
      <c r="GV769">
        <f t="shared" si="724"/>
        <v>0</v>
      </c>
      <c r="GW769">
        <v>1</v>
      </c>
      <c r="GX769">
        <f t="shared" si="725"/>
        <v>0</v>
      </c>
      <c r="HA769">
        <v>0</v>
      </c>
      <c r="HB769">
        <v>0</v>
      </c>
      <c r="HC769">
        <f t="shared" si="726"/>
        <v>0</v>
      </c>
      <c r="HE769" t="s">
        <v>3</v>
      </c>
      <c r="HF769" t="s">
        <v>3</v>
      </c>
      <c r="HM769" t="s">
        <v>3</v>
      </c>
      <c r="HN769" t="s">
        <v>3</v>
      </c>
      <c r="HO769" t="s">
        <v>3</v>
      </c>
      <c r="HP769" t="s">
        <v>3</v>
      </c>
      <c r="HQ769" t="s">
        <v>3</v>
      </c>
      <c r="IK769">
        <v>0</v>
      </c>
    </row>
    <row r="770" spans="1:245" x14ac:dyDescent="0.2">
      <c r="A770">
        <v>17</v>
      </c>
      <c r="B770">
        <v>1</v>
      </c>
      <c r="D770">
        <f>ROW(EtalonRes!A678)</f>
        <v>678</v>
      </c>
      <c r="E770" t="s">
        <v>3</v>
      </c>
      <c r="F770" t="s">
        <v>637</v>
      </c>
      <c r="G770" t="s">
        <v>638</v>
      </c>
      <c r="H770" t="s">
        <v>20</v>
      </c>
      <c r="I770">
        <v>2</v>
      </c>
      <c r="J770">
        <v>0</v>
      </c>
      <c r="K770">
        <v>2</v>
      </c>
      <c r="O770">
        <f t="shared" si="694"/>
        <v>9569.7999999999993</v>
      </c>
      <c r="P770">
        <f t="shared" si="695"/>
        <v>0</v>
      </c>
      <c r="Q770">
        <f t="shared" si="696"/>
        <v>0</v>
      </c>
      <c r="R770">
        <f t="shared" si="697"/>
        <v>0</v>
      </c>
      <c r="S770">
        <f t="shared" si="698"/>
        <v>9569.7999999999993</v>
      </c>
      <c r="T770">
        <f t="shared" si="699"/>
        <v>0</v>
      </c>
      <c r="U770">
        <f t="shared" si="700"/>
        <v>18.88</v>
      </c>
      <c r="V770">
        <f t="shared" si="701"/>
        <v>0</v>
      </c>
      <c r="W770">
        <f t="shared" si="702"/>
        <v>0</v>
      </c>
      <c r="X770">
        <f t="shared" si="703"/>
        <v>6698.86</v>
      </c>
      <c r="Y770">
        <f t="shared" si="704"/>
        <v>956.98</v>
      </c>
      <c r="AA770">
        <v>-1</v>
      </c>
      <c r="AB770">
        <f t="shared" si="705"/>
        <v>4784.8999999999996</v>
      </c>
      <c r="AC770">
        <f>ROUND(((ES770*118)),6)</f>
        <v>0</v>
      </c>
      <c r="AD770">
        <f>ROUND(((((ET770*118))-((EU770*118)))+AE770),6)</f>
        <v>0</v>
      </c>
      <c r="AE770">
        <f>ROUND(((EU770*118)),6)</f>
        <v>0</v>
      </c>
      <c r="AF770">
        <f>ROUND(((EV770*118)),6)</f>
        <v>4784.8999999999996</v>
      </c>
      <c r="AG770">
        <f t="shared" si="706"/>
        <v>0</v>
      </c>
      <c r="AH770">
        <f>((EW770*118))</f>
        <v>9.44</v>
      </c>
      <c r="AI770">
        <f>((EX770*118))</f>
        <v>0</v>
      </c>
      <c r="AJ770">
        <f t="shared" si="707"/>
        <v>0</v>
      </c>
      <c r="AK770">
        <v>40.549999999999997</v>
      </c>
      <c r="AL770">
        <v>0</v>
      </c>
      <c r="AM770">
        <v>0</v>
      </c>
      <c r="AN770">
        <v>0</v>
      </c>
      <c r="AO770">
        <v>40.549999999999997</v>
      </c>
      <c r="AP770">
        <v>0</v>
      </c>
      <c r="AQ770">
        <v>0.08</v>
      </c>
      <c r="AR770">
        <v>0</v>
      </c>
      <c r="AS770">
        <v>0</v>
      </c>
      <c r="AT770">
        <v>70</v>
      </c>
      <c r="AU770">
        <v>10</v>
      </c>
      <c r="AV770">
        <v>1</v>
      </c>
      <c r="AW770">
        <v>1</v>
      </c>
      <c r="AZ770">
        <v>1</v>
      </c>
      <c r="BA770">
        <v>1</v>
      </c>
      <c r="BB770">
        <v>1</v>
      </c>
      <c r="BC770">
        <v>1</v>
      </c>
      <c r="BD770" t="s">
        <v>3</v>
      </c>
      <c r="BE770" t="s">
        <v>3</v>
      </c>
      <c r="BF770" t="s">
        <v>3</v>
      </c>
      <c r="BG770" t="s">
        <v>3</v>
      </c>
      <c r="BH770">
        <v>0</v>
      </c>
      <c r="BI770">
        <v>4</v>
      </c>
      <c r="BJ770" t="s">
        <v>639</v>
      </c>
      <c r="BM770">
        <v>0</v>
      </c>
      <c r="BN770">
        <v>0</v>
      </c>
      <c r="BO770" t="s">
        <v>3</v>
      </c>
      <c r="BP770">
        <v>0</v>
      </c>
      <c r="BQ770">
        <v>1</v>
      </c>
      <c r="BR770">
        <v>0</v>
      </c>
      <c r="BS770">
        <v>1</v>
      </c>
      <c r="BT770">
        <v>1</v>
      </c>
      <c r="BU770">
        <v>1</v>
      </c>
      <c r="BV770">
        <v>1</v>
      </c>
      <c r="BW770">
        <v>1</v>
      </c>
      <c r="BX770">
        <v>1</v>
      </c>
      <c r="BY770" t="s">
        <v>3</v>
      </c>
      <c r="BZ770">
        <v>70</v>
      </c>
      <c r="CA770">
        <v>10</v>
      </c>
      <c r="CB770" t="s">
        <v>3</v>
      </c>
      <c r="CE770">
        <v>0</v>
      </c>
      <c r="CF770">
        <v>0</v>
      </c>
      <c r="CG770">
        <v>0</v>
      </c>
      <c r="CM770">
        <v>0</v>
      </c>
      <c r="CN770" t="s">
        <v>3</v>
      </c>
      <c r="CO770">
        <v>0</v>
      </c>
      <c r="CP770">
        <f t="shared" si="708"/>
        <v>9569.7999999999993</v>
      </c>
      <c r="CQ770">
        <f t="shared" si="709"/>
        <v>0</v>
      </c>
      <c r="CR770">
        <f>(((((ET770*118))*BB770-((EU770*118))*BS770)+AE770*BS770)*AV770)</f>
        <v>0</v>
      </c>
      <c r="CS770">
        <f t="shared" si="710"/>
        <v>0</v>
      </c>
      <c r="CT770">
        <f t="shared" si="711"/>
        <v>4784.8999999999996</v>
      </c>
      <c r="CU770">
        <f t="shared" si="712"/>
        <v>0</v>
      </c>
      <c r="CV770">
        <f t="shared" si="713"/>
        <v>9.44</v>
      </c>
      <c r="CW770">
        <f t="shared" si="714"/>
        <v>0</v>
      </c>
      <c r="CX770">
        <f t="shared" si="715"/>
        <v>0</v>
      </c>
      <c r="CY770">
        <f t="shared" si="716"/>
        <v>6698.86</v>
      </c>
      <c r="CZ770">
        <f t="shared" si="717"/>
        <v>956.98</v>
      </c>
      <c r="DC770" t="s">
        <v>3</v>
      </c>
      <c r="DD770" t="s">
        <v>640</v>
      </c>
      <c r="DE770" t="s">
        <v>640</v>
      </c>
      <c r="DF770" t="s">
        <v>640</v>
      </c>
      <c r="DG770" t="s">
        <v>640</v>
      </c>
      <c r="DH770" t="s">
        <v>3</v>
      </c>
      <c r="DI770" t="s">
        <v>640</v>
      </c>
      <c r="DJ770" t="s">
        <v>640</v>
      </c>
      <c r="DK770" t="s">
        <v>3</v>
      </c>
      <c r="DL770" t="s">
        <v>3</v>
      </c>
      <c r="DM770" t="s">
        <v>3</v>
      </c>
      <c r="DN770">
        <v>0</v>
      </c>
      <c r="DO770">
        <v>0</v>
      </c>
      <c r="DP770">
        <v>1</v>
      </c>
      <c r="DQ770">
        <v>1</v>
      </c>
      <c r="DU770">
        <v>16987630</v>
      </c>
      <c r="DV770" t="s">
        <v>20</v>
      </c>
      <c r="DW770" t="s">
        <v>20</v>
      </c>
      <c r="DX770">
        <v>1</v>
      </c>
      <c r="DZ770" t="s">
        <v>3</v>
      </c>
      <c r="EA770" t="s">
        <v>3</v>
      </c>
      <c r="EB770" t="s">
        <v>3</v>
      </c>
      <c r="EC770" t="s">
        <v>3</v>
      </c>
      <c r="EE770">
        <v>1441815344</v>
      </c>
      <c r="EF770">
        <v>1</v>
      </c>
      <c r="EG770" t="s">
        <v>22</v>
      </c>
      <c r="EH770">
        <v>0</v>
      </c>
      <c r="EI770" t="s">
        <v>3</v>
      </c>
      <c r="EJ770">
        <v>4</v>
      </c>
      <c r="EK770">
        <v>0</v>
      </c>
      <c r="EL770" t="s">
        <v>23</v>
      </c>
      <c r="EM770" t="s">
        <v>24</v>
      </c>
      <c r="EO770" t="s">
        <v>3</v>
      </c>
      <c r="EQ770">
        <v>1311744</v>
      </c>
      <c r="ER770">
        <v>40.549999999999997</v>
      </c>
      <c r="ES770">
        <v>0</v>
      </c>
      <c r="ET770">
        <v>0</v>
      </c>
      <c r="EU770">
        <v>0</v>
      </c>
      <c r="EV770">
        <v>40.549999999999997</v>
      </c>
      <c r="EW770">
        <v>0.08</v>
      </c>
      <c r="EX770">
        <v>0</v>
      </c>
      <c r="EY770">
        <v>0</v>
      </c>
      <c r="FQ770">
        <v>0</v>
      </c>
      <c r="FR770">
        <f t="shared" si="718"/>
        <v>0</v>
      </c>
      <c r="FS770">
        <v>0</v>
      </c>
      <c r="FX770">
        <v>70</v>
      </c>
      <c r="FY770">
        <v>10</v>
      </c>
      <c r="GA770" t="s">
        <v>3</v>
      </c>
      <c r="GD770">
        <v>0</v>
      </c>
      <c r="GF770">
        <v>-760003618</v>
      </c>
      <c r="GG770">
        <v>2</v>
      </c>
      <c r="GH770">
        <v>1</v>
      </c>
      <c r="GI770">
        <v>-2</v>
      </c>
      <c r="GJ770">
        <v>0</v>
      </c>
      <c r="GK770">
        <f>ROUND(R770*(R12)/100,2)</f>
        <v>0</v>
      </c>
      <c r="GL770">
        <f t="shared" si="719"/>
        <v>0</v>
      </c>
      <c r="GM770">
        <f t="shared" si="720"/>
        <v>17225.64</v>
      </c>
      <c r="GN770">
        <f t="shared" si="721"/>
        <v>0</v>
      </c>
      <c r="GO770">
        <f t="shared" si="722"/>
        <v>0</v>
      </c>
      <c r="GP770">
        <f t="shared" si="723"/>
        <v>17225.64</v>
      </c>
      <c r="GR770">
        <v>0</v>
      </c>
      <c r="GS770">
        <v>3</v>
      </c>
      <c r="GT770">
        <v>0</v>
      </c>
      <c r="GU770" t="s">
        <v>3</v>
      </c>
      <c r="GV770">
        <f t="shared" si="724"/>
        <v>0</v>
      </c>
      <c r="GW770">
        <v>1</v>
      </c>
      <c r="GX770">
        <f t="shared" si="725"/>
        <v>0</v>
      </c>
      <c r="HA770">
        <v>0</v>
      </c>
      <c r="HB770">
        <v>0</v>
      </c>
      <c r="HC770">
        <f t="shared" si="726"/>
        <v>0</v>
      </c>
      <c r="HE770" t="s">
        <v>3</v>
      </c>
      <c r="HF770" t="s">
        <v>3</v>
      </c>
      <c r="HM770" t="s">
        <v>3</v>
      </c>
      <c r="HN770" t="s">
        <v>3</v>
      </c>
      <c r="HO770" t="s">
        <v>3</v>
      </c>
      <c r="HP770" t="s">
        <v>3</v>
      </c>
      <c r="HQ770" t="s">
        <v>3</v>
      </c>
      <c r="IK770">
        <v>0</v>
      </c>
    </row>
    <row r="771" spans="1:245" x14ac:dyDescent="0.2">
      <c r="A771">
        <v>17</v>
      </c>
      <c r="B771">
        <v>1</v>
      </c>
      <c r="D771">
        <f>ROW(EtalonRes!A681)</f>
        <v>681</v>
      </c>
      <c r="E771" t="s">
        <v>654</v>
      </c>
      <c r="F771" t="s">
        <v>642</v>
      </c>
      <c r="G771" t="s">
        <v>643</v>
      </c>
      <c r="H771" t="s">
        <v>20</v>
      </c>
      <c r="I771">
        <v>1</v>
      </c>
      <c r="J771">
        <v>0</v>
      </c>
      <c r="K771">
        <v>1</v>
      </c>
      <c r="O771">
        <f t="shared" si="694"/>
        <v>274.04000000000002</v>
      </c>
      <c r="P771">
        <f t="shared" si="695"/>
        <v>0.09</v>
      </c>
      <c r="Q771">
        <f t="shared" si="696"/>
        <v>33.880000000000003</v>
      </c>
      <c r="R771">
        <f t="shared" si="697"/>
        <v>21.48</v>
      </c>
      <c r="S771">
        <f t="shared" si="698"/>
        <v>240.07</v>
      </c>
      <c r="T771">
        <f t="shared" si="699"/>
        <v>0</v>
      </c>
      <c r="U771">
        <f t="shared" si="700"/>
        <v>0.45</v>
      </c>
      <c r="V771">
        <f t="shared" si="701"/>
        <v>0</v>
      </c>
      <c r="W771">
        <f t="shared" si="702"/>
        <v>0</v>
      </c>
      <c r="X771">
        <f t="shared" si="703"/>
        <v>168.05</v>
      </c>
      <c r="Y771">
        <f t="shared" si="704"/>
        <v>24.01</v>
      </c>
      <c r="AA771">
        <v>1472506909</v>
      </c>
      <c r="AB771">
        <f t="shared" si="705"/>
        <v>274.04000000000002</v>
      </c>
      <c r="AC771">
        <f>ROUND((ES771),6)</f>
        <v>0.09</v>
      </c>
      <c r="AD771">
        <f>ROUND((((ET771)-(EU771))+AE771),6)</f>
        <v>33.880000000000003</v>
      </c>
      <c r="AE771">
        <f>ROUND((EU771),6)</f>
        <v>21.48</v>
      </c>
      <c r="AF771">
        <f>ROUND((EV771),6)</f>
        <v>240.07</v>
      </c>
      <c r="AG771">
        <f t="shared" si="706"/>
        <v>0</v>
      </c>
      <c r="AH771">
        <f>(EW771)</f>
        <v>0.45</v>
      </c>
      <c r="AI771">
        <f>(EX771)</f>
        <v>0</v>
      </c>
      <c r="AJ771">
        <f t="shared" si="707"/>
        <v>0</v>
      </c>
      <c r="AK771">
        <v>274.04000000000002</v>
      </c>
      <c r="AL771">
        <v>0.09</v>
      </c>
      <c r="AM771">
        <v>33.880000000000003</v>
      </c>
      <c r="AN771">
        <v>21.48</v>
      </c>
      <c r="AO771">
        <v>240.07</v>
      </c>
      <c r="AP771">
        <v>0</v>
      </c>
      <c r="AQ771">
        <v>0.45</v>
      </c>
      <c r="AR771">
        <v>0</v>
      </c>
      <c r="AS771">
        <v>0</v>
      </c>
      <c r="AT771">
        <v>70</v>
      </c>
      <c r="AU771">
        <v>10</v>
      </c>
      <c r="AV771">
        <v>1</v>
      </c>
      <c r="AW771">
        <v>1</v>
      </c>
      <c r="AZ771">
        <v>1</v>
      </c>
      <c r="BA771">
        <v>1</v>
      </c>
      <c r="BB771">
        <v>1</v>
      </c>
      <c r="BC771">
        <v>1</v>
      </c>
      <c r="BD771" t="s">
        <v>3</v>
      </c>
      <c r="BE771" t="s">
        <v>3</v>
      </c>
      <c r="BF771" t="s">
        <v>3</v>
      </c>
      <c r="BG771" t="s">
        <v>3</v>
      </c>
      <c r="BH771">
        <v>0</v>
      </c>
      <c r="BI771">
        <v>4</v>
      </c>
      <c r="BJ771" t="s">
        <v>644</v>
      </c>
      <c r="BM771">
        <v>0</v>
      </c>
      <c r="BN771">
        <v>0</v>
      </c>
      <c r="BO771" t="s">
        <v>3</v>
      </c>
      <c r="BP771">
        <v>0</v>
      </c>
      <c r="BQ771">
        <v>1</v>
      </c>
      <c r="BR771">
        <v>0</v>
      </c>
      <c r="BS771">
        <v>1</v>
      </c>
      <c r="BT771">
        <v>1</v>
      </c>
      <c r="BU771">
        <v>1</v>
      </c>
      <c r="BV771">
        <v>1</v>
      </c>
      <c r="BW771">
        <v>1</v>
      </c>
      <c r="BX771">
        <v>1</v>
      </c>
      <c r="BY771" t="s">
        <v>3</v>
      </c>
      <c r="BZ771">
        <v>70</v>
      </c>
      <c r="CA771">
        <v>10</v>
      </c>
      <c r="CB771" t="s">
        <v>3</v>
      </c>
      <c r="CE771">
        <v>0</v>
      </c>
      <c r="CF771">
        <v>0</v>
      </c>
      <c r="CG771">
        <v>0</v>
      </c>
      <c r="CM771">
        <v>0</v>
      </c>
      <c r="CN771" t="s">
        <v>3</v>
      </c>
      <c r="CO771">
        <v>0</v>
      </c>
      <c r="CP771">
        <f t="shared" si="708"/>
        <v>274.04000000000002</v>
      </c>
      <c r="CQ771">
        <f t="shared" si="709"/>
        <v>0.09</v>
      </c>
      <c r="CR771">
        <f>((((ET771)*BB771-(EU771)*BS771)+AE771*BS771)*AV771)</f>
        <v>33.880000000000003</v>
      </c>
      <c r="CS771">
        <f t="shared" si="710"/>
        <v>21.48</v>
      </c>
      <c r="CT771">
        <f t="shared" si="711"/>
        <v>240.07</v>
      </c>
      <c r="CU771">
        <f t="shared" si="712"/>
        <v>0</v>
      </c>
      <c r="CV771">
        <f t="shared" si="713"/>
        <v>0.45</v>
      </c>
      <c r="CW771">
        <f t="shared" si="714"/>
        <v>0</v>
      </c>
      <c r="CX771">
        <f t="shared" si="715"/>
        <v>0</v>
      </c>
      <c r="CY771">
        <f t="shared" si="716"/>
        <v>168.04899999999998</v>
      </c>
      <c r="CZ771">
        <f t="shared" si="717"/>
        <v>24.006999999999998</v>
      </c>
      <c r="DC771" t="s">
        <v>3</v>
      </c>
      <c r="DD771" t="s">
        <v>3</v>
      </c>
      <c r="DE771" t="s">
        <v>3</v>
      </c>
      <c r="DF771" t="s">
        <v>3</v>
      </c>
      <c r="DG771" t="s">
        <v>3</v>
      </c>
      <c r="DH771" t="s">
        <v>3</v>
      </c>
      <c r="DI771" t="s">
        <v>3</v>
      </c>
      <c r="DJ771" t="s">
        <v>3</v>
      </c>
      <c r="DK771" t="s">
        <v>3</v>
      </c>
      <c r="DL771" t="s">
        <v>3</v>
      </c>
      <c r="DM771" t="s">
        <v>3</v>
      </c>
      <c r="DN771">
        <v>0</v>
      </c>
      <c r="DO771">
        <v>0</v>
      </c>
      <c r="DP771">
        <v>1</v>
      </c>
      <c r="DQ771">
        <v>1</v>
      </c>
      <c r="DU771">
        <v>16987630</v>
      </c>
      <c r="DV771" t="s">
        <v>20</v>
      </c>
      <c r="DW771" t="s">
        <v>20</v>
      </c>
      <c r="DX771">
        <v>1</v>
      </c>
      <c r="DZ771" t="s">
        <v>3</v>
      </c>
      <c r="EA771" t="s">
        <v>3</v>
      </c>
      <c r="EB771" t="s">
        <v>3</v>
      </c>
      <c r="EC771" t="s">
        <v>3</v>
      </c>
      <c r="EE771">
        <v>1441815344</v>
      </c>
      <c r="EF771">
        <v>1</v>
      </c>
      <c r="EG771" t="s">
        <v>22</v>
      </c>
      <c r="EH771">
        <v>0</v>
      </c>
      <c r="EI771" t="s">
        <v>3</v>
      </c>
      <c r="EJ771">
        <v>4</v>
      </c>
      <c r="EK771">
        <v>0</v>
      </c>
      <c r="EL771" t="s">
        <v>23</v>
      </c>
      <c r="EM771" t="s">
        <v>24</v>
      </c>
      <c r="EO771" t="s">
        <v>3</v>
      </c>
      <c r="EQ771">
        <v>0</v>
      </c>
      <c r="ER771">
        <v>274.04000000000002</v>
      </c>
      <c r="ES771">
        <v>0.09</v>
      </c>
      <c r="ET771">
        <v>33.880000000000003</v>
      </c>
      <c r="EU771">
        <v>21.48</v>
      </c>
      <c r="EV771">
        <v>240.07</v>
      </c>
      <c r="EW771">
        <v>0.45</v>
      </c>
      <c r="EX771">
        <v>0</v>
      </c>
      <c r="EY771">
        <v>0</v>
      </c>
      <c r="FQ771">
        <v>0</v>
      </c>
      <c r="FR771">
        <f t="shared" si="718"/>
        <v>0</v>
      </c>
      <c r="FS771">
        <v>0</v>
      </c>
      <c r="FX771">
        <v>70</v>
      </c>
      <c r="FY771">
        <v>10</v>
      </c>
      <c r="GA771" t="s">
        <v>3</v>
      </c>
      <c r="GD771">
        <v>0</v>
      </c>
      <c r="GF771">
        <v>31183776</v>
      </c>
      <c r="GG771">
        <v>2</v>
      </c>
      <c r="GH771">
        <v>1</v>
      </c>
      <c r="GI771">
        <v>-2</v>
      </c>
      <c r="GJ771">
        <v>0</v>
      </c>
      <c r="GK771">
        <f>ROUND(R771*(R12)/100,2)</f>
        <v>23.2</v>
      </c>
      <c r="GL771">
        <f t="shared" si="719"/>
        <v>0</v>
      </c>
      <c r="GM771">
        <f t="shared" si="720"/>
        <v>489.3</v>
      </c>
      <c r="GN771">
        <f t="shared" si="721"/>
        <v>0</v>
      </c>
      <c r="GO771">
        <f t="shared" si="722"/>
        <v>0</v>
      </c>
      <c r="GP771">
        <f t="shared" si="723"/>
        <v>489.3</v>
      </c>
      <c r="GR771">
        <v>0</v>
      </c>
      <c r="GS771">
        <v>3</v>
      </c>
      <c r="GT771">
        <v>0</v>
      </c>
      <c r="GU771" t="s">
        <v>3</v>
      </c>
      <c r="GV771">
        <f t="shared" si="724"/>
        <v>0</v>
      </c>
      <c r="GW771">
        <v>1</v>
      </c>
      <c r="GX771">
        <f t="shared" si="725"/>
        <v>0</v>
      </c>
      <c r="HA771">
        <v>0</v>
      </c>
      <c r="HB771">
        <v>0</v>
      </c>
      <c r="HC771">
        <f t="shared" si="726"/>
        <v>0</v>
      </c>
      <c r="HE771" t="s">
        <v>3</v>
      </c>
      <c r="HF771" t="s">
        <v>3</v>
      </c>
      <c r="HM771" t="s">
        <v>3</v>
      </c>
      <c r="HN771" t="s">
        <v>3</v>
      </c>
      <c r="HO771" t="s">
        <v>3</v>
      </c>
      <c r="HP771" t="s">
        <v>3</v>
      </c>
      <c r="HQ771" t="s">
        <v>3</v>
      </c>
      <c r="IK771">
        <v>0</v>
      </c>
    </row>
    <row r="772" spans="1:245" x14ac:dyDescent="0.2">
      <c r="A772">
        <v>19</v>
      </c>
      <c r="B772">
        <v>1</v>
      </c>
      <c r="F772" t="s">
        <v>3</v>
      </c>
      <c r="G772" t="s">
        <v>655</v>
      </c>
      <c r="H772" t="s">
        <v>3</v>
      </c>
      <c r="AA772">
        <v>1</v>
      </c>
      <c r="IK772">
        <v>0</v>
      </c>
    </row>
    <row r="773" spans="1:245" x14ac:dyDescent="0.2">
      <c r="A773">
        <v>17</v>
      </c>
      <c r="B773">
        <v>1</v>
      </c>
      <c r="D773">
        <f>ROW(EtalonRes!A686)</f>
        <v>686</v>
      </c>
      <c r="E773" t="s">
        <v>656</v>
      </c>
      <c r="F773" t="s">
        <v>571</v>
      </c>
      <c r="G773" t="s">
        <v>657</v>
      </c>
      <c r="H773" t="s">
        <v>20</v>
      </c>
      <c r="I773">
        <f>ROUND(1+1,9)</f>
        <v>2</v>
      </c>
      <c r="J773">
        <v>0</v>
      </c>
      <c r="K773">
        <f>ROUND(1+1,9)</f>
        <v>2</v>
      </c>
      <c r="O773">
        <f t="shared" ref="O773:O795" si="729">ROUND(CP773,2)</f>
        <v>11268.98</v>
      </c>
      <c r="P773">
        <f t="shared" ref="P773:P795" si="730">ROUND(CQ773*I773,2)</f>
        <v>154.16</v>
      </c>
      <c r="Q773">
        <f t="shared" ref="Q773:Q795" si="731">ROUND(CR773*I773,2)</f>
        <v>0</v>
      </c>
      <c r="R773">
        <f t="shared" ref="R773:R795" si="732">ROUND(CS773*I773,2)</f>
        <v>0</v>
      </c>
      <c r="S773">
        <f t="shared" ref="S773:S795" si="733">ROUND(CT773*I773,2)</f>
        <v>11114.82</v>
      </c>
      <c r="T773">
        <f t="shared" ref="T773:T795" si="734">ROUND(CU773*I773,2)</f>
        <v>0</v>
      </c>
      <c r="U773">
        <f t="shared" ref="U773:U795" si="735">CV773*I773</f>
        <v>18</v>
      </c>
      <c r="V773">
        <f t="shared" ref="V773:V795" si="736">CW773*I773</f>
        <v>0</v>
      </c>
      <c r="W773">
        <f t="shared" ref="W773:W795" si="737">ROUND(CX773*I773,2)</f>
        <v>0</v>
      </c>
      <c r="X773">
        <f t="shared" ref="X773:X795" si="738">ROUND(CY773,2)</f>
        <v>7780.37</v>
      </c>
      <c r="Y773">
        <f t="shared" ref="Y773:Y795" si="739">ROUND(CZ773,2)</f>
        <v>1111.48</v>
      </c>
      <c r="AA773">
        <v>1472506909</v>
      </c>
      <c r="AB773">
        <f t="shared" ref="AB773:AB795" si="740">ROUND((AC773+AD773+AF773),6)</f>
        <v>5634.49</v>
      </c>
      <c r="AC773">
        <f>ROUND((ES773),6)</f>
        <v>77.08</v>
      </c>
      <c r="AD773">
        <f>ROUND((((ET773)-(EU773))+AE773),6)</f>
        <v>0</v>
      </c>
      <c r="AE773">
        <f>ROUND((EU773),6)</f>
        <v>0</v>
      </c>
      <c r="AF773">
        <f>ROUND((EV773),6)</f>
        <v>5557.41</v>
      </c>
      <c r="AG773">
        <f t="shared" ref="AG773:AG795" si="741">ROUND((AP773),6)</f>
        <v>0</v>
      </c>
      <c r="AH773">
        <f>(EW773)</f>
        <v>9</v>
      </c>
      <c r="AI773">
        <f>(EX773)</f>
        <v>0</v>
      </c>
      <c r="AJ773">
        <f t="shared" ref="AJ773:AJ795" si="742">(AS773)</f>
        <v>0</v>
      </c>
      <c r="AK773">
        <v>5634.49</v>
      </c>
      <c r="AL773">
        <v>77.08</v>
      </c>
      <c r="AM773">
        <v>0</v>
      </c>
      <c r="AN773">
        <v>0</v>
      </c>
      <c r="AO773">
        <v>5557.41</v>
      </c>
      <c r="AP773">
        <v>0</v>
      </c>
      <c r="AQ773">
        <v>9</v>
      </c>
      <c r="AR773">
        <v>0</v>
      </c>
      <c r="AS773">
        <v>0</v>
      </c>
      <c r="AT773">
        <v>70</v>
      </c>
      <c r="AU773">
        <v>10</v>
      </c>
      <c r="AV773">
        <v>1</v>
      </c>
      <c r="AW773">
        <v>1</v>
      </c>
      <c r="AZ773">
        <v>1</v>
      </c>
      <c r="BA773">
        <v>1</v>
      </c>
      <c r="BB773">
        <v>1</v>
      </c>
      <c r="BC773">
        <v>1</v>
      </c>
      <c r="BD773" t="s">
        <v>3</v>
      </c>
      <c r="BE773" t="s">
        <v>3</v>
      </c>
      <c r="BF773" t="s">
        <v>3</v>
      </c>
      <c r="BG773" t="s">
        <v>3</v>
      </c>
      <c r="BH773">
        <v>0</v>
      </c>
      <c r="BI773">
        <v>4</v>
      </c>
      <c r="BJ773" t="s">
        <v>573</v>
      </c>
      <c r="BM773">
        <v>0</v>
      </c>
      <c r="BN773">
        <v>0</v>
      </c>
      <c r="BO773" t="s">
        <v>3</v>
      </c>
      <c r="BP773">
        <v>0</v>
      </c>
      <c r="BQ773">
        <v>1</v>
      </c>
      <c r="BR773">
        <v>0</v>
      </c>
      <c r="BS773">
        <v>1</v>
      </c>
      <c r="BT773">
        <v>1</v>
      </c>
      <c r="BU773">
        <v>1</v>
      </c>
      <c r="BV773">
        <v>1</v>
      </c>
      <c r="BW773">
        <v>1</v>
      </c>
      <c r="BX773">
        <v>1</v>
      </c>
      <c r="BY773" t="s">
        <v>3</v>
      </c>
      <c r="BZ773">
        <v>70</v>
      </c>
      <c r="CA773">
        <v>10</v>
      </c>
      <c r="CB773" t="s">
        <v>3</v>
      </c>
      <c r="CE773">
        <v>0</v>
      </c>
      <c r="CF773">
        <v>0</v>
      </c>
      <c r="CG773">
        <v>0</v>
      </c>
      <c r="CM773">
        <v>0</v>
      </c>
      <c r="CN773" t="s">
        <v>3</v>
      </c>
      <c r="CO773">
        <v>0</v>
      </c>
      <c r="CP773">
        <f t="shared" ref="CP773:CP795" si="743">(P773+Q773+S773)</f>
        <v>11268.98</v>
      </c>
      <c r="CQ773">
        <f t="shared" ref="CQ773:CQ795" si="744">(AC773*BC773*AW773)</f>
        <v>77.08</v>
      </c>
      <c r="CR773">
        <f>((((ET773)*BB773-(EU773)*BS773)+AE773*BS773)*AV773)</f>
        <v>0</v>
      </c>
      <c r="CS773">
        <f t="shared" ref="CS773:CS795" si="745">(AE773*BS773*AV773)</f>
        <v>0</v>
      </c>
      <c r="CT773">
        <f t="shared" ref="CT773:CT795" si="746">(AF773*BA773*AV773)</f>
        <v>5557.41</v>
      </c>
      <c r="CU773">
        <f t="shared" ref="CU773:CU795" si="747">AG773</f>
        <v>0</v>
      </c>
      <c r="CV773">
        <f t="shared" ref="CV773:CV795" si="748">(AH773*AV773)</f>
        <v>9</v>
      </c>
      <c r="CW773">
        <f t="shared" ref="CW773:CW795" si="749">AI773</f>
        <v>0</v>
      </c>
      <c r="CX773">
        <f t="shared" ref="CX773:CX795" si="750">AJ773</f>
        <v>0</v>
      </c>
      <c r="CY773">
        <f t="shared" ref="CY773:CY795" si="751">((S773*BZ773)/100)</f>
        <v>7780.3739999999998</v>
      </c>
      <c r="CZ773">
        <f t="shared" ref="CZ773:CZ795" si="752">((S773*CA773)/100)</f>
        <v>1111.482</v>
      </c>
      <c r="DC773" t="s">
        <v>3</v>
      </c>
      <c r="DD773" t="s">
        <v>3</v>
      </c>
      <c r="DE773" t="s">
        <v>3</v>
      </c>
      <c r="DF773" t="s">
        <v>3</v>
      </c>
      <c r="DG773" t="s">
        <v>3</v>
      </c>
      <c r="DH773" t="s">
        <v>3</v>
      </c>
      <c r="DI773" t="s">
        <v>3</v>
      </c>
      <c r="DJ773" t="s">
        <v>3</v>
      </c>
      <c r="DK773" t="s">
        <v>3</v>
      </c>
      <c r="DL773" t="s">
        <v>3</v>
      </c>
      <c r="DM773" t="s">
        <v>3</v>
      </c>
      <c r="DN773">
        <v>0</v>
      </c>
      <c r="DO773">
        <v>0</v>
      </c>
      <c r="DP773">
        <v>1</v>
      </c>
      <c r="DQ773">
        <v>1</v>
      </c>
      <c r="DU773">
        <v>16987630</v>
      </c>
      <c r="DV773" t="s">
        <v>20</v>
      </c>
      <c r="DW773" t="s">
        <v>20</v>
      </c>
      <c r="DX773">
        <v>1</v>
      </c>
      <c r="DZ773" t="s">
        <v>3</v>
      </c>
      <c r="EA773" t="s">
        <v>3</v>
      </c>
      <c r="EB773" t="s">
        <v>3</v>
      </c>
      <c r="EC773" t="s">
        <v>3</v>
      </c>
      <c r="EE773">
        <v>1441815344</v>
      </c>
      <c r="EF773">
        <v>1</v>
      </c>
      <c r="EG773" t="s">
        <v>22</v>
      </c>
      <c r="EH773">
        <v>0</v>
      </c>
      <c r="EI773" t="s">
        <v>3</v>
      </c>
      <c r="EJ773">
        <v>4</v>
      </c>
      <c r="EK773">
        <v>0</v>
      </c>
      <c r="EL773" t="s">
        <v>23</v>
      </c>
      <c r="EM773" t="s">
        <v>24</v>
      </c>
      <c r="EO773" t="s">
        <v>3</v>
      </c>
      <c r="EQ773">
        <v>0</v>
      </c>
      <c r="ER773">
        <v>5634.49</v>
      </c>
      <c r="ES773">
        <v>77.08</v>
      </c>
      <c r="ET773">
        <v>0</v>
      </c>
      <c r="EU773">
        <v>0</v>
      </c>
      <c r="EV773">
        <v>5557.41</v>
      </c>
      <c r="EW773">
        <v>9</v>
      </c>
      <c r="EX773">
        <v>0</v>
      </c>
      <c r="EY773">
        <v>0</v>
      </c>
      <c r="FQ773">
        <v>0</v>
      </c>
      <c r="FR773">
        <f t="shared" ref="FR773:FR795" si="753">ROUND(IF(BI773=3,GM773,0),2)</f>
        <v>0</v>
      </c>
      <c r="FS773">
        <v>0</v>
      </c>
      <c r="FX773">
        <v>70</v>
      </c>
      <c r="FY773">
        <v>10</v>
      </c>
      <c r="GA773" t="s">
        <v>3</v>
      </c>
      <c r="GD773">
        <v>0</v>
      </c>
      <c r="GF773">
        <v>1801979843</v>
      </c>
      <c r="GG773">
        <v>2</v>
      </c>
      <c r="GH773">
        <v>1</v>
      </c>
      <c r="GI773">
        <v>-2</v>
      </c>
      <c r="GJ773">
        <v>0</v>
      </c>
      <c r="GK773">
        <f>ROUND(R773*(R12)/100,2)</f>
        <v>0</v>
      </c>
      <c r="GL773">
        <f t="shared" ref="GL773:GL795" si="754">ROUND(IF(AND(BH773=3,BI773=3,FS773&lt;&gt;0),P773,0),2)</f>
        <v>0</v>
      </c>
      <c r="GM773">
        <f t="shared" ref="GM773:GM795" si="755">ROUND(O773+X773+Y773+GK773,2)+GX773</f>
        <v>20160.830000000002</v>
      </c>
      <c r="GN773">
        <f t="shared" ref="GN773:GN795" si="756">IF(OR(BI773=0,BI773=1),GM773-GX773,0)</f>
        <v>0</v>
      </c>
      <c r="GO773">
        <f t="shared" ref="GO773:GO795" si="757">IF(BI773=2,GM773-GX773,0)</f>
        <v>0</v>
      </c>
      <c r="GP773">
        <f t="shared" ref="GP773:GP795" si="758">IF(BI773=4,GM773-GX773,0)</f>
        <v>20160.830000000002</v>
      </c>
      <c r="GR773">
        <v>0</v>
      </c>
      <c r="GS773">
        <v>3</v>
      </c>
      <c r="GT773">
        <v>0</v>
      </c>
      <c r="GU773" t="s">
        <v>3</v>
      </c>
      <c r="GV773">
        <f t="shared" ref="GV773:GV795" si="759">ROUND((GT773),6)</f>
        <v>0</v>
      </c>
      <c r="GW773">
        <v>1</v>
      </c>
      <c r="GX773">
        <f t="shared" ref="GX773:GX795" si="760">ROUND(HC773*I773,2)</f>
        <v>0</v>
      </c>
      <c r="HA773">
        <v>0</v>
      </c>
      <c r="HB773">
        <v>0</v>
      </c>
      <c r="HC773">
        <f t="shared" ref="HC773:HC795" si="761">GV773*GW773</f>
        <v>0</v>
      </c>
      <c r="HE773" t="s">
        <v>3</v>
      </c>
      <c r="HF773" t="s">
        <v>3</v>
      </c>
      <c r="HM773" t="s">
        <v>3</v>
      </c>
      <c r="HN773" t="s">
        <v>3</v>
      </c>
      <c r="HO773" t="s">
        <v>3</v>
      </c>
      <c r="HP773" t="s">
        <v>3</v>
      </c>
      <c r="HQ773" t="s">
        <v>3</v>
      </c>
      <c r="IK773">
        <v>0</v>
      </c>
    </row>
    <row r="774" spans="1:245" x14ac:dyDescent="0.2">
      <c r="A774">
        <v>17</v>
      </c>
      <c r="B774">
        <v>1</v>
      </c>
      <c r="D774">
        <f>ROW(EtalonRes!A689)</f>
        <v>689</v>
      </c>
      <c r="E774" t="s">
        <v>3</v>
      </c>
      <c r="F774" t="s">
        <v>574</v>
      </c>
      <c r="G774" t="s">
        <v>575</v>
      </c>
      <c r="H774" t="s">
        <v>20</v>
      </c>
      <c r="I774">
        <f>ROUND(1+1,9)</f>
        <v>2</v>
      </c>
      <c r="J774">
        <v>0</v>
      </c>
      <c r="K774">
        <f>ROUND(1+1,9)</f>
        <v>2</v>
      </c>
      <c r="O774">
        <f t="shared" si="729"/>
        <v>1114.08</v>
      </c>
      <c r="P774">
        <f t="shared" si="730"/>
        <v>2.58</v>
      </c>
      <c r="Q774">
        <f t="shared" si="731"/>
        <v>0</v>
      </c>
      <c r="R774">
        <f t="shared" si="732"/>
        <v>0</v>
      </c>
      <c r="S774">
        <f t="shared" si="733"/>
        <v>1111.5</v>
      </c>
      <c r="T774">
        <f t="shared" si="734"/>
        <v>0</v>
      </c>
      <c r="U774">
        <f t="shared" si="735"/>
        <v>1.7999999999999998</v>
      </c>
      <c r="V774">
        <f t="shared" si="736"/>
        <v>0</v>
      </c>
      <c r="W774">
        <f t="shared" si="737"/>
        <v>0</v>
      </c>
      <c r="X774">
        <f t="shared" si="738"/>
        <v>778.05</v>
      </c>
      <c r="Y774">
        <f t="shared" si="739"/>
        <v>111.15</v>
      </c>
      <c r="AA774">
        <v>-1</v>
      </c>
      <c r="AB774">
        <f t="shared" si="740"/>
        <v>557.04</v>
      </c>
      <c r="AC774">
        <f>ROUND(((ES774*3)),6)</f>
        <v>1.29</v>
      </c>
      <c r="AD774">
        <f>ROUND(((((ET774*3))-((EU774*3)))+AE774),6)</f>
        <v>0</v>
      </c>
      <c r="AE774">
        <f>ROUND(((EU774*3)),6)</f>
        <v>0</v>
      </c>
      <c r="AF774">
        <f>ROUND(((EV774*3)),6)</f>
        <v>555.75</v>
      </c>
      <c r="AG774">
        <f t="shared" si="741"/>
        <v>0</v>
      </c>
      <c r="AH774">
        <f>((EW774*3))</f>
        <v>0.89999999999999991</v>
      </c>
      <c r="AI774">
        <f>((EX774*3))</f>
        <v>0</v>
      </c>
      <c r="AJ774">
        <f t="shared" si="742"/>
        <v>0</v>
      </c>
      <c r="AK774">
        <v>185.68</v>
      </c>
      <c r="AL774">
        <v>0.43</v>
      </c>
      <c r="AM774">
        <v>0</v>
      </c>
      <c r="AN774">
        <v>0</v>
      </c>
      <c r="AO774">
        <v>185.25</v>
      </c>
      <c r="AP774">
        <v>0</v>
      </c>
      <c r="AQ774">
        <v>0.3</v>
      </c>
      <c r="AR774">
        <v>0</v>
      </c>
      <c r="AS774">
        <v>0</v>
      </c>
      <c r="AT774">
        <v>70</v>
      </c>
      <c r="AU774">
        <v>10</v>
      </c>
      <c r="AV774">
        <v>1</v>
      </c>
      <c r="AW774">
        <v>1</v>
      </c>
      <c r="AZ774">
        <v>1</v>
      </c>
      <c r="BA774">
        <v>1</v>
      </c>
      <c r="BB774">
        <v>1</v>
      </c>
      <c r="BC774">
        <v>1</v>
      </c>
      <c r="BD774" t="s">
        <v>3</v>
      </c>
      <c r="BE774" t="s">
        <v>3</v>
      </c>
      <c r="BF774" t="s">
        <v>3</v>
      </c>
      <c r="BG774" t="s">
        <v>3</v>
      </c>
      <c r="BH774">
        <v>0</v>
      </c>
      <c r="BI774">
        <v>4</v>
      </c>
      <c r="BJ774" t="s">
        <v>576</v>
      </c>
      <c r="BM774">
        <v>0</v>
      </c>
      <c r="BN774">
        <v>0</v>
      </c>
      <c r="BO774" t="s">
        <v>3</v>
      </c>
      <c r="BP774">
        <v>0</v>
      </c>
      <c r="BQ774">
        <v>1</v>
      </c>
      <c r="BR774">
        <v>0</v>
      </c>
      <c r="BS774">
        <v>1</v>
      </c>
      <c r="BT774">
        <v>1</v>
      </c>
      <c r="BU774">
        <v>1</v>
      </c>
      <c r="BV774">
        <v>1</v>
      </c>
      <c r="BW774">
        <v>1</v>
      </c>
      <c r="BX774">
        <v>1</v>
      </c>
      <c r="BY774" t="s">
        <v>3</v>
      </c>
      <c r="BZ774">
        <v>70</v>
      </c>
      <c r="CA774">
        <v>10</v>
      </c>
      <c r="CB774" t="s">
        <v>3</v>
      </c>
      <c r="CE774">
        <v>0</v>
      </c>
      <c r="CF774">
        <v>0</v>
      </c>
      <c r="CG774">
        <v>0</v>
      </c>
      <c r="CM774">
        <v>0</v>
      </c>
      <c r="CN774" t="s">
        <v>3</v>
      </c>
      <c r="CO774">
        <v>0</v>
      </c>
      <c r="CP774">
        <f t="shared" si="743"/>
        <v>1114.08</v>
      </c>
      <c r="CQ774">
        <f t="shared" si="744"/>
        <v>1.29</v>
      </c>
      <c r="CR774">
        <f>(((((ET774*3))*BB774-((EU774*3))*BS774)+AE774*BS774)*AV774)</f>
        <v>0</v>
      </c>
      <c r="CS774">
        <f t="shared" si="745"/>
        <v>0</v>
      </c>
      <c r="CT774">
        <f t="shared" si="746"/>
        <v>555.75</v>
      </c>
      <c r="CU774">
        <f t="shared" si="747"/>
        <v>0</v>
      </c>
      <c r="CV774">
        <f t="shared" si="748"/>
        <v>0.89999999999999991</v>
      </c>
      <c r="CW774">
        <f t="shared" si="749"/>
        <v>0</v>
      </c>
      <c r="CX774">
        <f t="shared" si="750"/>
        <v>0</v>
      </c>
      <c r="CY774">
        <f t="shared" si="751"/>
        <v>778.05</v>
      </c>
      <c r="CZ774">
        <f t="shared" si="752"/>
        <v>111.15</v>
      </c>
      <c r="DC774" t="s">
        <v>3</v>
      </c>
      <c r="DD774" t="s">
        <v>577</v>
      </c>
      <c r="DE774" t="s">
        <v>577</v>
      </c>
      <c r="DF774" t="s">
        <v>577</v>
      </c>
      <c r="DG774" t="s">
        <v>577</v>
      </c>
      <c r="DH774" t="s">
        <v>3</v>
      </c>
      <c r="DI774" t="s">
        <v>577</v>
      </c>
      <c r="DJ774" t="s">
        <v>577</v>
      </c>
      <c r="DK774" t="s">
        <v>3</v>
      </c>
      <c r="DL774" t="s">
        <v>3</v>
      </c>
      <c r="DM774" t="s">
        <v>3</v>
      </c>
      <c r="DN774">
        <v>0</v>
      </c>
      <c r="DO774">
        <v>0</v>
      </c>
      <c r="DP774">
        <v>1</v>
      </c>
      <c r="DQ774">
        <v>1</v>
      </c>
      <c r="DU774">
        <v>16987630</v>
      </c>
      <c r="DV774" t="s">
        <v>20</v>
      </c>
      <c r="DW774" t="s">
        <v>20</v>
      </c>
      <c r="DX774">
        <v>1</v>
      </c>
      <c r="DZ774" t="s">
        <v>3</v>
      </c>
      <c r="EA774" t="s">
        <v>3</v>
      </c>
      <c r="EB774" t="s">
        <v>3</v>
      </c>
      <c r="EC774" t="s">
        <v>3</v>
      </c>
      <c r="EE774">
        <v>1441815344</v>
      </c>
      <c r="EF774">
        <v>1</v>
      </c>
      <c r="EG774" t="s">
        <v>22</v>
      </c>
      <c r="EH774">
        <v>0</v>
      </c>
      <c r="EI774" t="s">
        <v>3</v>
      </c>
      <c r="EJ774">
        <v>4</v>
      </c>
      <c r="EK774">
        <v>0</v>
      </c>
      <c r="EL774" t="s">
        <v>23</v>
      </c>
      <c r="EM774" t="s">
        <v>24</v>
      </c>
      <c r="EO774" t="s">
        <v>3</v>
      </c>
      <c r="EQ774">
        <v>1024</v>
      </c>
      <c r="ER774">
        <v>185.68</v>
      </c>
      <c r="ES774">
        <v>0.43</v>
      </c>
      <c r="ET774">
        <v>0</v>
      </c>
      <c r="EU774">
        <v>0</v>
      </c>
      <c r="EV774">
        <v>185.25</v>
      </c>
      <c r="EW774">
        <v>0.3</v>
      </c>
      <c r="EX774">
        <v>0</v>
      </c>
      <c r="EY774">
        <v>0</v>
      </c>
      <c r="FQ774">
        <v>0</v>
      </c>
      <c r="FR774">
        <f t="shared" si="753"/>
        <v>0</v>
      </c>
      <c r="FS774">
        <v>0</v>
      </c>
      <c r="FX774">
        <v>70</v>
      </c>
      <c r="FY774">
        <v>10</v>
      </c>
      <c r="GA774" t="s">
        <v>3</v>
      </c>
      <c r="GD774">
        <v>0</v>
      </c>
      <c r="GF774">
        <v>-886302342</v>
      </c>
      <c r="GG774">
        <v>2</v>
      </c>
      <c r="GH774">
        <v>1</v>
      </c>
      <c r="GI774">
        <v>-2</v>
      </c>
      <c r="GJ774">
        <v>0</v>
      </c>
      <c r="GK774">
        <f>ROUND(R774*(R12)/100,2)</f>
        <v>0</v>
      </c>
      <c r="GL774">
        <f t="shared" si="754"/>
        <v>0</v>
      </c>
      <c r="GM774">
        <f t="shared" si="755"/>
        <v>2003.28</v>
      </c>
      <c r="GN774">
        <f t="shared" si="756"/>
        <v>0</v>
      </c>
      <c r="GO774">
        <f t="shared" si="757"/>
        <v>0</v>
      </c>
      <c r="GP774">
        <f t="shared" si="758"/>
        <v>2003.28</v>
      </c>
      <c r="GR774">
        <v>0</v>
      </c>
      <c r="GS774">
        <v>3</v>
      </c>
      <c r="GT774">
        <v>0</v>
      </c>
      <c r="GU774" t="s">
        <v>3</v>
      </c>
      <c r="GV774">
        <f t="shared" si="759"/>
        <v>0</v>
      </c>
      <c r="GW774">
        <v>1</v>
      </c>
      <c r="GX774">
        <f t="shared" si="760"/>
        <v>0</v>
      </c>
      <c r="HA774">
        <v>0</v>
      </c>
      <c r="HB774">
        <v>0</v>
      </c>
      <c r="HC774">
        <f t="shared" si="761"/>
        <v>0</v>
      </c>
      <c r="HE774" t="s">
        <v>3</v>
      </c>
      <c r="HF774" t="s">
        <v>3</v>
      </c>
      <c r="HM774" t="s">
        <v>3</v>
      </c>
      <c r="HN774" t="s">
        <v>3</v>
      </c>
      <c r="HO774" t="s">
        <v>3</v>
      </c>
      <c r="HP774" t="s">
        <v>3</v>
      </c>
      <c r="HQ774" t="s">
        <v>3</v>
      </c>
      <c r="IK774">
        <v>0</v>
      </c>
    </row>
    <row r="775" spans="1:245" x14ac:dyDescent="0.2">
      <c r="A775">
        <v>17</v>
      </c>
      <c r="B775">
        <v>1</v>
      </c>
      <c r="D775">
        <f>ROW(EtalonRes!A692)</f>
        <v>692</v>
      </c>
      <c r="E775" t="s">
        <v>3</v>
      </c>
      <c r="F775" t="s">
        <v>578</v>
      </c>
      <c r="G775" t="s">
        <v>579</v>
      </c>
      <c r="H775" t="s">
        <v>20</v>
      </c>
      <c r="I775">
        <f>ROUND(6+6,9)</f>
        <v>12</v>
      </c>
      <c r="J775">
        <v>0</v>
      </c>
      <c r="K775">
        <f>ROUND(6+6,9)</f>
        <v>12</v>
      </c>
      <c r="O775">
        <f t="shared" si="729"/>
        <v>13902.36</v>
      </c>
      <c r="P775">
        <f t="shared" si="730"/>
        <v>21.36</v>
      </c>
      <c r="Q775">
        <f t="shared" si="731"/>
        <v>0</v>
      </c>
      <c r="R775">
        <f t="shared" si="732"/>
        <v>0</v>
      </c>
      <c r="S775">
        <f t="shared" si="733"/>
        <v>13881</v>
      </c>
      <c r="T775">
        <f t="shared" si="734"/>
        <v>0</v>
      </c>
      <c r="U775">
        <f t="shared" si="735"/>
        <v>19.559999999999999</v>
      </c>
      <c r="V775">
        <f t="shared" si="736"/>
        <v>0</v>
      </c>
      <c r="W775">
        <f t="shared" si="737"/>
        <v>0</v>
      </c>
      <c r="X775">
        <f t="shared" si="738"/>
        <v>9716.7000000000007</v>
      </c>
      <c r="Y775">
        <f t="shared" si="739"/>
        <v>1388.1</v>
      </c>
      <c r="AA775">
        <v>-1</v>
      </c>
      <c r="AB775">
        <f t="shared" si="740"/>
        <v>1158.53</v>
      </c>
      <c r="AC775">
        <f>ROUND((ES775),6)</f>
        <v>1.78</v>
      </c>
      <c r="AD775">
        <f>ROUND((((ET775)-(EU775))+AE775),6)</f>
        <v>0</v>
      </c>
      <c r="AE775">
        <f>ROUND((EU775),6)</f>
        <v>0</v>
      </c>
      <c r="AF775">
        <f>ROUND((EV775),6)</f>
        <v>1156.75</v>
      </c>
      <c r="AG775">
        <f t="shared" si="741"/>
        <v>0</v>
      </c>
      <c r="AH775">
        <f>(EW775)</f>
        <v>1.63</v>
      </c>
      <c r="AI775">
        <f>(EX775)</f>
        <v>0</v>
      </c>
      <c r="AJ775">
        <f t="shared" si="742"/>
        <v>0</v>
      </c>
      <c r="AK775">
        <v>1158.53</v>
      </c>
      <c r="AL775">
        <v>1.78</v>
      </c>
      <c r="AM775">
        <v>0</v>
      </c>
      <c r="AN775">
        <v>0</v>
      </c>
      <c r="AO775">
        <v>1156.75</v>
      </c>
      <c r="AP775">
        <v>0</v>
      </c>
      <c r="AQ775">
        <v>1.63</v>
      </c>
      <c r="AR775">
        <v>0</v>
      </c>
      <c r="AS775">
        <v>0</v>
      </c>
      <c r="AT775">
        <v>70</v>
      </c>
      <c r="AU775">
        <v>10</v>
      </c>
      <c r="AV775">
        <v>1</v>
      </c>
      <c r="AW775">
        <v>1</v>
      </c>
      <c r="AZ775">
        <v>1</v>
      </c>
      <c r="BA775">
        <v>1</v>
      </c>
      <c r="BB775">
        <v>1</v>
      </c>
      <c r="BC775">
        <v>1</v>
      </c>
      <c r="BD775" t="s">
        <v>3</v>
      </c>
      <c r="BE775" t="s">
        <v>3</v>
      </c>
      <c r="BF775" t="s">
        <v>3</v>
      </c>
      <c r="BG775" t="s">
        <v>3</v>
      </c>
      <c r="BH775">
        <v>0</v>
      </c>
      <c r="BI775">
        <v>4</v>
      </c>
      <c r="BJ775" t="s">
        <v>580</v>
      </c>
      <c r="BM775">
        <v>0</v>
      </c>
      <c r="BN775">
        <v>0</v>
      </c>
      <c r="BO775" t="s">
        <v>3</v>
      </c>
      <c r="BP775">
        <v>0</v>
      </c>
      <c r="BQ775">
        <v>1</v>
      </c>
      <c r="BR775">
        <v>0</v>
      </c>
      <c r="BS775">
        <v>1</v>
      </c>
      <c r="BT775">
        <v>1</v>
      </c>
      <c r="BU775">
        <v>1</v>
      </c>
      <c r="BV775">
        <v>1</v>
      </c>
      <c r="BW775">
        <v>1</v>
      </c>
      <c r="BX775">
        <v>1</v>
      </c>
      <c r="BY775" t="s">
        <v>3</v>
      </c>
      <c r="BZ775">
        <v>70</v>
      </c>
      <c r="CA775">
        <v>10</v>
      </c>
      <c r="CB775" t="s">
        <v>3</v>
      </c>
      <c r="CE775">
        <v>0</v>
      </c>
      <c r="CF775">
        <v>0</v>
      </c>
      <c r="CG775">
        <v>0</v>
      </c>
      <c r="CM775">
        <v>0</v>
      </c>
      <c r="CN775" t="s">
        <v>3</v>
      </c>
      <c r="CO775">
        <v>0</v>
      </c>
      <c r="CP775">
        <f t="shared" si="743"/>
        <v>13902.36</v>
      </c>
      <c r="CQ775">
        <f t="shared" si="744"/>
        <v>1.78</v>
      </c>
      <c r="CR775">
        <f>((((ET775)*BB775-(EU775)*BS775)+AE775*BS775)*AV775)</f>
        <v>0</v>
      </c>
      <c r="CS775">
        <f t="shared" si="745"/>
        <v>0</v>
      </c>
      <c r="CT775">
        <f t="shared" si="746"/>
        <v>1156.75</v>
      </c>
      <c r="CU775">
        <f t="shared" si="747"/>
        <v>0</v>
      </c>
      <c r="CV775">
        <f t="shared" si="748"/>
        <v>1.63</v>
      </c>
      <c r="CW775">
        <f t="shared" si="749"/>
        <v>0</v>
      </c>
      <c r="CX775">
        <f t="shared" si="750"/>
        <v>0</v>
      </c>
      <c r="CY775">
        <f t="shared" si="751"/>
        <v>9716.7000000000007</v>
      </c>
      <c r="CZ775">
        <f t="shared" si="752"/>
        <v>1388.1</v>
      </c>
      <c r="DC775" t="s">
        <v>3</v>
      </c>
      <c r="DD775" t="s">
        <v>3</v>
      </c>
      <c r="DE775" t="s">
        <v>3</v>
      </c>
      <c r="DF775" t="s">
        <v>3</v>
      </c>
      <c r="DG775" t="s">
        <v>3</v>
      </c>
      <c r="DH775" t="s">
        <v>3</v>
      </c>
      <c r="DI775" t="s">
        <v>3</v>
      </c>
      <c r="DJ775" t="s">
        <v>3</v>
      </c>
      <c r="DK775" t="s">
        <v>3</v>
      </c>
      <c r="DL775" t="s">
        <v>3</v>
      </c>
      <c r="DM775" t="s">
        <v>3</v>
      </c>
      <c r="DN775">
        <v>0</v>
      </c>
      <c r="DO775">
        <v>0</v>
      </c>
      <c r="DP775">
        <v>1</v>
      </c>
      <c r="DQ775">
        <v>1</v>
      </c>
      <c r="DU775">
        <v>16987630</v>
      </c>
      <c r="DV775" t="s">
        <v>20</v>
      </c>
      <c r="DW775" t="s">
        <v>20</v>
      </c>
      <c r="DX775">
        <v>1</v>
      </c>
      <c r="DZ775" t="s">
        <v>3</v>
      </c>
      <c r="EA775" t="s">
        <v>3</v>
      </c>
      <c r="EB775" t="s">
        <v>3</v>
      </c>
      <c r="EC775" t="s">
        <v>3</v>
      </c>
      <c r="EE775">
        <v>1441815344</v>
      </c>
      <c r="EF775">
        <v>1</v>
      </c>
      <c r="EG775" t="s">
        <v>22</v>
      </c>
      <c r="EH775">
        <v>0</v>
      </c>
      <c r="EI775" t="s">
        <v>3</v>
      </c>
      <c r="EJ775">
        <v>4</v>
      </c>
      <c r="EK775">
        <v>0</v>
      </c>
      <c r="EL775" t="s">
        <v>23</v>
      </c>
      <c r="EM775" t="s">
        <v>24</v>
      </c>
      <c r="EO775" t="s">
        <v>3</v>
      </c>
      <c r="EQ775">
        <v>1311744</v>
      </c>
      <c r="ER775">
        <v>1158.53</v>
      </c>
      <c r="ES775">
        <v>1.78</v>
      </c>
      <c r="ET775">
        <v>0</v>
      </c>
      <c r="EU775">
        <v>0</v>
      </c>
      <c r="EV775">
        <v>1156.75</v>
      </c>
      <c r="EW775">
        <v>1.63</v>
      </c>
      <c r="EX775">
        <v>0</v>
      </c>
      <c r="EY775">
        <v>0</v>
      </c>
      <c r="FQ775">
        <v>0</v>
      </c>
      <c r="FR775">
        <f t="shared" si="753"/>
        <v>0</v>
      </c>
      <c r="FS775">
        <v>0</v>
      </c>
      <c r="FX775">
        <v>70</v>
      </c>
      <c r="FY775">
        <v>10</v>
      </c>
      <c r="GA775" t="s">
        <v>3</v>
      </c>
      <c r="GD775">
        <v>0</v>
      </c>
      <c r="GF775">
        <v>1177730177</v>
      </c>
      <c r="GG775">
        <v>2</v>
      </c>
      <c r="GH775">
        <v>1</v>
      </c>
      <c r="GI775">
        <v>-2</v>
      </c>
      <c r="GJ775">
        <v>0</v>
      </c>
      <c r="GK775">
        <f>ROUND(R775*(R12)/100,2)</f>
        <v>0</v>
      </c>
      <c r="GL775">
        <f t="shared" si="754"/>
        <v>0</v>
      </c>
      <c r="GM775">
        <f t="shared" si="755"/>
        <v>25007.16</v>
      </c>
      <c r="GN775">
        <f t="shared" si="756"/>
        <v>0</v>
      </c>
      <c r="GO775">
        <f t="shared" si="757"/>
        <v>0</v>
      </c>
      <c r="GP775">
        <f t="shared" si="758"/>
        <v>25007.16</v>
      </c>
      <c r="GR775">
        <v>0</v>
      </c>
      <c r="GS775">
        <v>3</v>
      </c>
      <c r="GT775">
        <v>0</v>
      </c>
      <c r="GU775" t="s">
        <v>3</v>
      </c>
      <c r="GV775">
        <f t="shared" si="759"/>
        <v>0</v>
      </c>
      <c r="GW775">
        <v>1</v>
      </c>
      <c r="GX775">
        <f t="shared" si="760"/>
        <v>0</v>
      </c>
      <c r="HA775">
        <v>0</v>
      </c>
      <c r="HB775">
        <v>0</v>
      </c>
      <c r="HC775">
        <f t="shared" si="761"/>
        <v>0</v>
      </c>
      <c r="HE775" t="s">
        <v>3</v>
      </c>
      <c r="HF775" t="s">
        <v>3</v>
      </c>
      <c r="HM775" t="s">
        <v>3</v>
      </c>
      <c r="HN775" t="s">
        <v>3</v>
      </c>
      <c r="HO775" t="s">
        <v>3</v>
      </c>
      <c r="HP775" t="s">
        <v>3</v>
      </c>
      <c r="HQ775" t="s">
        <v>3</v>
      </c>
      <c r="IK775">
        <v>0</v>
      </c>
    </row>
    <row r="776" spans="1:245" x14ac:dyDescent="0.2">
      <c r="A776">
        <v>17</v>
      </c>
      <c r="B776">
        <v>1</v>
      </c>
      <c r="D776">
        <f>ROW(EtalonRes!A696)</f>
        <v>696</v>
      </c>
      <c r="E776" t="s">
        <v>3</v>
      </c>
      <c r="F776" t="s">
        <v>581</v>
      </c>
      <c r="G776" t="s">
        <v>582</v>
      </c>
      <c r="H776" t="s">
        <v>20</v>
      </c>
      <c r="I776">
        <f>ROUND(6+6,9)</f>
        <v>12</v>
      </c>
      <c r="J776">
        <v>0</v>
      </c>
      <c r="K776">
        <f>ROUND(6+6,9)</f>
        <v>12</v>
      </c>
      <c r="O776">
        <f t="shared" si="729"/>
        <v>6413.76</v>
      </c>
      <c r="P776">
        <f t="shared" si="730"/>
        <v>43.2</v>
      </c>
      <c r="Q776">
        <f t="shared" si="731"/>
        <v>0</v>
      </c>
      <c r="R776">
        <f t="shared" si="732"/>
        <v>0</v>
      </c>
      <c r="S776">
        <f t="shared" si="733"/>
        <v>6370.56</v>
      </c>
      <c r="T776">
        <f t="shared" si="734"/>
        <v>0</v>
      </c>
      <c r="U776">
        <f t="shared" si="735"/>
        <v>9.6000000000000014</v>
      </c>
      <c r="V776">
        <f t="shared" si="736"/>
        <v>0</v>
      </c>
      <c r="W776">
        <f t="shared" si="737"/>
        <v>0</v>
      </c>
      <c r="X776">
        <f t="shared" si="738"/>
        <v>4459.3900000000003</v>
      </c>
      <c r="Y776">
        <f t="shared" si="739"/>
        <v>637.05999999999995</v>
      </c>
      <c r="AA776">
        <v>-1</v>
      </c>
      <c r="AB776">
        <f t="shared" si="740"/>
        <v>534.48</v>
      </c>
      <c r="AC776">
        <f>ROUND(((ES776*4)),6)</f>
        <v>3.6</v>
      </c>
      <c r="AD776">
        <f>ROUND(((((ET776*4))-((EU776*4)))+AE776),6)</f>
        <v>0</v>
      </c>
      <c r="AE776">
        <f>ROUND(((EU776*4)),6)</f>
        <v>0</v>
      </c>
      <c r="AF776">
        <f>ROUND(((EV776*4)),6)</f>
        <v>530.88</v>
      </c>
      <c r="AG776">
        <f t="shared" si="741"/>
        <v>0</v>
      </c>
      <c r="AH776">
        <f>((EW776*4))</f>
        <v>0.8</v>
      </c>
      <c r="AI776">
        <f>((EX776*4))</f>
        <v>0</v>
      </c>
      <c r="AJ776">
        <f t="shared" si="742"/>
        <v>0</v>
      </c>
      <c r="AK776">
        <v>133.62</v>
      </c>
      <c r="AL776">
        <v>0.9</v>
      </c>
      <c r="AM776">
        <v>0</v>
      </c>
      <c r="AN776">
        <v>0</v>
      </c>
      <c r="AO776">
        <v>132.72</v>
      </c>
      <c r="AP776">
        <v>0</v>
      </c>
      <c r="AQ776">
        <v>0.2</v>
      </c>
      <c r="AR776">
        <v>0</v>
      </c>
      <c r="AS776">
        <v>0</v>
      </c>
      <c r="AT776">
        <v>70</v>
      </c>
      <c r="AU776">
        <v>10</v>
      </c>
      <c r="AV776">
        <v>1</v>
      </c>
      <c r="AW776">
        <v>1</v>
      </c>
      <c r="AZ776">
        <v>1</v>
      </c>
      <c r="BA776">
        <v>1</v>
      </c>
      <c r="BB776">
        <v>1</v>
      </c>
      <c r="BC776">
        <v>1</v>
      </c>
      <c r="BD776" t="s">
        <v>3</v>
      </c>
      <c r="BE776" t="s">
        <v>3</v>
      </c>
      <c r="BF776" t="s">
        <v>3</v>
      </c>
      <c r="BG776" t="s">
        <v>3</v>
      </c>
      <c r="BH776">
        <v>0</v>
      </c>
      <c r="BI776">
        <v>4</v>
      </c>
      <c r="BJ776" t="s">
        <v>583</v>
      </c>
      <c r="BM776">
        <v>0</v>
      </c>
      <c r="BN776">
        <v>0</v>
      </c>
      <c r="BO776" t="s">
        <v>3</v>
      </c>
      <c r="BP776">
        <v>0</v>
      </c>
      <c r="BQ776">
        <v>1</v>
      </c>
      <c r="BR776">
        <v>0</v>
      </c>
      <c r="BS776">
        <v>1</v>
      </c>
      <c r="BT776">
        <v>1</v>
      </c>
      <c r="BU776">
        <v>1</v>
      </c>
      <c r="BV776">
        <v>1</v>
      </c>
      <c r="BW776">
        <v>1</v>
      </c>
      <c r="BX776">
        <v>1</v>
      </c>
      <c r="BY776" t="s">
        <v>3</v>
      </c>
      <c r="BZ776">
        <v>70</v>
      </c>
      <c r="CA776">
        <v>10</v>
      </c>
      <c r="CB776" t="s">
        <v>3</v>
      </c>
      <c r="CE776">
        <v>0</v>
      </c>
      <c r="CF776">
        <v>0</v>
      </c>
      <c r="CG776">
        <v>0</v>
      </c>
      <c r="CM776">
        <v>0</v>
      </c>
      <c r="CN776" t="s">
        <v>3</v>
      </c>
      <c r="CO776">
        <v>0</v>
      </c>
      <c r="CP776">
        <f t="shared" si="743"/>
        <v>6413.76</v>
      </c>
      <c r="CQ776">
        <f t="shared" si="744"/>
        <v>3.6</v>
      </c>
      <c r="CR776">
        <f>(((((ET776*4))*BB776-((EU776*4))*BS776)+AE776*BS776)*AV776)</f>
        <v>0</v>
      </c>
      <c r="CS776">
        <f t="shared" si="745"/>
        <v>0</v>
      </c>
      <c r="CT776">
        <f t="shared" si="746"/>
        <v>530.88</v>
      </c>
      <c r="CU776">
        <f t="shared" si="747"/>
        <v>0</v>
      </c>
      <c r="CV776">
        <f t="shared" si="748"/>
        <v>0.8</v>
      </c>
      <c r="CW776">
        <f t="shared" si="749"/>
        <v>0</v>
      </c>
      <c r="CX776">
        <f t="shared" si="750"/>
        <v>0</v>
      </c>
      <c r="CY776">
        <f t="shared" si="751"/>
        <v>4459.3919999999998</v>
      </c>
      <c r="CZ776">
        <f t="shared" si="752"/>
        <v>637.05600000000004</v>
      </c>
      <c r="DC776" t="s">
        <v>3</v>
      </c>
      <c r="DD776" t="s">
        <v>584</v>
      </c>
      <c r="DE776" t="s">
        <v>584</v>
      </c>
      <c r="DF776" t="s">
        <v>584</v>
      </c>
      <c r="DG776" t="s">
        <v>584</v>
      </c>
      <c r="DH776" t="s">
        <v>3</v>
      </c>
      <c r="DI776" t="s">
        <v>584</v>
      </c>
      <c r="DJ776" t="s">
        <v>584</v>
      </c>
      <c r="DK776" t="s">
        <v>3</v>
      </c>
      <c r="DL776" t="s">
        <v>3</v>
      </c>
      <c r="DM776" t="s">
        <v>3</v>
      </c>
      <c r="DN776">
        <v>0</v>
      </c>
      <c r="DO776">
        <v>0</v>
      </c>
      <c r="DP776">
        <v>1</v>
      </c>
      <c r="DQ776">
        <v>1</v>
      </c>
      <c r="DU776">
        <v>16987630</v>
      </c>
      <c r="DV776" t="s">
        <v>20</v>
      </c>
      <c r="DW776" t="s">
        <v>20</v>
      </c>
      <c r="DX776">
        <v>1</v>
      </c>
      <c r="DZ776" t="s">
        <v>3</v>
      </c>
      <c r="EA776" t="s">
        <v>3</v>
      </c>
      <c r="EB776" t="s">
        <v>3</v>
      </c>
      <c r="EC776" t="s">
        <v>3</v>
      </c>
      <c r="EE776">
        <v>1441815344</v>
      </c>
      <c r="EF776">
        <v>1</v>
      </c>
      <c r="EG776" t="s">
        <v>22</v>
      </c>
      <c r="EH776">
        <v>0</v>
      </c>
      <c r="EI776" t="s">
        <v>3</v>
      </c>
      <c r="EJ776">
        <v>4</v>
      </c>
      <c r="EK776">
        <v>0</v>
      </c>
      <c r="EL776" t="s">
        <v>23</v>
      </c>
      <c r="EM776" t="s">
        <v>24</v>
      </c>
      <c r="EO776" t="s">
        <v>3</v>
      </c>
      <c r="EQ776">
        <v>1024</v>
      </c>
      <c r="ER776">
        <v>133.62</v>
      </c>
      <c r="ES776">
        <v>0.9</v>
      </c>
      <c r="ET776">
        <v>0</v>
      </c>
      <c r="EU776">
        <v>0</v>
      </c>
      <c r="EV776">
        <v>132.72</v>
      </c>
      <c r="EW776">
        <v>0.2</v>
      </c>
      <c r="EX776">
        <v>0</v>
      </c>
      <c r="EY776">
        <v>0</v>
      </c>
      <c r="FQ776">
        <v>0</v>
      </c>
      <c r="FR776">
        <f t="shared" si="753"/>
        <v>0</v>
      </c>
      <c r="FS776">
        <v>0</v>
      </c>
      <c r="FX776">
        <v>70</v>
      </c>
      <c r="FY776">
        <v>10</v>
      </c>
      <c r="GA776" t="s">
        <v>3</v>
      </c>
      <c r="GD776">
        <v>0</v>
      </c>
      <c r="GF776">
        <v>-1028445436</v>
      </c>
      <c r="GG776">
        <v>2</v>
      </c>
      <c r="GH776">
        <v>1</v>
      </c>
      <c r="GI776">
        <v>-2</v>
      </c>
      <c r="GJ776">
        <v>0</v>
      </c>
      <c r="GK776">
        <f>ROUND(R776*(R12)/100,2)</f>
        <v>0</v>
      </c>
      <c r="GL776">
        <f t="shared" si="754"/>
        <v>0</v>
      </c>
      <c r="GM776">
        <f t="shared" si="755"/>
        <v>11510.21</v>
      </c>
      <c r="GN776">
        <f t="shared" si="756"/>
        <v>0</v>
      </c>
      <c r="GO776">
        <f t="shared" si="757"/>
        <v>0</v>
      </c>
      <c r="GP776">
        <f t="shared" si="758"/>
        <v>11510.21</v>
      </c>
      <c r="GR776">
        <v>0</v>
      </c>
      <c r="GS776">
        <v>3</v>
      </c>
      <c r="GT776">
        <v>0</v>
      </c>
      <c r="GU776" t="s">
        <v>3</v>
      </c>
      <c r="GV776">
        <f t="shared" si="759"/>
        <v>0</v>
      </c>
      <c r="GW776">
        <v>1</v>
      </c>
      <c r="GX776">
        <f t="shared" si="760"/>
        <v>0</v>
      </c>
      <c r="HA776">
        <v>0</v>
      </c>
      <c r="HB776">
        <v>0</v>
      </c>
      <c r="HC776">
        <f t="shared" si="761"/>
        <v>0</v>
      </c>
      <c r="HE776" t="s">
        <v>3</v>
      </c>
      <c r="HF776" t="s">
        <v>3</v>
      </c>
      <c r="HM776" t="s">
        <v>3</v>
      </c>
      <c r="HN776" t="s">
        <v>3</v>
      </c>
      <c r="HO776" t="s">
        <v>3</v>
      </c>
      <c r="HP776" t="s">
        <v>3</v>
      </c>
      <c r="HQ776" t="s">
        <v>3</v>
      </c>
      <c r="IK776">
        <v>0</v>
      </c>
    </row>
    <row r="777" spans="1:245" x14ac:dyDescent="0.2">
      <c r="A777">
        <v>17</v>
      </c>
      <c r="B777">
        <v>1</v>
      </c>
      <c r="D777">
        <f>ROW(EtalonRes!A699)</f>
        <v>699</v>
      </c>
      <c r="E777" t="s">
        <v>658</v>
      </c>
      <c r="F777" t="s">
        <v>586</v>
      </c>
      <c r="G777" t="s">
        <v>587</v>
      </c>
      <c r="H777" t="s">
        <v>20</v>
      </c>
      <c r="I777">
        <f>ROUND(1+1,9)</f>
        <v>2</v>
      </c>
      <c r="J777">
        <v>0</v>
      </c>
      <c r="K777">
        <f>ROUND(1+1,9)</f>
        <v>2</v>
      </c>
      <c r="O777">
        <f t="shared" si="729"/>
        <v>237.48</v>
      </c>
      <c r="P777">
        <f t="shared" si="730"/>
        <v>12.6</v>
      </c>
      <c r="Q777">
        <f t="shared" si="731"/>
        <v>0</v>
      </c>
      <c r="R777">
        <f t="shared" si="732"/>
        <v>0</v>
      </c>
      <c r="S777">
        <f t="shared" si="733"/>
        <v>224.88</v>
      </c>
      <c r="T777">
        <f t="shared" si="734"/>
        <v>0</v>
      </c>
      <c r="U777">
        <f t="shared" si="735"/>
        <v>0.4</v>
      </c>
      <c r="V777">
        <f t="shared" si="736"/>
        <v>0</v>
      </c>
      <c r="W777">
        <f t="shared" si="737"/>
        <v>0</v>
      </c>
      <c r="X777">
        <f t="shared" si="738"/>
        <v>157.41999999999999</v>
      </c>
      <c r="Y777">
        <f t="shared" si="739"/>
        <v>22.49</v>
      </c>
      <c r="AA777">
        <v>1472506909</v>
      </c>
      <c r="AB777">
        <f t="shared" si="740"/>
        <v>118.74</v>
      </c>
      <c r="AC777">
        <f>ROUND((ES777),6)</f>
        <v>6.3</v>
      </c>
      <c r="AD777">
        <f>ROUND((((ET777)-(EU777))+AE777),6)</f>
        <v>0</v>
      </c>
      <c r="AE777">
        <f>ROUND((EU777),6)</f>
        <v>0</v>
      </c>
      <c r="AF777">
        <f>ROUND((EV777),6)</f>
        <v>112.44</v>
      </c>
      <c r="AG777">
        <f t="shared" si="741"/>
        <v>0</v>
      </c>
      <c r="AH777">
        <f>(EW777)</f>
        <v>0.2</v>
      </c>
      <c r="AI777">
        <f>(EX777)</f>
        <v>0</v>
      </c>
      <c r="AJ777">
        <f t="shared" si="742"/>
        <v>0</v>
      </c>
      <c r="AK777">
        <v>118.74</v>
      </c>
      <c r="AL777">
        <v>6.3</v>
      </c>
      <c r="AM777">
        <v>0</v>
      </c>
      <c r="AN777">
        <v>0</v>
      </c>
      <c r="AO777">
        <v>112.44</v>
      </c>
      <c r="AP777">
        <v>0</v>
      </c>
      <c r="AQ777">
        <v>0.2</v>
      </c>
      <c r="AR777">
        <v>0</v>
      </c>
      <c r="AS777">
        <v>0</v>
      </c>
      <c r="AT777">
        <v>70</v>
      </c>
      <c r="AU777">
        <v>10</v>
      </c>
      <c r="AV777">
        <v>1</v>
      </c>
      <c r="AW777">
        <v>1</v>
      </c>
      <c r="AZ777">
        <v>1</v>
      </c>
      <c r="BA777">
        <v>1</v>
      </c>
      <c r="BB777">
        <v>1</v>
      </c>
      <c r="BC777">
        <v>1</v>
      </c>
      <c r="BD777" t="s">
        <v>3</v>
      </c>
      <c r="BE777" t="s">
        <v>3</v>
      </c>
      <c r="BF777" t="s">
        <v>3</v>
      </c>
      <c r="BG777" t="s">
        <v>3</v>
      </c>
      <c r="BH777">
        <v>0</v>
      </c>
      <c r="BI777">
        <v>4</v>
      </c>
      <c r="BJ777" t="s">
        <v>588</v>
      </c>
      <c r="BM777">
        <v>0</v>
      </c>
      <c r="BN777">
        <v>0</v>
      </c>
      <c r="BO777" t="s">
        <v>3</v>
      </c>
      <c r="BP777">
        <v>0</v>
      </c>
      <c r="BQ777">
        <v>1</v>
      </c>
      <c r="BR777">
        <v>0</v>
      </c>
      <c r="BS777">
        <v>1</v>
      </c>
      <c r="BT777">
        <v>1</v>
      </c>
      <c r="BU777">
        <v>1</v>
      </c>
      <c r="BV777">
        <v>1</v>
      </c>
      <c r="BW777">
        <v>1</v>
      </c>
      <c r="BX777">
        <v>1</v>
      </c>
      <c r="BY777" t="s">
        <v>3</v>
      </c>
      <c r="BZ777">
        <v>70</v>
      </c>
      <c r="CA777">
        <v>10</v>
      </c>
      <c r="CB777" t="s">
        <v>3</v>
      </c>
      <c r="CE777">
        <v>0</v>
      </c>
      <c r="CF777">
        <v>0</v>
      </c>
      <c r="CG777">
        <v>0</v>
      </c>
      <c r="CM777">
        <v>0</v>
      </c>
      <c r="CN777" t="s">
        <v>3</v>
      </c>
      <c r="CO777">
        <v>0</v>
      </c>
      <c r="CP777">
        <f t="shared" si="743"/>
        <v>237.48</v>
      </c>
      <c r="CQ777">
        <f t="shared" si="744"/>
        <v>6.3</v>
      </c>
      <c r="CR777">
        <f>((((ET777)*BB777-(EU777)*BS777)+AE777*BS777)*AV777)</f>
        <v>0</v>
      </c>
      <c r="CS777">
        <f t="shared" si="745"/>
        <v>0</v>
      </c>
      <c r="CT777">
        <f t="shared" si="746"/>
        <v>112.44</v>
      </c>
      <c r="CU777">
        <f t="shared" si="747"/>
        <v>0</v>
      </c>
      <c r="CV777">
        <f t="shared" si="748"/>
        <v>0.2</v>
      </c>
      <c r="CW777">
        <f t="shared" si="749"/>
        <v>0</v>
      </c>
      <c r="CX777">
        <f t="shared" si="750"/>
        <v>0</v>
      </c>
      <c r="CY777">
        <f t="shared" si="751"/>
        <v>157.416</v>
      </c>
      <c r="CZ777">
        <f t="shared" si="752"/>
        <v>22.488000000000003</v>
      </c>
      <c r="DC777" t="s">
        <v>3</v>
      </c>
      <c r="DD777" t="s">
        <v>3</v>
      </c>
      <c r="DE777" t="s">
        <v>3</v>
      </c>
      <c r="DF777" t="s">
        <v>3</v>
      </c>
      <c r="DG777" t="s">
        <v>3</v>
      </c>
      <c r="DH777" t="s">
        <v>3</v>
      </c>
      <c r="DI777" t="s">
        <v>3</v>
      </c>
      <c r="DJ777" t="s">
        <v>3</v>
      </c>
      <c r="DK777" t="s">
        <v>3</v>
      </c>
      <c r="DL777" t="s">
        <v>3</v>
      </c>
      <c r="DM777" t="s">
        <v>3</v>
      </c>
      <c r="DN777">
        <v>0</v>
      </c>
      <c r="DO777">
        <v>0</v>
      </c>
      <c r="DP777">
        <v>1</v>
      </c>
      <c r="DQ777">
        <v>1</v>
      </c>
      <c r="DU777">
        <v>16987630</v>
      </c>
      <c r="DV777" t="s">
        <v>20</v>
      </c>
      <c r="DW777" t="s">
        <v>20</v>
      </c>
      <c r="DX777">
        <v>1</v>
      </c>
      <c r="DZ777" t="s">
        <v>3</v>
      </c>
      <c r="EA777" t="s">
        <v>3</v>
      </c>
      <c r="EB777" t="s">
        <v>3</v>
      </c>
      <c r="EC777" t="s">
        <v>3</v>
      </c>
      <c r="EE777">
        <v>1441815344</v>
      </c>
      <c r="EF777">
        <v>1</v>
      </c>
      <c r="EG777" t="s">
        <v>22</v>
      </c>
      <c r="EH777">
        <v>0</v>
      </c>
      <c r="EI777" t="s">
        <v>3</v>
      </c>
      <c r="EJ777">
        <v>4</v>
      </c>
      <c r="EK777">
        <v>0</v>
      </c>
      <c r="EL777" t="s">
        <v>23</v>
      </c>
      <c r="EM777" t="s">
        <v>24</v>
      </c>
      <c r="EO777" t="s">
        <v>3</v>
      </c>
      <c r="EQ777">
        <v>0</v>
      </c>
      <c r="ER777">
        <v>118.74</v>
      </c>
      <c r="ES777">
        <v>6.3</v>
      </c>
      <c r="ET777">
        <v>0</v>
      </c>
      <c r="EU777">
        <v>0</v>
      </c>
      <c r="EV777">
        <v>112.44</v>
      </c>
      <c r="EW777">
        <v>0.2</v>
      </c>
      <c r="EX777">
        <v>0</v>
      </c>
      <c r="EY777">
        <v>0</v>
      </c>
      <c r="FQ777">
        <v>0</v>
      </c>
      <c r="FR777">
        <f t="shared" si="753"/>
        <v>0</v>
      </c>
      <c r="FS777">
        <v>0</v>
      </c>
      <c r="FX777">
        <v>70</v>
      </c>
      <c r="FY777">
        <v>10</v>
      </c>
      <c r="GA777" t="s">
        <v>3</v>
      </c>
      <c r="GD777">
        <v>0</v>
      </c>
      <c r="GF777">
        <v>-792164964</v>
      </c>
      <c r="GG777">
        <v>2</v>
      </c>
      <c r="GH777">
        <v>1</v>
      </c>
      <c r="GI777">
        <v>-2</v>
      </c>
      <c r="GJ777">
        <v>0</v>
      </c>
      <c r="GK777">
        <f>ROUND(R777*(R12)/100,2)</f>
        <v>0</v>
      </c>
      <c r="GL777">
        <f t="shared" si="754"/>
        <v>0</v>
      </c>
      <c r="GM777">
        <f t="shared" si="755"/>
        <v>417.39</v>
      </c>
      <c r="GN777">
        <f t="shared" si="756"/>
        <v>0</v>
      </c>
      <c r="GO777">
        <f t="shared" si="757"/>
        <v>0</v>
      </c>
      <c r="GP777">
        <f t="shared" si="758"/>
        <v>417.39</v>
      </c>
      <c r="GR777">
        <v>0</v>
      </c>
      <c r="GS777">
        <v>3</v>
      </c>
      <c r="GT777">
        <v>0</v>
      </c>
      <c r="GU777" t="s">
        <v>3</v>
      </c>
      <c r="GV777">
        <f t="shared" si="759"/>
        <v>0</v>
      </c>
      <c r="GW777">
        <v>1</v>
      </c>
      <c r="GX777">
        <f t="shared" si="760"/>
        <v>0</v>
      </c>
      <c r="HA777">
        <v>0</v>
      </c>
      <c r="HB777">
        <v>0</v>
      </c>
      <c r="HC777">
        <f t="shared" si="761"/>
        <v>0</v>
      </c>
      <c r="HE777" t="s">
        <v>3</v>
      </c>
      <c r="HF777" t="s">
        <v>3</v>
      </c>
      <c r="HM777" t="s">
        <v>3</v>
      </c>
      <c r="HN777" t="s">
        <v>3</v>
      </c>
      <c r="HO777" t="s">
        <v>3</v>
      </c>
      <c r="HP777" t="s">
        <v>3</v>
      </c>
      <c r="HQ777" t="s">
        <v>3</v>
      </c>
      <c r="IK777">
        <v>0</v>
      </c>
    </row>
    <row r="778" spans="1:245" x14ac:dyDescent="0.2">
      <c r="A778">
        <v>17</v>
      </c>
      <c r="B778">
        <v>1</v>
      </c>
      <c r="D778">
        <f>ROW(EtalonRes!A700)</f>
        <v>700</v>
      </c>
      <c r="E778" t="s">
        <v>3</v>
      </c>
      <c r="F778" t="s">
        <v>589</v>
      </c>
      <c r="G778" t="s">
        <v>590</v>
      </c>
      <c r="H778" t="s">
        <v>94</v>
      </c>
      <c r="I778">
        <f>ROUND(ROUND((1+1)/10,9),9)</f>
        <v>0.2</v>
      </c>
      <c r="J778">
        <v>0</v>
      </c>
      <c r="K778">
        <f>ROUND(ROUND((1+1)/10,9),9)</f>
        <v>0.2</v>
      </c>
      <c r="O778">
        <f t="shared" si="729"/>
        <v>6500.85</v>
      </c>
      <c r="P778">
        <f t="shared" si="730"/>
        <v>0</v>
      </c>
      <c r="Q778">
        <f t="shared" si="731"/>
        <v>0</v>
      </c>
      <c r="R778">
        <f t="shared" si="732"/>
        <v>0</v>
      </c>
      <c r="S778">
        <f t="shared" si="733"/>
        <v>6500.85</v>
      </c>
      <c r="T778">
        <f t="shared" si="734"/>
        <v>0</v>
      </c>
      <c r="U778">
        <f t="shared" si="735"/>
        <v>12.826000000000002</v>
      </c>
      <c r="V778">
        <f t="shared" si="736"/>
        <v>0</v>
      </c>
      <c r="W778">
        <f t="shared" si="737"/>
        <v>0</v>
      </c>
      <c r="X778">
        <f t="shared" si="738"/>
        <v>4550.6000000000004</v>
      </c>
      <c r="Y778">
        <f t="shared" si="739"/>
        <v>650.09</v>
      </c>
      <c r="AA778">
        <v>-1</v>
      </c>
      <c r="AB778">
        <f t="shared" si="740"/>
        <v>32504.23</v>
      </c>
      <c r="AC778">
        <f>ROUND(((ES778*121)),6)</f>
        <v>0</v>
      </c>
      <c r="AD778">
        <f>ROUND(((((ET778*121))-((EU778*121)))+AE778),6)</f>
        <v>0</v>
      </c>
      <c r="AE778">
        <f>ROUND(((EU778*121)),6)</f>
        <v>0</v>
      </c>
      <c r="AF778">
        <f>ROUND(((EV778*121)),6)</f>
        <v>32504.23</v>
      </c>
      <c r="AG778">
        <f t="shared" si="741"/>
        <v>0</v>
      </c>
      <c r="AH778">
        <f>((EW778*121))</f>
        <v>64.13000000000001</v>
      </c>
      <c r="AI778">
        <f>((EX778*121))</f>
        <v>0</v>
      </c>
      <c r="AJ778">
        <f t="shared" si="742"/>
        <v>0</v>
      </c>
      <c r="AK778">
        <v>268.63</v>
      </c>
      <c r="AL778">
        <v>0</v>
      </c>
      <c r="AM778">
        <v>0</v>
      </c>
      <c r="AN778">
        <v>0</v>
      </c>
      <c r="AO778">
        <v>268.63</v>
      </c>
      <c r="AP778">
        <v>0</v>
      </c>
      <c r="AQ778">
        <v>0.53</v>
      </c>
      <c r="AR778">
        <v>0</v>
      </c>
      <c r="AS778">
        <v>0</v>
      </c>
      <c r="AT778">
        <v>70</v>
      </c>
      <c r="AU778">
        <v>10</v>
      </c>
      <c r="AV778">
        <v>1</v>
      </c>
      <c r="AW778">
        <v>1</v>
      </c>
      <c r="AZ778">
        <v>1</v>
      </c>
      <c r="BA778">
        <v>1</v>
      </c>
      <c r="BB778">
        <v>1</v>
      </c>
      <c r="BC778">
        <v>1</v>
      </c>
      <c r="BD778" t="s">
        <v>3</v>
      </c>
      <c r="BE778" t="s">
        <v>3</v>
      </c>
      <c r="BF778" t="s">
        <v>3</v>
      </c>
      <c r="BG778" t="s">
        <v>3</v>
      </c>
      <c r="BH778">
        <v>0</v>
      </c>
      <c r="BI778">
        <v>4</v>
      </c>
      <c r="BJ778" t="s">
        <v>591</v>
      </c>
      <c r="BM778">
        <v>0</v>
      </c>
      <c r="BN778">
        <v>0</v>
      </c>
      <c r="BO778" t="s">
        <v>3</v>
      </c>
      <c r="BP778">
        <v>0</v>
      </c>
      <c r="BQ778">
        <v>1</v>
      </c>
      <c r="BR778">
        <v>0</v>
      </c>
      <c r="BS778">
        <v>1</v>
      </c>
      <c r="BT778">
        <v>1</v>
      </c>
      <c r="BU778">
        <v>1</v>
      </c>
      <c r="BV778">
        <v>1</v>
      </c>
      <c r="BW778">
        <v>1</v>
      </c>
      <c r="BX778">
        <v>1</v>
      </c>
      <c r="BY778" t="s">
        <v>3</v>
      </c>
      <c r="BZ778">
        <v>70</v>
      </c>
      <c r="CA778">
        <v>10</v>
      </c>
      <c r="CB778" t="s">
        <v>3</v>
      </c>
      <c r="CE778">
        <v>0</v>
      </c>
      <c r="CF778">
        <v>0</v>
      </c>
      <c r="CG778">
        <v>0</v>
      </c>
      <c r="CM778">
        <v>0</v>
      </c>
      <c r="CN778" t="s">
        <v>3</v>
      </c>
      <c r="CO778">
        <v>0</v>
      </c>
      <c r="CP778">
        <f t="shared" si="743"/>
        <v>6500.85</v>
      </c>
      <c r="CQ778">
        <f t="shared" si="744"/>
        <v>0</v>
      </c>
      <c r="CR778">
        <f>(((((ET778*121))*BB778-((EU778*121))*BS778)+AE778*BS778)*AV778)</f>
        <v>0</v>
      </c>
      <c r="CS778">
        <f t="shared" si="745"/>
        <v>0</v>
      </c>
      <c r="CT778">
        <f t="shared" si="746"/>
        <v>32504.23</v>
      </c>
      <c r="CU778">
        <f t="shared" si="747"/>
        <v>0</v>
      </c>
      <c r="CV778">
        <f t="shared" si="748"/>
        <v>64.13000000000001</v>
      </c>
      <c r="CW778">
        <f t="shared" si="749"/>
        <v>0</v>
      </c>
      <c r="CX778">
        <f t="shared" si="750"/>
        <v>0</v>
      </c>
      <c r="CY778">
        <f t="shared" si="751"/>
        <v>4550.5950000000003</v>
      </c>
      <c r="CZ778">
        <f t="shared" si="752"/>
        <v>650.08500000000004</v>
      </c>
      <c r="DC778" t="s">
        <v>3</v>
      </c>
      <c r="DD778" t="s">
        <v>592</v>
      </c>
      <c r="DE778" t="s">
        <v>592</v>
      </c>
      <c r="DF778" t="s">
        <v>592</v>
      </c>
      <c r="DG778" t="s">
        <v>592</v>
      </c>
      <c r="DH778" t="s">
        <v>3</v>
      </c>
      <c r="DI778" t="s">
        <v>592</v>
      </c>
      <c r="DJ778" t="s">
        <v>592</v>
      </c>
      <c r="DK778" t="s">
        <v>3</v>
      </c>
      <c r="DL778" t="s">
        <v>3</v>
      </c>
      <c r="DM778" t="s">
        <v>3</v>
      </c>
      <c r="DN778">
        <v>0</v>
      </c>
      <c r="DO778">
        <v>0</v>
      </c>
      <c r="DP778">
        <v>1</v>
      </c>
      <c r="DQ778">
        <v>1</v>
      </c>
      <c r="DU778">
        <v>16987630</v>
      </c>
      <c r="DV778" t="s">
        <v>94</v>
      </c>
      <c r="DW778" t="s">
        <v>94</v>
      </c>
      <c r="DX778">
        <v>10</v>
      </c>
      <c r="DZ778" t="s">
        <v>3</v>
      </c>
      <c r="EA778" t="s">
        <v>3</v>
      </c>
      <c r="EB778" t="s">
        <v>3</v>
      </c>
      <c r="EC778" t="s">
        <v>3</v>
      </c>
      <c r="EE778">
        <v>1441815344</v>
      </c>
      <c r="EF778">
        <v>1</v>
      </c>
      <c r="EG778" t="s">
        <v>22</v>
      </c>
      <c r="EH778">
        <v>0</v>
      </c>
      <c r="EI778" t="s">
        <v>3</v>
      </c>
      <c r="EJ778">
        <v>4</v>
      </c>
      <c r="EK778">
        <v>0</v>
      </c>
      <c r="EL778" t="s">
        <v>23</v>
      </c>
      <c r="EM778" t="s">
        <v>24</v>
      </c>
      <c r="EO778" t="s">
        <v>3</v>
      </c>
      <c r="EQ778">
        <v>1024</v>
      </c>
      <c r="ER778">
        <v>268.63</v>
      </c>
      <c r="ES778">
        <v>0</v>
      </c>
      <c r="ET778">
        <v>0</v>
      </c>
      <c r="EU778">
        <v>0</v>
      </c>
      <c r="EV778">
        <v>268.63</v>
      </c>
      <c r="EW778">
        <v>0.53</v>
      </c>
      <c r="EX778">
        <v>0</v>
      </c>
      <c r="EY778">
        <v>0</v>
      </c>
      <c r="FQ778">
        <v>0</v>
      </c>
      <c r="FR778">
        <f t="shared" si="753"/>
        <v>0</v>
      </c>
      <c r="FS778">
        <v>0</v>
      </c>
      <c r="FX778">
        <v>70</v>
      </c>
      <c r="FY778">
        <v>10</v>
      </c>
      <c r="GA778" t="s">
        <v>3</v>
      </c>
      <c r="GD778">
        <v>0</v>
      </c>
      <c r="GF778">
        <v>62561816</v>
      </c>
      <c r="GG778">
        <v>2</v>
      </c>
      <c r="GH778">
        <v>1</v>
      </c>
      <c r="GI778">
        <v>-2</v>
      </c>
      <c r="GJ778">
        <v>0</v>
      </c>
      <c r="GK778">
        <f>ROUND(R778*(R12)/100,2)</f>
        <v>0</v>
      </c>
      <c r="GL778">
        <f t="shared" si="754"/>
        <v>0</v>
      </c>
      <c r="GM778">
        <f t="shared" si="755"/>
        <v>11701.54</v>
      </c>
      <c r="GN778">
        <f t="shared" si="756"/>
        <v>0</v>
      </c>
      <c r="GO778">
        <f t="shared" si="757"/>
        <v>0</v>
      </c>
      <c r="GP778">
        <f t="shared" si="758"/>
        <v>11701.54</v>
      </c>
      <c r="GR778">
        <v>0</v>
      </c>
      <c r="GS778">
        <v>3</v>
      </c>
      <c r="GT778">
        <v>0</v>
      </c>
      <c r="GU778" t="s">
        <v>3</v>
      </c>
      <c r="GV778">
        <f t="shared" si="759"/>
        <v>0</v>
      </c>
      <c r="GW778">
        <v>1</v>
      </c>
      <c r="GX778">
        <f t="shared" si="760"/>
        <v>0</v>
      </c>
      <c r="HA778">
        <v>0</v>
      </c>
      <c r="HB778">
        <v>0</v>
      </c>
      <c r="HC778">
        <f t="shared" si="761"/>
        <v>0</v>
      </c>
      <c r="HE778" t="s">
        <v>3</v>
      </c>
      <c r="HF778" t="s">
        <v>3</v>
      </c>
      <c r="HM778" t="s">
        <v>3</v>
      </c>
      <c r="HN778" t="s">
        <v>3</v>
      </c>
      <c r="HO778" t="s">
        <v>3</v>
      </c>
      <c r="HP778" t="s">
        <v>3</v>
      </c>
      <c r="HQ778" t="s">
        <v>3</v>
      </c>
      <c r="IK778">
        <v>0</v>
      </c>
    </row>
    <row r="779" spans="1:245" x14ac:dyDescent="0.2">
      <c r="A779">
        <v>17</v>
      </c>
      <c r="B779">
        <v>1</v>
      </c>
      <c r="D779">
        <f>ROW(EtalonRes!A705)</f>
        <v>705</v>
      </c>
      <c r="E779" t="s">
        <v>659</v>
      </c>
      <c r="F779" t="s">
        <v>594</v>
      </c>
      <c r="G779" t="s">
        <v>660</v>
      </c>
      <c r="H779" t="s">
        <v>20</v>
      </c>
      <c r="I779">
        <v>1</v>
      </c>
      <c r="J779">
        <v>0</v>
      </c>
      <c r="K779">
        <v>1</v>
      </c>
      <c r="O779">
        <f t="shared" si="729"/>
        <v>11268.96</v>
      </c>
      <c r="P779">
        <f t="shared" si="730"/>
        <v>154.13999999999999</v>
      </c>
      <c r="Q779">
        <f t="shared" si="731"/>
        <v>0</v>
      </c>
      <c r="R779">
        <f t="shared" si="732"/>
        <v>0</v>
      </c>
      <c r="S779">
        <f t="shared" si="733"/>
        <v>11114.82</v>
      </c>
      <c r="T779">
        <f t="shared" si="734"/>
        <v>0</v>
      </c>
      <c r="U779">
        <f t="shared" si="735"/>
        <v>18</v>
      </c>
      <c r="V779">
        <f t="shared" si="736"/>
        <v>0</v>
      </c>
      <c r="W779">
        <f t="shared" si="737"/>
        <v>0</v>
      </c>
      <c r="X779">
        <f t="shared" si="738"/>
        <v>7780.37</v>
      </c>
      <c r="Y779">
        <f t="shared" si="739"/>
        <v>1111.48</v>
      </c>
      <c r="AA779">
        <v>1472506909</v>
      </c>
      <c r="AB779">
        <f t="shared" si="740"/>
        <v>11268.96</v>
      </c>
      <c r="AC779">
        <f>ROUND((ES779),6)</f>
        <v>154.13999999999999</v>
      </c>
      <c r="AD779">
        <f>ROUND((((ET779)-(EU779))+AE779),6)</f>
        <v>0</v>
      </c>
      <c r="AE779">
        <f>ROUND((EU779),6)</f>
        <v>0</v>
      </c>
      <c r="AF779">
        <f>ROUND((EV779),6)</f>
        <v>11114.82</v>
      </c>
      <c r="AG779">
        <f t="shared" si="741"/>
        <v>0</v>
      </c>
      <c r="AH779">
        <f>(EW779)</f>
        <v>18</v>
      </c>
      <c r="AI779">
        <f>(EX779)</f>
        <v>0</v>
      </c>
      <c r="AJ779">
        <f t="shared" si="742"/>
        <v>0</v>
      </c>
      <c r="AK779">
        <v>11268.96</v>
      </c>
      <c r="AL779">
        <v>154.13999999999999</v>
      </c>
      <c r="AM779">
        <v>0</v>
      </c>
      <c r="AN779">
        <v>0</v>
      </c>
      <c r="AO779">
        <v>11114.82</v>
      </c>
      <c r="AP779">
        <v>0</v>
      </c>
      <c r="AQ779">
        <v>18</v>
      </c>
      <c r="AR779">
        <v>0</v>
      </c>
      <c r="AS779">
        <v>0</v>
      </c>
      <c r="AT779">
        <v>70</v>
      </c>
      <c r="AU779">
        <v>10</v>
      </c>
      <c r="AV779">
        <v>1</v>
      </c>
      <c r="AW779">
        <v>1</v>
      </c>
      <c r="AZ779">
        <v>1</v>
      </c>
      <c r="BA779">
        <v>1</v>
      </c>
      <c r="BB779">
        <v>1</v>
      </c>
      <c r="BC779">
        <v>1</v>
      </c>
      <c r="BD779" t="s">
        <v>3</v>
      </c>
      <c r="BE779" t="s">
        <v>3</v>
      </c>
      <c r="BF779" t="s">
        <v>3</v>
      </c>
      <c r="BG779" t="s">
        <v>3</v>
      </c>
      <c r="BH779">
        <v>0</v>
      </c>
      <c r="BI779">
        <v>4</v>
      </c>
      <c r="BJ779" t="s">
        <v>596</v>
      </c>
      <c r="BM779">
        <v>0</v>
      </c>
      <c r="BN779">
        <v>0</v>
      </c>
      <c r="BO779" t="s">
        <v>3</v>
      </c>
      <c r="BP779">
        <v>0</v>
      </c>
      <c r="BQ779">
        <v>1</v>
      </c>
      <c r="BR779">
        <v>0</v>
      </c>
      <c r="BS779">
        <v>1</v>
      </c>
      <c r="BT779">
        <v>1</v>
      </c>
      <c r="BU779">
        <v>1</v>
      </c>
      <c r="BV779">
        <v>1</v>
      </c>
      <c r="BW779">
        <v>1</v>
      </c>
      <c r="BX779">
        <v>1</v>
      </c>
      <c r="BY779" t="s">
        <v>3</v>
      </c>
      <c r="BZ779">
        <v>70</v>
      </c>
      <c r="CA779">
        <v>10</v>
      </c>
      <c r="CB779" t="s">
        <v>3</v>
      </c>
      <c r="CE779">
        <v>0</v>
      </c>
      <c r="CF779">
        <v>0</v>
      </c>
      <c r="CG779">
        <v>0</v>
      </c>
      <c r="CM779">
        <v>0</v>
      </c>
      <c r="CN779" t="s">
        <v>3</v>
      </c>
      <c r="CO779">
        <v>0</v>
      </c>
      <c r="CP779">
        <f t="shared" si="743"/>
        <v>11268.96</v>
      </c>
      <c r="CQ779">
        <f t="shared" si="744"/>
        <v>154.13999999999999</v>
      </c>
      <c r="CR779">
        <f>((((ET779)*BB779-(EU779)*BS779)+AE779*BS779)*AV779)</f>
        <v>0</v>
      </c>
      <c r="CS779">
        <f t="shared" si="745"/>
        <v>0</v>
      </c>
      <c r="CT779">
        <f t="shared" si="746"/>
        <v>11114.82</v>
      </c>
      <c r="CU779">
        <f t="shared" si="747"/>
        <v>0</v>
      </c>
      <c r="CV779">
        <f t="shared" si="748"/>
        <v>18</v>
      </c>
      <c r="CW779">
        <f t="shared" si="749"/>
        <v>0</v>
      </c>
      <c r="CX779">
        <f t="shared" si="750"/>
        <v>0</v>
      </c>
      <c r="CY779">
        <f t="shared" si="751"/>
        <v>7780.3739999999998</v>
      </c>
      <c r="CZ779">
        <f t="shared" si="752"/>
        <v>1111.482</v>
      </c>
      <c r="DC779" t="s">
        <v>3</v>
      </c>
      <c r="DD779" t="s">
        <v>3</v>
      </c>
      <c r="DE779" t="s">
        <v>3</v>
      </c>
      <c r="DF779" t="s">
        <v>3</v>
      </c>
      <c r="DG779" t="s">
        <v>3</v>
      </c>
      <c r="DH779" t="s">
        <v>3</v>
      </c>
      <c r="DI779" t="s">
        <v>3</v>
      </c>
      <c r="DJ779" t="s">
        <v>3</v>
      </c>
      <c r="DK779" t="s">
        <v>3</v>
      </c>
      <c r="DL779" t="s">
        <v>3</v>
      </c>
      <c r="DM779" t="s">
        <v>3</v>
      </c>
      <c r="DN779">
        <v>0</v>
      </c>
      <c r="DO779">
        <v>0</v>
      </c>
      <c r="DP779">
        <v>1</v>
      </c>
      <c r="DQ779">
        <v>1</v>
      </c>
      <c r="DU779">
        <v>16987630</v>
      </c>
      <c r="DV779" t="s">
        <v>20</v>
      </c>
      <c r="DW779" t="s">
        <v>20</v>
      </c>
      <c r="DX779">
        <v>1</v>
      </c>
      <c r="DZ779" t="s">
        <v>3</v>
      </c>
      <c r="EA779" t="s">
        <v>3</v>
      </c>
      <c r="EB779" t="s">
        <v>3</v>
      </c>
      <c r="EC779" t="s">
        <v>3</v>
      </c>
      <c r="EE779">
        <v>1441815344</v>
      </c>
      <c r="EF779">
        <v>1</v>
      </c>
      <c r="EG779" t="s">
        <v>22</v>
      </c>
      <c r="EH779">
        <v>0</v>
      </c>
      <c r="EI779" t="s">
        <v>3</v>
      </c>
      <c r="EJ779">
        <v>4</v>
      </c>
      <c r="EK779">
        <v>0</v>
      </c>
      <c r="EL779" t="s">
        <v>23</v>
      </c>
      <c r="EM779" t="s">
        <v>24</v>
      </c>
      <c r="EO779" t="s">
        <v>3</v>
      </c>
      <c r="EQ779">
        <v>0</v>
      </c>
      <c r="ER779">
        <v>11268.96</v>
      </c>
      <c r="ES779">
        <v>154.13999999999999</v>
      </c>
      <c r="ET779">
        <v>0</v>
      </c>
      <c r="EU779">
        <v>0</v>
      </c>
      <c r="EV779">
        <v>11114.82</v>
      </c>
      <c r="EW779">
        <v>18</v>
      </c>
      <c r="EX779">
        <v>0</v>
      </c>
      <c r="EY779">
        <v>0</v>
      </c>
      <c r="FQ779">
        <v>0</v>
      </c>
      <c r="FR779">
        <f t="shared" si="753"/>
        <v>0</v>
      </c>
      <c r="FS779">
        <v>0</v>
      </c>
      <c r="FX779">
        <v>70</v>
      </c>
      <c r="FY779">
        <v>10</v>
      </c>
      <c r="GA779" t="s">
        <v>3</v>
      </c>
      <c r="GD779">
        <v>0</v>
      </c>
      <c r="GF779">
        <v>1526644979</v>
      </c>
      <c r="GG779">
        <v>2</v>
      </c>
      <c r="GH779">
        <v>1</v>
      </c>
      <c r="GI779">
        <v>-2</v>
      </c>
      <c r="GJ779">
        <v>0</v>
      </c>
      <c r="GK779">
        <f>ROUND(R779*(R12)/100,2)</f>
        <v>0</v>
      </c>
      <c r="GL779">
        <f t="shared" si="754"/>
        <v>0</v>
      </c>
      <c r="GM779">
        <f t="shared" si="755"/>
        <v>20160.810000000001</v>
      </c>
      <c r="GN779">
        <f t="shared" si="756"/>
        <v>0</v>
      </c>
      <c r="GO779">
        <f t="shared" si="757"/>
        <v>0</v>
      </c>
      <c r="GP779">
        <f t="shared" si="758"/>
        <v>20160.810000000001</v>
      </c>
      <c r="GR779">
        <v>0</v>
      </c>
      <c r="GS779">
        <v>3</v>
      </c>
      <c r="GT779">
        <v>0</v>
      </c>
      <c r="GU779" t="s">
        <v>3</v>
      </c>
      <c r="GV779">
        <f t="shared" si="759"/>
        <v>0</v>
      </c>
      <c r="GW779">
        <v>1</v>
      </c>
      <c r="GX779">
        <f t="shared" si="760"/>
        <v>0</v>
      </c>
      <c r="HA779">
        <v>0</v>
      </c>
      <c r="HB779">
        <v>0</v>
      </c>
      <c r="HC779">
        <f t="shared" si="761"/>
        <v>0</v>
      </c>
      <c r="HE779" t="s">
        <v>3</v>
      </c>
      <c r="HF779" t="s">
        <v>3</v>
      </c>
      <c r="HM779" t="s">
        <v>3</v>
      </c>
      <c r="HN779" t="s">
        <v>3</v>
      </c>
      <c r="HO779" t="s">
        <v>3</v>
      </c>
      <c r="HP779" t="s">
        <v>3</v>
      </c>
      <c r="HQ779" t="s">
        <v>3</v>
      </c>
      <c r="IK779">
        <v>0</v>
      </c>
    </row>
    <row r="780" spans="1:245" x14ac:dyDescent="0.2">
      <c r="A780">
        <v>17</v>
      </c>
      <c r="B780">
        <v>1</v>
      </c>
      <c r="D780">
        <f>ROW(EtalonRes!A707)</f>
        <v>707</v>
      </c>
      <c r="E780" t="s">
        <v>3</v>
      </c>
      <c r="F780" t="s">
        <v>597</v>
      </c>
      <c r="G780" t="s">
        <v>598</v>
      </c>
      <c r="H780" t="s">
        <v>20</v>
      </c>
      <c r="I780">
        <v>1</v>
      </c>
      <c r="J780">
        <v>0</v>
      </c>
      <c r="K780">
        <v>1</v>
      </c>
      <c r="O780">
        <f t="shared" si="729"/>
        <v>1113.69</v>
      </c>
      <c r="P780">
        <f t="shared" si="730"/>
        <v>2.2200000000000002</v>
      </c>
      <c r="Q780">
        <f t="shared" si="731"/>
        <v>0</v>
      </c>
      <c r="R780">
        <f t="shared" si="732"/>
        <v>0</v>
      </c>
      <c r="S780">
        <f t="shared" si="733"/>
        <v>1111.47</v>
      </c>
      <c r="T780">
        <f t="shared" si="734"/>
        <v>0</v>
      </c>
      <c r="U780">
        <f t="shared" si="735"/>
        <v>1.7999999999999998</v>
      </c>
      <c r="V780">
        <f t="shared" si="736"/>
        <v>0</v>
      </c>
      <c r="W780">
        <f t="shared" si="737"/>
        <v>0</v>
      </c>
      <c r="X780">
        <f t="shared" si="738"/>
        <v>778.03</v>
      </c>
      <c r="Y780">
        <f t="shared" si="739"/>
        <v>111.15</v>
      </c>
      <c r="AA780">
        <v>-1</v>
      </c>
      <c r="AB780">
        <f t="shared" si="740"/>
        <v>1113.69</v>
      </c>
      <c r="AC780">
        <f>ROUND(((ES780*3)),6)</f>
        <v>2.2200000000000002</v>
      </c>
      <c r="AD780">
        <f>ROUND(((((ET780*3))-((EU780*3)))+AE780),6)</f>
        <v>0</v>
      </c>
      <c r="AE780">
        <f>ROUND(((EU780*3)),6)</f>
        <v>0</v>
      </c>
      <c r="AF780">
        <f>ROUND(((EV780*3)),6)</f>
        <v>1111.47</v>
      </c>
      <c r="AG780">
        <f t="shared" si="741"/>
        <v>0</v>
      </c>
      <c r="AH780">
        <f>((EW780*3))</f>
        <v>1.7999999999999998</v>
      </c>
      <c r="AI780">
        <f>((EX780*3))</f>
        <v>0</v>
      </c>
      <c r="AJ780">
        <f t="shared" si="742"/>
        <v>0</v>
      </c>
      <c r="AK780">
        <v>371.23</v>
      </c>
      <c r="AL780">
        <v>0.74</v>
      </c>
      <c r="AM780">
        <v>0</v>
      </c>
      <c r="AN780">
        <v>0</v>
      </c>
      <c r="AO780">
        <v>370.49</v>
      </c>
      <c r="AP780">
        <v>0</v>
      </c>
      <c r="AQ780">
        <v>0.6</v>
      </c>
      <c r="AR780">
        <v>0</v>
      </c>
      <c r="AS780">
        <v>0</v>
      </c>
      <c r="AT780">
        <v>70</v>
      </c>
      <c r="AU780">
        <v>10</v>
      </c>
      <c r="AV780">
        <v>1</v>
      </c>
      <c r="AW780">
        <v>1</v>
      </c>
      <c r="AZ780">
        <v>1</v>
      </c>
      <c r="BA780">
        <v>1</v>
      </c>
      <c r="BB780">
        <v>1</v>
      </c>
      <c r="BC780">
        <v>1</v>
      </c>
      <c r="BD780" t="s">
        <v>3</v>
      </c>
      <c r="BE780" t="s">
        <v>3</v>
      </c>
      <c r="BF780" t="s">
        <v>3</v>
      </c>
      <c r="BG780" t="s">
        <v>3</v>
      </c>
      <c r="BH780">
        <v>0</v>
      </c>
      <c r="BI780">
        <v>4</v>
      </c>
      <c r="BJ780" t="s">
        <v>599</v>
      </c>
      <c r="BM780">
        <v>0</v>
      </c>
      <c r="BN780">
        <v>0</v>
      </c>
      <c r="BO780" t="s">
        <v>3</v>
      </c>
      <c r="BP780">
        <v>0</v>
      </c>
      <c r="BQ780">
        <v>1</v>
      </c>
      <c r="BR780">
        <v>0</v>
      </c>
      <c r="BS780">
        <v>1</v>
      </c>
      <c r="BT780">
        <v>1</v>
      </c>
      <c r="BU780">
        <v>1</v>
      </c>
      <c r="BV780">
        <v>1</v>
      </c>
      <c r="BW780">
        <v>1</v>
      </c>
      <c r="BX780">
        <v>1</v>
      </c>
      <c r="BY780" t="s">
        <v>3</v>
      </c>
      <c r="BZ780">
        <v>70</v>
      </c>
      <c r="CA780">
        <v>10</v>
      </c>
      <c r="CB780" t="s">
        <v>3</v>
      </c>
      <c r="CE780">
        <v>0</v>
      </c>
      <c r="CF780">
        <v>0</v>
      </c>
      <c r="CG780">
        <v>0</v>
      </c>
      <c r="CM780">
        <v>0</v>
      </c>
      <c r="CN780" t="s">
        <v>3</v>
      </c>
      <c r="CO780">
        <v>0</v>
      </c>
      <c r="CP780">
        <f t="shared" si="743"/>
        <v>1113.69</v>
      </c>
      <c r="CQ780">
        <f t="shared" si="744"/>
        <v>2.2200000000000002</v>
      </c>
      <c r="CR780">
        <f>(((((ET780*3))*BB780-((EU780*3))*BS780)+AE780*BS780)*AV780)</f>
        <v>0</v>
      </c>
      <c r="CS780">
        <f t="shared" si="745"/>
        <v>0</v>
      </c>
      <c r="CT780">
        <f t="shared" si="746"/>
        <v>1111.47</v>
      </c>
      <c r="CU780">
        <f t="shared" si="747"/>
        <v>0</v>
      </c>
      <c r="CV780">
        <f t="shared" si="748"/>
        <v>1.7999999999999998</v>
      </c>
      <c r="CW780">
        <f t="shared" si="749"/>
        <v>0</v>
      </c>
      <c r="CX780">
        <f t="shared" si="750"/>
        <v>0</v>
      </c>
      <c r="CY780">
        <f t="shared" si="751"/>
        <v>778.02900000000011</v>
      </c>
      <c r="CZ780">
        <f t="shared" si="752"/>
        <v>111.14700000000001</v>
      </c>
      <c r="DC780" t="s">
        <v>3</v>
      </c>
      <c r="DD780" t="s">
        <v>577</v>
      </c>
      <c r="DE780" t="s">
        <v>577</v>
      </c>
      <c r="DF780" t="s">
        <v>577</v>
      </c>
      <c r="DG780" t="s">
        <v>577</v>
      </c>
      <c r="DH780" t="s">
        <v>3</v>
      </c>
      <c r="DI780" t="s">
        <v>577</v>
      </c>
      <c r="DJ780" t="s">
        <v>577</v>
      </c>
      <c r="DK780" t="s">
        <v>3</v>
      </c>
      <c r="DL780" t="s">
        <v>3</v>
      </c>
      <c r="DM780" t="s">
        <v>3</v>
      </c>
      <c r="DN780">
        <v>0</v>
      </c>
      <c r="DO780">
        <v>0</v>
      </c>
      <c r="DP780">
        <v>1</v>
      </c>
      <c r="DQ780">
        <v>1</v>
      </c>
      <c r="DU780">
        <v>16987630</v>
      </c>
      <c r="DV780" t="s">
        <v>20</v>
      </c>
      <c r="DW780" t="s">
        <v>20</v>
      </c>
      <c r="DX780">
        <v>1</v>
      </c>
      <c r="DZ780" t="s">
        <v>3</v>
      </c>
      <c r="EA780" t="s">
        <v>3</v>
      </c>
      <c r="EB780" t="s">
        <v>3</v>
      </c>
      <c r="EC780" t="s">
        <v>3</v>
      </c>
      <c r="EE780">
        <v>1441815344</v>
      </c>
      <c r="EF780">
        <v>1</v>
      </c>
      <c r="EG780" t="s">
        <v>22</v>
      </c>
      <c r="EH780">
        <v>0</v>
      </c>
      <c r="EI780" t="s">
        <v>3</v>
      </c>
      <c r="EJ780">
        <v>4</v>
      </c>
      <c r="EK780">
        <v>0</v>
      </c>
      <c r="EL780" t="s">
        <v>23</v>
      </c>
      <c r="EM780" t="s">
        <v>24</v>
      </c>
      <c r="EO780" t="s">
        <v>3</v>
      </c>
      <c r="EQ780">
        <v>1024</v>
      </c>
      <c r="ER780">
        <v>371.23</v>
      </c>
      <c r="ES780">
        <v>0.74</v>
      </c>
      <c r="ET780">
        <v>0</v>
      </c>
      <c r="EU780">
        <v>0</v>
      </c>
      <c r="EV780">
        <v>370.49</v>
      </c>
      <c r="EW780">
        <v>0.6</v>
      </c>
      <c r="EX780">
        <v>0</v>
      </c>
      <c r="EY780">
        <v>0</v>
      </c>
      <c r="FQ780">
        <v>0</v>
      </c>
      <c r="FR780">
        <f t="shared" si="753"/>
        <v>0</v>
      </c>
      <c r="FS780">
        <v>0</v>
      </c>
      <c r="FX780">
        <v>70</v>
      </c>
      <c r="FY780">
        <v>10</v>
      </c>
      <c r="GA780" t="s">
        <v>3</v>
      </c>
      <c r="GD780">
        <v>0</v>
      </c>
      <c r="GF780">
        <v>-1534836832</v>
      </c>
      <c r="GG780">
        <v>2</v>
      </c>
      <c r="GH780">
        <v>1</v>
      </c>
      <c r="GI780">
        <v>-2</v>
      </c>
      <c r="GJ780">
        <v>0</v>
      </c>
      <c r="GK780">
        <f>ROUND(R780*(R12)/100,2)</f>
        <v>0</v>
      </c>
      <c r="GL780">
        <f t="shared" si="754"/>
        <v>0</v>
      </c>
      <c r="GM780">
        <f t="shared" si="755"/>
        <v>2002.87</v>
      </c>
      <c r="GN780">
        <f t="shared" si="756"/>
        <v>0</v>
      </c>
      <c r="GO780">
        <f t="shared" si="757"/>
        <v>0</v>
      </c>
      <c r="GP780">
        <f t="shared" si="758"/>
        <v>2002.87</v>
      </c>
      <c r="GR780">
        <v>0</v>
      </c>
      <c r="GS780">
        <v>3</v>
      </c>
      <c r="GT780">
        <v>0</v>
      </c>
      <c r="GU780" t="s">
        <v>3</v>
      </c>
      <c r="GV780">
        <f t="shared" si="759"/>
        <v>0</v>
      </c>
      <c r="GW780">
        <v>1</v>
      </c>
      <c r="GX780">
        <f t="shared" si="760"/>
        <v>0</v>
      </c>
      <c r="HA780">
        <v>0</v>
      </c>
      <c r="HB780">
        <v>0</v>
      </c>
      <c r="HC780">
        <f t="shared" si="761"/>
        <v>0</v>
      </c>
      <c r="HE780" t="s">
        <v>3</v>
      </c>
      <c r="HF780" t="s">
        <v>3</v>
      </c>
      <c r="HM780" t="s">
        <v>3</v>
      </c>
      <c r="HN780" t="s">
        <v>3</v>
      </c>
      <c r="HO780" t="s">
        <v>3</v>
      </c>
      <c r="HP780" t="s">
        <v>3</v>
      </c>
      <c r="HQ780" t="s">
        <v>3</v>
      </c>
      <c r="IK780">
        <v>0</v>
      </c>
    </row>
    <row r="781" spans="1:245" x14ac:dyDescent="0.2">
      <c r="A781">
        <v>17</v>
      </c>
      <c r="B781">
        <v>1</v>
      </c>
      <c r="D781">
        <f>ROW(EtalonRes!A712)</f>
        <v>712</v>
      </c>
      <c r="E781" t="s">
        <v>661</v>
      </c>
      <c r="F781" t="s">
        <v>662</v>
      </c>
      <c r="G781" t="s">
        <v>663</v>
      </c>
      <c r="H781" t="s">
        <v>20</v>
      </c>
      <c r="I781">
        <v>2</v>
      </c>
      <c r="J781">
        <v>0</v>
      </c>
      <c r="K781">
        <v>2</v>
      </c>
      <c r="O781">
        <f t="shared" si="729"/>
        <v>18781.599999999999</v>
      </c>
      <c r="P781">
        <f t="shared" si="730"/>
        <v>256.89999999999998</v>
      </c>
      <c r="Q781">
        <f t="shared" si="731"/>
        <v>0</v>
      </c>
      <c r="R781">
        <f t="shared" si="732"/>
        <v>0</v>
      </c>
      <c r="S781">
        <f t="shared" si="733"/>
        <v>18524.7</v>
      </c>
      <c r="T781">
        <f t="shared" si="734"/>
        <v>0</v>
      </c>
      <c r="U781">
        <f t="shared" si="735"/>
        <v>30</v>
      </c>
      <c r="V781">
        <f t="shared" si="736"/>
        <v>0</v>
      </c>
      <c r="W781">
        <f t="shared" si="737"/>
        <v>0</v>
      </c>
      <c r="X781">
        <f t="shared" si="738"/>
        <v>12967.29</v>
      </c>
      <c r="Y781">
        <f t="shared" si="739"/>
        <v>1852.47</v>
      </c>
      <c r="AA781">
        <v>1472506909</v>
      </c>
      <c r="AB781">
        <f t="shared" si="740"/>
        <v>9390.7999999999993</v>
      </c>
      <c r="AC781">
        <f>ROUND((ES781),6)</f>
        <v>128.44999999999999</v>
      </c>
      <c r="AD781">
        <f>ROUND((((ET781)-(EU781))+AE781),6)</f>
        <v>0</v>
      </c>
      <c r="AE781">
        <f>ROUND((EU781),6)</f>
        <v>0</v>
      </c>
      <c r="AF781">
        <f>ROUND((EV781),6)</f>
        <v>9262.35</v>
      </c>
      <c r="AG781">
        <f t="shared" si="741"/>
        <v>0</v>
      </c>
      <c r="AH781">
        <f>(EW781)</f>
        <v>15</v>
      </c>
      <c r="AI781">
        <f>(EX781)</f>
        <v>0</v>
      </c>
      <c r="AJ781">
        <f t="shared" si="742"/>
        <v>0</v>
      </c>
      <c r="AK781">
        <v>9390.7999999999993</v>
      </c>
      <c r="AL781">
        <v>128.44999999999999</v>
      </c>
      <c r="AM781">
        <v>0</v>
      </c>
      <c r="AN781">
        <v>0</v>
      </c>
      <c r="AO781">
        <v>9262.35</v>
      </c>
      <c r="AP781">
        <v>0</v>
      </c>
      <c r="AQ781">
        <v>15</v>
      </c>
      <c r="AR781">
        <v>0</v>
      </c>
      <c r="AS781">
        <v>0</v>
      </c>
      <c r="AT781">
        <v>70</v>
      </c>
      <c r="AU781">
        <v>10</v>
      </c>
      <c r="AV781">
        <v>1</v>
      </c>
      <c r="AW781">
        <v>1</v>
      </c>
      <c r="AZ781">
        <v>1</v>
      </c>
      <c r="BA781">
        <v>1</v>
      </c>
      <c r="BB781">
        <v>1</v>
      </c>
      <c r="BC781">
        <v>1</v>
      </c>
      <c r="BD781" t="s">
        <v>3</v>
      </c>
      <c r="BE781" t="s">
        <v>3</v>
      </c>
      <c r="BF781" t="s">
        <v>3</v>
      </c>
      <c r="BG781" t="s">
        <v>3</v>
      </c>
      <c r="BH781">
        <v>0</v>
      </c>
      <c r="BI781">
        <v>4</v>
      </c>
      <c r="BJ781" t="s">
        <v>664</v>
      </c>
      <c r="BM781">
        <v>0</v>
      </c>
      <c r="BN781">
        <v>0</v>
      </c>
      <c r="BO781" t="s">
        <v>3</v>
      </c>
      <c r="BP781">
        <v>0</v>
      </c>
      <c r="BQ781">
        <v>1</v>
      </c>
      <c r="BR781">
        <v>0</v>
      </c>
      <c r="BS781">
        <v>1</v>
      </c>
      <c r="BT781">
        <v>1</v>
      </c>
      <c r="BU781">
        <v>1</v>
      </c>
      <c r="BV781">
        <v>1</v>
      </c>
      <c r="BW781">
        <v>1</v>
      </c>
      <c r="BX781">
        <v>1</v>
      </c>
      <c r="BY781" t="s">
        <v>3</v>
      </c>
      <c r="BZ781">
        <v>70</v>
      </c>
      <c r="CA781">
        <v>10</v>
      </c>
      <c r="CB781" t="s">
        <v>3</v>
      </c>
      <c r="CE781">
        <v>0</v>
      </c>
      <c r="CF781">
        <v>0</v>
      </c>
      <c r="CG781">
        <v>0</v>
      </c>
      <c r="CM781">
        <v>0</v>
      </c>
      <c r="CN781" t="s">
        <v>3</v>
      </c>
      <c r="CO781">
        <v>0</v>
      </c>
      <c r="CP781">
        <f t="shared" si="743"/>
        <v>18781.600000000002</v>
      </c>
      <c r="CQ781">
        <f t="shared" si="744"/>
        <v>128.44999999999999</v>
      </c>
      <c r="CR781">
        <f>((((ET781)*BB781-(EU781)*BS781)+AE781*BS781)*AV781)</f>
        <v>0</v>
      </c>
      <c r="CS781">
        <f t="shared" si="745"/>
        <v>0</v>
      </c>
      <c r="CT781">
        <f t="shared" si="746"/>
        <v>9262.35</v>
      </c>
      <c r="CU781">
        <f t="shared" si="747"/>
        <v>0</v>
      </c>
      <c r="CV781">
        <f t="shared" si="748"/>
        <v>15</v>
      </c>
      <c r="CW781">
        <f t="shared" si="749"/>
        <v>0</v>
      </c>
      <c r="CX781">
        <f t="shared" si="750"/>
        <v>0</v>
      </c>
      <c r="CY781">
        <f t="shared" si="751"/>
        <v>12967.29</v>
      </c>
      <c r="CZ781">
        <f t="shared" si="752"/>
        <v>1852.47</v>
      </c>
      <c r="DC781" t="s">
        <v>3</v>
      </c>
      <c r="DD781" t="s">
        <v>3</v>
      </c>
      <c r="DE781" t="s">
        <v>3</v>
      </c>
      <c r="DF781" t="s">
        <v>3</v>
      </c>
      <c r="DG781" t="s">
        <v>3</v>
      </c>
      <c r="DH781" t="s">
        <v>3</v>
      </c>
      <c r="DI781" t="s">
        <v>3</v>
      </c>
      <c r="DJ781" t="s">
        <v>3</v>
      </c>
      <c r="DK781" t="s">
        <v>3</v>
      </c>
      <c r="DL781" t="s">
        <v>3</v>
      </c>
      <c r="DM781" t="s">
        <v>3</v>
      </c>
      <c r="DN781">
        <v>0</v>
      </c>
      <c r="DO781">
        <v>0</v>
      </c>
      <c r="DP781">
        <v>1</v>
      </c>
      <c r="DQ781">
        <v>1</v>
      </c>
      <c r="DU781">
        <v>16987630</v>
      </c>
      <c r="DV781" t="s">
        <v>20</v>
      </c>
      <c r="DW781" t="s">
        <v>20</v>
      </c>
      <c r="DX781">
        <v>1</v>
      </c>
      <c r="DZ781" t="s">
        <v>3</v>
      </c>
      <c r="EA781" t="s">
        <v>3</v>
      </c>
      <c r="EB781" t="s">
        <v>3</v>
      </c>
      <c r="EC781" t="s">
        <v>3</v>
      </c>
      <c r="EE781">
        <v>1441815344</v>
      </c>
      <c r="EF781">
        <v>1</v>
      </c>
      <c r="EG781" t="s">
        <v>22</v>
      </c>
      <c r="EH781">
        <v>0</v>
      </c>
      <c r="EI781" t="s">
        <v>3</v>
      </c>
      <c r="EJ781">
        <v>4</v>
      </c>
      <c r="EK781">
        <v>0</v>
      </c>
      <c r="EL781" t="s">
        <v>23</v>
      </c>
      <c r="EM781" t="s">
        <v>24</v>
      </c>
      <c r="EO781" t="s">
        <v>3</v>
      </c>
      <c r="EQ781">
        <v>0</v>
      </c>
      <c r="ER781">
        <v>9390.7999999999993</v>
      </c>
      <c r="ES781">
        <v>128.44999999999999</v>
      </c>
      <c r="ET781">
        <v>0</v>
      </c>
      <c r="EU781">
        <v>0</v>
      </c>
      <c r="EV781">
        <v>9262.35</v>
      </c>
      <c r="EW781">
        <v>15</v>
      </c>
      <c r="EX781">
        <v>0</v>
      </c>
      <c r="EY781">
        <v>0</v>
      </c>
      <c r="FQ781">
        <v>0</v>
      </c>
      <c r="FR781">
        <f t="shared" si="753"/>
        <v>0</v>
      </c>
      <c r="FS781">
        <v>0</v>
      </c>
      <c r="FX781">
        <v>70</v>
      </c>
      <c r="FY781">
        <v>10</v>
      </c>
      <c r="GA781" t="s">
        <v>3</v>
      </c>
      <c r="GD781">
        <v>0</v>
      </c>
      <c r="GF781">
        <v>1389447242</v>
      </c>
      <c r="GG781">
        <v>2</v>
      </c>
      <c r="GH781">
        <v>1</v>
      </c>
      <c r="GI781">
        <v>-2</v>
      </c>
      <c r="GJ781">
        <v>0</v>
      </c>
      <c r="GK781">
        <f>ROUND(R781*(R12)/100,2)</f>
        <v>0</v>
      </c>
      <c r="GL781">
        <f t="shared" si="754"/>
        <v>0</v>
      </c>
      <c r="GM781">
        <f t="shared" si="755"/>
        <v>33601.360000000001</v>
      </c>
      <c r="GN781">
        <f t="shared" si="756"/>
        <v>0</v>
      </c>
      <c r="GO781">
        <f t="shared" si="757"/>
        <v>0</v>
      </c>
      <c r="GP781">
        <f t="shared" si="758"/>
        <v>33601.360000000001</v>
      </c>
      <c r="GR781">
        <v>0</v>
      </c>
      <c r="GS781">
        <v>3</v>
      </c>
      <c r="GT781">
        <v>0</v>
      </c>
      <c r="GU781" t="s">
        <v>3</v>
      </c>
      <c r="GV781">
        <f t="shared" si="759"/>
        <v>0</v>
      </c>
      <c r="GW781">
        <v>1</v>
      </c>
      <c r="GX781">
        <f t="shared" si="760"/>
        <v>0</v>
      </c>
      <c r="HA781">
        <v>0</v>
      </c>
      <c r="HB781">
        <v>0</v>
      </c>
      <c r="HC781">
        <f t="shared" si="761"/>
        <v>0</v>
      </c>
      <c r="HE781" t="s">
        <v>3</v>
      </c>
      <c r="HF781" t="s">
        <v>3</v>
      </c>
      <c r="HM781" t="s">
        <v>3</v>
      </c>
      <c r="HN781" t="s">
        <v>3</v>
      </c>
      <c r="HO781" t="s">
        <v>3</v>
      </c>
      <c r="HP781" t="s">
        <v>3</v>
      </c>
      <c r="HQ781" t="s">
        <v>3</v>
      </c>
      <c r="IK781">
        <v>0</v>
      </c>
    </row>
    <row r="782" spans="1:245" x14ac:dyDescent="0.2">
      <c r="A782">
        <v>17</v>
      </c>
      <c r="B782">
        <v>1</v>
      </c>
      <c r="D782">
        <f>ROW(EtalonRes!A714)</f>
        <v>714</v>
      </c>
      <c r="E782" t="s">
        <v>3</v>
      </c>
      <c r="F782" t="s">
        <v>665</v>
      </c>
      <c r="G782" t="s">
        <v>666</v>
      </c>
      <c r="H782" t="s">
        <v>20</v>
      </c>
      <c r="I782">
        <v>2</v>
      </c>
      <c r="J782">
        <v>0</v>
      </c>
      <c r="K782">
        <v>2</v>
      </c>
      <c r="O782">
        <f t="shared" si="729"/>
        <v>1856.88</v>
      </c>
      <c r="P782">
        <f t="shared" si="730"/>
        <v>4.4400000000000004</v>
      </c>
      <c r="Q782">
        <f t="shared" si="731"/>
        <v>0</v>
      </c>
      <c r="R782">
        <f t="shared" si="732"/>
        <v>0</v>
      </c>
      <c r="S782">
        <f t="shared" si="733"/>
        <v>1852.44</v>
      </c>
      <c r="T782">
        <f t="shared" si="734"/>
        <v>0</v>
      </c>
      <c r="U782">
        <f t="shared" si="735"/>
        <v>3</v>
      </c>
      <c r="V782">
        <f t="shared" si="736"/>
        <v>0</v>
      </c>
      <c r="W782">
        <f t="shared" si="737"/>
        <v>0</v>
      </c>
      <c r="X782">
        <f t="shared" si="738"/>
        <v>1296.71</v>
      </c>
      <c r="Y782">
        <f t="shared" si="739"/>
        <v>185.24</v>
      </c>
      <c r="AA782">
        <v>-1</v>
      </c>
      <c r="AB782">
        <f t="shared" si="740"/>
        <v>928.44</v>
      </c>
      <c r="AC782">
        <f>ROUND(((ES782*3)),6)</f>
        <v>2.2200000000000002</v>
      </c>
      <c r="AD782">
        <f>ROUND((((ET782)-(EU782))+AE782),6)</f>
        <v>0</v>
      </c>
      <c r="AE782">
        <f>ROUND((EU782),6)</f>
        <v>0</v>
      </c>
      <c r="AF782">
        <f>ROUND(((EV782*3)),6)</f>
        <v>926.22</v>
      </c>
      <c r="AG782">
        <f t="shared" si="741"/>
        <v>0</v>
      </c>
      <c r="AH782">
        <f>((EW782*3))</f>
        <v>1.5</v>
      </c>
      <c r="AI782">
        <f>(EX782)</f>
        <v>0</v>
      </c>
      <c r="AJ782">
        <f t="shared" si="742"/>
        <v>0</v>
      </c>
      <c r="AK782">
        <v>309.48</v>
      </c>
      <c r="AL782">
        <v>0.74</v>
      </c>
      <c r="AM782">
        <v>0</v>
      </c>
      <c r="AN782">
        <v>0</v>
      </c>
      <c r="AO782">
        <v>308.74</v>
      </c>
      <c r="AP782">
        <v>0</v>
      </c>
      <c r="AQ782">
        <v>0.5</v>
      </c>
      <c r="AR782">
        <v>0</v>
      </c>
      <c r="AS782">
        <v>0</v>
      </c>
      <c r="AT782">
        <v>70</v>
      </c>
      <c r="AU782">
        <v>10</v>
      </c>
      <c r="AV782">
        <v>1</v>
      </c>
      <c r="AW782">
        <v>1</v>
      </c>
      <c r="AZ782">
        <v>1</v>
      </c>
      <c r="BA782">
        <v>1</v>
      </c>
      <c r="BB782">
        <v>1</v>
      </c>
      <c r="BC782">
        <v>1</v>
      </c>
      <c r="BD782" t="s">
        <v>3</v>
      </c>
      <c r="BE782" t="s">
        <v>3</v>
      </c>
      <c r="BF782" t="s">
        <v>3</v>
      </c>
      <c r="BG782" t="s">
        <v>3</v>
      </c>
      <c r="BH782">
        <v>0</v>
      </c>
      <c r="BI782">
        <v>4</v>
      </c>
      <c r="BJ782" t="s">
        <v>667</v>
      </c>
      <c r="BM782">
        <v>0</v>
      </c>
      <c r="BN782">
        <v>0</v>
      </c>
      <c r="BO782" t="s">
        <v>3</v>
      </c>
      <c r="BP782">
        <v>0</v>
      </c>
      <c r="BQ782">
        <v>1</v>
      </c>
      <c r="BR782">
        <v>0</v>
      </c>
      <c r="BS782">
        <v>1</v>
      </c>
      <c r="BT782">
        <v>1</v>
      </c>
      <c r="BU782">
        <v>1</v>
      </c>
      <c r="BV782">
        <v>1</v>
      </c>
      <c r="BW782">
        <v>1</v>
      </c>
      <c r="BX782">
        <v>1</v>
      </c>
      <c r="BY782" t="s">
        <v>3</v>
      </c>
      <c r="BZ782">
        <v>70</v>
      </c>
      <c r="CA782">
        <v>10</v>
      </c>
      <c r="CB782" t="s">
        <v>3</v>
      </c>
      <c r="CE782">
        <v>0</v>
      </c>
      <c r="CF782">
        <v>0</v>
      </c>
      <c r="CG782">
        <v>0</v>
      </c>
      <c r="CM782">
        <v>0</v>
      </c>
      <c r="CN782" t="s">
        <v>3</v>
      </c>
      <c r="CO782">
        <v>0</v>
      </c>
      <c r="CP782">
        <f t="shared" si="743"/>
        <v>1856.88</v>
      </c>
      <c r="CQ782">
        <f t="shared" si="744"/>
        <v>2.2200000000000002</v>
      </c>
      <c r="CR782">
        <f>((((ET782)*BB782-(EU782)*BS782)+AE782*BS782)*AV782)</f>
        <v>0</v>
      </c>
      <c r="CS782">
        <f t="shared" si="745"/>
        <v>0</v>
      </c>
      <c r="CT782">
        <f t="shared" si="746"/>
        <v>926.22</v>
      </c>
      <c r="CU782">
        <f t="shared" si="747"/>
        <v>0</v>
      </c>
      <c r="CV782">
        <f t="shared" si="748"/>
        <v>1.5</v>
      </c>
      <c r="CW782">
        <f t="shared" si="749"/>
        <v>0</v>
      </c>
      <c r="CX782">
        <f t="shared" si="750"/>
        <v>0</v>
      </c>
      <c r="CY782">
        <f t="shared" si="751"/>
        <v>1296.7080000000001</v>
      </c>
      <c r="CZ782">
        <f t="shared" si="752"/>
        <v>185.24400000000003</v>
      </c>
      <c r="DC782" t="s">
        <v>3</v>
      </c>
      <c r="DD782" t="s">
        <v>577</v>
      </c>
      <c r="DE782" t="s">
        <v>3</v>
      </c>
      <c r="DF782" t="s">
        <v>3</v>
      </c>
      <c r="DG782" t="s">
        <v>577</v>
      </c>
      <c r="DH782" t="s">
        <v>3</v>
      </c>
      <c r="DI782" t="s">
        <v>577</v>
      </c>
      <c r="DJ782" t="s">
        <v>3</v>
      </c>
      <c r="DK782" t="s">
        <v>3</v>
      </c>
      <c r="DL782" t="s">
        <v>3</v>
      </c>
      <c r="DM782" t="s">
        <v>3</v>
      </c>
      <c r="DN782">
        <v>0</v>
      </c>
      <c r="DO782">
        <v>0</v>
      </c>
      <c r="DP782">
        <v>1</v>
      </c>
      <c r="DQ782">
        <v>1</v>
      </c>
      <c r="DU782">
        <v>16987630</v>
      </c>
      <c r="DV782" t="s">
        <v>20</v>
      </c>
      <c r="DW782" t="s">
        <v>20</v>
      </c>
      <c r="DX782">
        <v>1</v>
      </c>
      <c r="DZ782" t="s">
        <v>3</v>
      </c>
      <c r="EA782" t="s">
        <v>3</v>
      </c>
      <c r="EB782" t="s">
        <v>3</v>
      </c>
      <c r="EC782" t="s">
        <v>3</v>
      </c>
      <c r="EE782">
        <v>1441815344</v>
      </c>
      <c r="EF782">
        <v>1</v>
      </c>
      <c r="EG782" t="s">
        <v>22</v>
      </c>
      <c r="EH782">
        <v>0</v>
      </c>
      <c r="EI782" t="s">
        <v>3</v>
      </c>
      <c r="EJ782">
        <v>4</v>
      </c>
      <c r="EK782">
        <v>0</v>
      </c>
      <c r="EL782" t="s">
        <v>23</v>
      </c>
      <c r="EM782" t="s">
        <v>24</v>
      </c>
      <c r="EO782" t="s">
        <v>3</v>
      </c>
      <c r="EQ782">
        <v>1024</v>
      </c>
      <c r="ER782">
        <v>309.48</v>
      </c>
      <c r="ES782">
        <v>0.74</v>
      </c>
      <c r="ET782">
        <v>0</v>
      </c>
      <c r="EU782">
        <v>0</v>
      </c>
      <c r="EV782">
        <v>308.74</v>
      </c>
      <c r="EW782">
        <v>0.5</v>
      </c>
      <c r="EX782">
        <v>0</v>
      </c>
      <c r="EY782">
        <v>0</v>
      </c>
      <c r="FQ782">
        <v>0</v>
      </c>
      <c r="FR782">
        <f t="shared" si="753"/>
        <v>0</v>
      </c>
      <c r="FS782">
        <v>0</v>
      </c>
      <c r="FX782">
        <v>70</v>
      </c>
      <c r="FY782">
        <v>10</v>
      </c>
      <c r="GA782" t="s">
        <v>3</v>
      </c>
      <c r="GD782">
        <v>0</v>
      </c>
      <c r="GF782">
        <v>139908063</v>
      </c>
      <c r="GG782">
        <v>2</v>
      </c>
      <c r="GH782">
        <v>1</v>
      </c>
      <c r="GI782">
        <v>-2</v>
      </c>
      <c r="GJ782">
        <v>0</v>
      </c>
      <c r="GK782">
        <f>ROUND(R782*(R12)/100,2)</f>
        <v>0</v>
      </c>
      <c r="GL782">
        <f t="shared" si="754"/>
        <v>0</v>
      </c>
      <c r="GM782">
        <f t="shared" si="755"/>
        <v>3338.83</v>
      </c>
      <c r="GN782">
        <f t="shared" si="756"/>
        <v>0</v>
      </c>
      <c r="GO782">
        <f t="shared" si="757"/>
        <v>0</v>
      </c>
      <c r="GP782">
        <f t="shared" si="758"/>
        <v>3338.83</v>
      </c>
      <c r="GR782">
        <v>0</v>
      </c>
      <c r="GS782">
        <v>3</v>
      </c>
      <c r="GT782">
        <v>0</v>
      </c>
      <c r="GU782" t="s">
        <v>3</v>
      </c>
      <c r="GV782">
        <f t="shared" si="759"/>
        <v>0</v>
      </c>
      <c r="GW782">
        <v>1</v>
      </c>
      <c r="GX782">
        <f t="shared" si="760"/>
        <v>0</v>
      </c>
      <c r="HA782">
        <v>0</v>
      </c>
      <c r="HB782">
        <v>0</v>
      </c>
      <c r="HC782">
        <f t="shared" si="761"/>
        <v>0</v>
      </c>
      <c r="HE782" t="s">
        <v>3</v>
      </c>
      <c r="HF782" t="s">
        <v>3</v>
      </c>
      <c r="HM782" t="s">
        <v>3</v>
      </c>
      <c r="HN782" t="s">
        <v>3</v>
      </c>
      <c r="HO782" t="s">
        <v>3</v>
      </c>
      <c r="HP782" t="s">
        <v>3</v>
      </c>
      <c r="HQ782" t="s">
        <v>3</v>
      </c>
      <c r="IK782">
        <v>0</v>
      </c>
    </row>
    <row r="783" spans="1:245" x14ac:dyDescent="0.2">
      <c r="A783">
        <v>17</v>
      </c>
      <c r="B783">
        <v>1</v>
      </c>
      <c r="D783">
        <f>ROW(EtalonRes!A719)</f>
        <v>719</v>
      </c>
      <c r="E783" t="s">
        <v>668</v>
      </c>
      <c r="F783" t="s">
        <v>612</v>
      </c>
      <c r="G783" t="s">
        <v>669</v>
      </c>
      <c r="H783" t="s">
        <v>20</v>
      </c>
      <c r="I783">
        <v>1</v>
      </c>
      <c r="J783">
        <v>0</v>
      </c>
      <c r="K783">
        <v>1</v>
      </c>
      <c r="O783">
        <f t="shared" si="729"/>
        <v>2924.2</v>
      </c>
      <c r="P783">
        <f t="shared" si="730"/>
        <v>1206.82</v>
      </c>
      <c r="Q783">
        <f t="shared" si="731"/>
        <v>0</v>
      </c>
      <c r="R783">
        <f t="shared" si="732"/>
        <v>0</v>
      </c>
      <c r="S783">
        <f t="shared" si="733"/>
        <v>1717.38</v>
      </c>
      <c r="T783">
        <f t="shared" si="734"/>
        <v>0</v>
      </c>
      <c r="U783">
        <f t="shared" si="735"/>
        <v>2.42</v>
      </c>
      <c r="V783">
        <f t="shared" si="736"/>
        <v>0</v>
      </c>
      <c r="W783">
        <f t="shared" si="737"/>
        <v>0</v>
      </c>
      <c r="X783">
        <f t="shared" si="738"/>
        <v>1202.17</v>
      </c>
      <c r="Y783">
        <f t="shared" si="739"/>
        <v>171.74</v>
      </c>
      <c r="AA783">
        <v>1472506909</v>
      </c>
      <c r="AB783">
        <f t="shared" si="740"/>
        <v>2924.2</v>
      </c>
      <c r="AC783">
        <f>ROUND((ES783),6)</f>
        <v>1206.82</v>
      </c>
      <c r="AD783">
        <f>ROUND((((ET783)-(EU783))+AE783),6)</f>
        <v>0</v>
      </c>
      <c r="AE783">
        <f>ROUND((EU783),6)</f>
        <v>0</v>
      </c>
      <c r="AF783">
        <f>ROUND((EV783),6)</f>
        <v>1717.38</v>
      </c>
      <c r="AG783">
        <f t="shared" si="741"/>
        <v>0</v>
      </c>
      <c r="AH783">
        <f>(EW783)</f>
        <v>2.42</v>
      </c>
      <c r="AI783">
        <f>(EX783)</f>
        <v>0</v>
      </c>
      <c r="AJ783">
        <f t="shared" si="742"/>
        <v>0</v>
      </c>
      <c r="AK783">
        <v>2924.2</v>
      </c>
      <c r="AL783">
        <v>1206.82</v>
      </c>
      <c r="AM783">
        <v>0</v>
      </c>
      <c r="AN783">
        <v>0</v>
      </c>
      <c r="AO783">
        <v>1717.38</v>
      </c>
      <c r="AP783">
        <v>0</v>
      </c>
      <c r="AQ783">
        <v>2.42</v>
      </c>
      <c r="AR783">
        <v>0</v>
      </c>
      <c r="AS783">
        <v>0</v>
      </c>
      <c r="AT783">
        <v>70</v>
      </c>
      <c r="AU783">
        <v>10</v>
      </c>
      <c r="AV783">
        <v>1</v>
      </c>
      <c r="AW783">
        <v>1</v>
      </c>
      <c r="AZ783">
        <v>1</v>
      </c>
      <c r="BA783">
        <v>1</v>
      </c>
      <c r="BB783">
        <v>1</v>
      </c>
      <c r="BC783">
        <v>1</v>
      </c>
      <c r="BD783" t="s">
        <v>3</v>
      </c>
      <c r="BE783" t="s">
        <v>3</v>
      </c>
      <c r="BF783" t="s">
        <v>3</v>
      </c>
      <c r="BG783" t="s">
        <v>3</v>
      </c>
      <c r="BH783">
        <v>0</v>
      </c>
      <c r="BI783">
        <v>4</v>
      </c>
      <c r="BJ783" t="s">
        <v>614</v>
      </c>
      <c r="BM783">
        <v>0</v>
      </c>
      <c r="BN783">
        <v>0</v>
      </c>
      <c r="BO783" t="s">
        <v>3</v>
      </c>
      <c r="BP783">
        <v>0</v>
      </c>
      <c r="BQ783">
        <v>1</v>
      </c>
      <c r="BR783">
        <v>0</v>
      </c>
      <c r="BS783">
        <v>1</v>
      </c>
      <c r="BT783">
        <v>1</v>
      </c>
      <c r="BU783">
        <v>1</v>
      </c>
      <c r="BV783">
        <v>1</v>
      </c>
      <c r="BW783">
        <v>1</v>
      </c>
      <c r="BX783">
        <v>1</v>
      </c>
      <c r="BY783" t="s">
        <v>3</v>
      </c>
      <c r="BZ783">
        <v>70</v>
      </c>
      <c r="CA783">
        <v>10</v>
      </c>
      <c r="CB783" t="s">
        <v>3</v>
      </c>
      <c r="CE783">
        <v>0</v>
      </c>
      <c r="CF783">
        <v>0</v>
      </c>
      <c r="CG783">
        <v>0</v>
      </c>
      <c r="CM783">
        <v>0</v>
      </c>
      <c r="CN783" t="s">
        <v>3</v>
      </c>
      <c r="CO783">
        <v>0</v>
      </c>
      <c r="CP783">
        <f t="shared" si="743"/>
        <v>2924.2</v>
      </c>
      <c r="CQ783">
        <f t="shared" si="744"/>
        <v>1206.82</v>
      </c>
      <c r="CR783">
        <f>((((ET783)*BB783-(EU783)*BS783)+AE783*BS783)*AV783)</f>
        <v>0</v>
      </c>
      <c r="CS783">
        <f t="shared" si="745"/>
        <v>0</v>
      </c>
      <c r="CT783">
        <f t="shared" si="746"/>
        <v>1717.38</v>
      </c>
      <c r="CU783">
        <f t="shared" si="747"/>
        <v>0</v>
      </c>
      <c r="CV783">
        <f t="shared" si="748"/>
        <v>2.42</v>
      </c>
      <c r="CW783">
        <f t="shared" si="749"/>
        <v>0</v>
      </c>
      <c r="CX783">
        <f t="shared" si="750"/>
        <v>0</v>
      </c>
      <c r="CY783">
        <f t="shared" si="751"/>
        <v>1202.1660000000002</v>
      </c>
      <c r="CZ783">
        <f t="shared" si="752"/>
        <v>171.73800000000003</v>
      </c>
      <c r="DC783" t="s">
        <v>3</v>
      </c>
      <c r="DD783" t="s">
        <v>3</v>
      </c>
      <c r="DE783" t="s">
        <v>3</v>
      </c>
      <c r="DF783" t="s">
        <v>3</v>
      </c>
      <c r="DG783" t="s">
        <v>3</v>
      </c>
      <c r="DH783" t="s">
        <v>3</v>
      </c>
      <c r="DI783" t="s">
        <v>3</v>
      </c>
      <c r="DJ783" t="s">
        <v>3</v>
      </c>
      <c r="DK783" t="s">
        <v>3</v>
      </c>
      <c r="DL783" t="s">
        <v>3</v>
      </c>
      <c r="DM783" t="s">
        <v>3</v>
      </c>
      <c r="DN783">
        <v>0</v>
      </c>
      <c r="DO783">
        <v>0</v>
      </c>
      <c r="DP783">
        <v>1</v>
      </c>
      <c r="DQ783">
        <v>1</v>
      </c>
      <c r="DU783">
        <v>16987630</v>
      </c>
      <c r="DV783" t="s">
        <v>20</v>
      </c>
      <c r="DW783" t="s">
        <v>20</v>
      </c>
      <c r="DX783">
        <v>1</v>
      </c>
      <c r="DZ783" t="s">
        <v>3</v>
      </c>
      <c r="EA783" t="s">
        <v>3</v>
      </c>
      <c r="EB783" t="s">
        <v>3</v>
      </c>
      <c r="EC783" t="s">
        <v>3</v>
      </c>
      <c r="EE783">
        <v>1441815344</v>
      </c>
      <c r="EF783">
        <v>1</v>
      </c>
      <c r="EG783" t="s">
        <v>22</v>
      </c>
      <c r="EH783">
        <v>0</v>
      </c>
      <c r="EI783" t="s">
        <v>3</v>
      </c>
      <c r="EJ783">
        <v>4</v>
      </c>
      <c r="EK783">
        <v>0</v>
      </c>
      <c r="EL783" t="s">
        <v>23</v>
      </c>
      <c r="EM783" t="s">
        <v>24</v>
      </c>
      <c r="EO783" t="s">
        <v>3</v>
      </c>
      <c r="EQ783">
        <v>0</v>
      </c>
      <c r="ER783">
        <v>2924.2</v>
      </c>
      <c r="ES783">
        <v>1206.82</v>
      </c>
      <c r="ET783">
        <v>0</v>
      </c>
      <c r="EU783">
        <v>0</v>
      </c>
      <c r="EV783">
        <v>1717.38</v>
      </c>
      <c r="EW783">
        <v>2.42</v>
      </c>
      <c r="EX783">
        <v>0</v>
      </c>
      <c r="EY783">
        <v>0</v>
      </c>
      <c r="FQ783">
        <v>0</v>
      </c>
      <c r="FR783">
        <f t="shared" si="753"/>
        <v>0</v>
      </c>
      <c r="FS783">
        <v>0</v>
      </c>
      <c r="FX783">
        <v>70</v>
      </c>
      <c r="FY783">
        <v>10</v>
      </c>
      <c r="GA783" t="s">
        <v>3</v>
      </c>
      <c r="GD783">
        <v>0</v>
      </c>
      <c r="GF783">
        <v>1155866803</v>
      </c>
      <c r="GG783">
        <v>2</v>
      </c>
      <c r="GH783">
        <v>1</v>
      </c>
      <c r="GI783">
        <v>-2</v>
      </c>
      <c r="GJ783">
        <v>0</v>
      </c>
      <c r="GK783">
        <f>ROUND(R783*(R12)/100,2)</f>
        <v>0</v>
      </c>
      <c r="GL783">
        <f t="shared" si="754"/>
        <v>0</v>
      </c>
      <c r="GM783">
        <f t="shared" si="755"/>
        <v>4298.1099999999997</v>
      </c>
      <c r="GN783">
        <f t="shared" si="756"/>
        <v>0</v>
      </c>
      <c r="GO783">
        <f t="shared" si="757"/>
        <v>0</v>
      </c>
      <c r="GP783">
        <f t="shared" si="758"/>
        <v>4298.1099999999997</v>
      </c>
      <c r="GR783">
        <v>0</v>
      </c>
      <c r="GS783">
        <v>3</v>
      </c>
      <c r="GT783">
        <v>0</v>
      </c>
      <c r="GU783" t="s">
        <v>3</v>
      </c>
      <c r="GV783">
        <f t="shared" si="759"/>
        <v>0</v>
      </c>
      <c r="GW783">
        <v>1</v>
      </c>
      <c r="GX783">
        <f t="shared" si="760"/>
        <v>0</v>
      </c>
      <c r="HA783">
        <v>0</v>
      </c>
      <c r="HB783">
        <v>0</v>
      </c>
      <c r="HC783">
        <f t="shared" si="761"/>
        <v>0</v>
      </c>
      <c r="HE783" t="s">
        <v>3</v>
      </c>
      <c r="HF783" t="s">
        <v>3</v>
      </c>
      <c r="HM783" t="s">
        <v>3</v>
      </c>
      <c r="HN783" t="s">
        <v>3</v>
      </c>
      <c r="HO783" t="s">
        <v>3</v>
      </c>
      <c r="HP783" t="s">
        <v>3</v>
      </c>
      <c r="HQ783" t="s">
        <v>3</v>
      </c>
      <c r="IK783">
        <v>0</v>
      </c>
    </row>
    <row r="784" spans="1:245" x14ac:dyDescent="0.2">
      <c r="A784">
        <v>17</v>
      </c>
      <c r="B784">
        <v>1</v>
      </c>
      <c r="D784">
        <f>ROW(EtalonRes!A722)</f>
        <v>722</v>
      </c>
      <c r="E784" t="s">
        <v>3</v>
      </c>
      <c r="F784" t="s">
        <v>578</v>
      </c>
      <c r="G784" t="s">
        <v>579</v>
      </c>
      <c r="H784" t="s">
        <v>20</v>
      </c>
      <c r="I784">
        <f>ROUND(6+6,9)</f>
        <v>12</v>
      </c>
      <c r="J784">
        <v>0</v>
      </c>
      <c r="K784">
        <f>ROUND(6+6,9)</f>
        <v>12</v>
      </c>
      <c r="O784">
        <f t="shared" si="729"/>
        <v>13902.36</v>
      </c>
      <c r="P784">
        <f t="shared" si="730"/>
        <v>21.36</v>
      </c>
      <c r="Q784">
        <f t="shared" si="731"/>
        <v>0</v>
      </c>
      <c r="R784">
        <f t="shared" si="732"/>
        <v>0</v>
      </c>
      <c r="S784">
        <f t="shared" si="733"/>
        <v>13881</v>
      </c>
      <c r="T784">
        <f t="shared" si="734"/>
        <v>0</v>
      </c>
      <c r="U784">
        <f t="shared" si="735"/>
        <v>19.559999999999999</v>
      </c>
      <c r="V784">
        <f t="shared" si="736"/>
        <v>0</v>
      </c>
      <c r="W784">
        <f t="shared" si="737"/>
        <v>0</v>
      </c>
      <c r="X784">
        <f t="shared" si="738"/>
        <v>9716.7000000000007</v>
      </c>
      <c r="Y784">
        <f t="shared" si="739"/>
        <v>1388.1</v>
      </c>
      <c r="AA784">
        <v>-1</v>
      </c>
      <c r="AB784">
        <f t="shared" si="740"/>
        <v>1158.53</v>
      </c>
      <c r="AC784">
        <f>ROUND((ES784),6)</f>
        <v>1.78</v>
      </c>
      <c r="AD784">
        <f>ROUND((((ET784)-(EU784))+AE784),6)</f>
        <v>0</v>
      </c>
      <c r="AE784">
        <f>ROUND((EU784),6)</f>
        <v>0</v>
      </c>
      <c r="AF784">
        <f>ROUND((EV784),6)</f>
        <v>1156.75</v>
      </c>
      <c r="AG784">
        <f t="shared" si="741"/>
        <v>0</v>
      </c>
      <c r="AH784">
        <f>(EW784)</f>
        <v>1.63</v>
      </c>
      <c r="AI784">
        <f>(EX784)</f>
        <v>0</v>
      </c>
      <c r="AJ784">
        <f t="shared" si="742"/>
        <v>0</v>
      </c>
      <c r="AK784">
        <v>1158.53</v>
      </c>
      <c r="AL784">
        <v>1.78</v>
      </c>
      <c r="AM784">
        <v>0</v>
      </c>
      <c r="AN784">
        <v>0</v>
      </c>
      <c r="AO784">
        <v>1156.75</v>
      </c>
      <c r="AP784">
        <v>0</v>
      </c>
      <c r="AQ784">
        <v>1.63</v>
      </c>
      <c r="AR784">
        <v>0</v>
      </c>
      <c r="AS784">
        <v>0</v>
      </c>
      <c r="AT784">
        <v>70</v>
      </c>
      <c r="AU784">
        <v>10</v>
      </c>
      <c r="AV784">
        <v>1</v>
      </c>
      <c r="AW784">
        <v>1</v>
      </c>
      <c r="AZ784">
        <v>1</v>
      </c>
      <c r="BA784">
        <v>1</v>
      </c>
      <c r="BB784">
        <v>1</v>
      </c>
      <c r="BC784">
        <v>1</v>
      </c>
      <c r="BD784" t="s">
        <v>3</v>
      </c>
      <c r="BE784" t="s">
        <v>3</v>
      </c>
      <c r="BF784" t="s">
        <v>3</v>
      </c>
      <c r="BG784" t="s">
        <v>3</v>
      </c>
      <c r="BH784">
        <v>0</v>
      </c>
      <c r="BI784">
        <v>4</v>
      </c>
      <c r="BJ784" t="s">
        <v>580</v>
      </c>
      <c r="BM784">
        <v>0</v>
      </c>
      <c r="BN784">
        <v>0</v>
      </c>
      <c r="BO784" t="s">
        <v>3</v>
      </c>
      <c r="BP784">
        <v>0</v>
      </c>
      <c r="BQ784">
        <v>1</v>
      </c>
      <c r="BR784">
        <v>0</v>
      </c>
      <c r="BS784">
        <v>1</v>
      </c>
      <c r="BT784">
        <v>1</v>
      </c>
      <c r="BU784">
        <v>1</v>
      </c>
      <c r="BV784">
        <v>1</v>
      </c>
      <c r="BW784">
        <v>1</v>
      </c>
      <c r="BX784">
        <v>1</v>
      </c>
      <c r="BY784" t="s">
        <v>3</v>
      </c>
      <c r="BZ784">
        <v>70</v>
      </c>
      <c r="CA784">
        <v>10</v>
      </c>
      <c r="CB784" t="s">
        <v>3</v>
      </c>
      <c r="CE784">
        <v>0</v>
      </c>
      <c r="CF784">
        <v>0</v>
      </c>
      <c r="CG784">
        <v>0</v>
      </c>
      <c r="CM784">
        <v>0</v>
      </c>
      <c r="CN784" t="s">
        <v>3</v>
      </c>
      <c r="CO784">
        <v>0</v>
      </c>
      <c r="CP784">
        <f t="shared" si="743"/>
        <v>13902.36</v>
      </c>
      <c r="CQ784">
        <f t="shared" si="744"/>
        <v>1.78</v>
      </c>
      <c r="CR784">
        <f>((((ET784)*BB784-(EU784)*BS784)+AE784*BS784)*AV784)</f>
        <v>0</v>
      </c>
      <c r="CS784">
        <f t="shared" si="745"/>
        <v>0</v>
      </c>
      <c r="CT784">
        <f t="shared" si="746"/>
        <v>1156.75</v>
      </c>
      <c r="CU784">
        <f t="shared" si="747"/>
        <v>0</v>
      </c>
      <c r="CV784">
        <f t="shared" si="748"/>
        <v>1.63</v>
      </c>
      <c r="CW784">
        <f t="shared" si="749"/>
        <v>0</v>
      </c>
      <c r="CX784">
        <f t="shared" si="750"/>
        <v>0</v>
      </c>
      <c r="CY784">
        <f t="shared" si="751"/>
        <v>9716.7000000000007</v>
      </c>
      <c r="CZ784">
        <f t="shared" si="752"/>
        <v>1388.1</v>
      </c>
      <c r="DC784" t="s">
        <v>3</v>
      </c>
      <c r="DD784" t="s">
        <v>3</v>
      </c>
      <c r="DE784" t="s">
        <v>3</v>
      </c>
      <c r="DF784" t="s">
        <v>3</v>
      </c>
      <c r="DG784" t="s">
        <v>3</v>
      </c>
      <c r="DH784" t="s">
        <v>3</v>
      </c>
      <c r="DI784" t="s">
        <v>3</v>
      </c>
      <c r="DJ784" t="s">
        <v>3</v>
      </c>
      <c r="DK784" t="s">
        <v>3</v>
      </c>
      <c r="DL784" t="s">
        <v>3</v>
      </c>
      <c r="DM784" t="s">
        <v>3</v>
      </c>
      <c r="DN784">
        <v>0</v>
      </c>
      <c r="DO784">
        <v>0</v>
      </c>
      <c r="DP784">
        <v>1</v>
      </c>
      <c r="DQ784">
        <v>1</v>
      </c>
      <c r="DU784">
        <v>16987630</v>
      </c>
      <c r="DV784" t="s">
        <v>20</v>
      </c>
      <c r="DW784" t="s">
        <v>20</v>
      </c>
      <c r="DX784">
        <v>1</v>
      </c>
      <c r="DZ784" t="s">
        <v>3</v>
      </c>
      <c r="EA784" t="s">
        <v>3</v>
      </c>
      <c r="EB784" t="s">
        <v>3</v>
      </c>
      <c r="EC784" t="s">
        <v>3</v>
      </c>
      <c r="EE784">
        <v>1441815344</v>
      </c>
      <c r="EF784">
        <v>1</v>
      </c>
      <c r="EG784" t="s">
        <v>22</v>
      </c>
      <c r="EH784">
        <v>0</v>
      </c>
      <c r="EI784" t="s">
        <v>3</v>
      </c>
      <c r="EJ784">
        <v>4</v>
      </c>
      <c r="EK784">
        <v>0</v>
      </c>
      <c r="EL784" t="s">
        <v>23</v>
      </c>
      <c r="EM784" t="s">
        <v>24</v>
      </c>
      <c r="EO784" t="s">
        <v>3</v>
      </c>
      <c r="EQ784">
        <v>1311744</v>
      </c>
      <c r="ER784">
        <v>1158.53</v>
      </c>
      <c r="ES784">
        <v>1.78</v>
      </c>
      <c r="ET784">
        <v>0</v>
      </c>
      <c r="EU784">
        <v>0</v>
      </c>
      <c r="EV784">
        <v>1156.75</v>
      </c>
      <c r="EW784">
        <v>1.63</v>
      </c>
      <c r="EX784">
        <v>0</v>
      </c>
      <c r="EY784">
        <v>0</v>
      </c>
      <c r="FQ784">
        <v>0</v>
      </c>
      <c r="FR784">
        <f t="shared" si="753"/>
        <v>0</v>
      </c>
      <c r="FS784">
        <v>0</v>
      </c>
      <c r="FX784">
        <v>70</v>
      </c>
      <c r="FY784">
        <v>10</v>
      </c>
      <c r="GA784" t="s">
        <v>3</v>
      </c>
      <c r="GD784">
        <v>0</v>
      </c>
      <c r="GF784">
        <v>1177730177</v>
      </c>
      <c r="GG784">
        <v>2</v>
      </c>
      <c r="GH784">
        <v>1</v>
      </c>
      <c r="GI784">
        <v>-2</v>
      </c>
      <c r="GJ784">
        <v>0</v>
      </c>
      <c r="GK784">
        <f>ROUND(R784*(R12)/100,2)</f>
        <v>0</v>
      </c>
      <c r="GL784">
        <f t="shared" si="754"/>
        <v>0</v>
      </c>
      <c r="GM784">
        <f t="shared" si="755"/>
        <v>25007.16</v>
      </c>
      <c r="GN784">
        <f t="shared" si="756"/>
        <v>0</v>
      </c>
      <c r="GO784">
        <f t="shared" si="757"/>
        <v>0</v>
      </c>
      <c r="GP784">
        <f t="shared" si="758"/>
        <v>25007.16</v>
      </c>
      <c r="GR784">
        <v>0</v>
      </c>
      <c r="GS784">
        <v>3</v>
      </c>
      <c r="GT784">
        <v>0</v>
      </c>
      <c r="GU784" t="s">
        <v>3</v>
      </c>
      <c r="GV784">
        <f t="shared" si="759"/>
        <v>0</v>
      </c>
      <c r="GW784">
        <v>1</v>
      </c>
      <c r="GX784">
        <f t="shared" si="760"/>
        <v>0</v>
      </c>
      <c r="HA784">
        <v>0</v>
      </c>
      <c r="HB784">
        <v>0</v>
      </c>
      <c r="HC784">
        <f t="shared" si="761"/>
        <v>0</v>
      </c>
      <c r="HE784" t="s">
        <v>3</v>
      </c>
      <c r="HF784" t="s">
        <v>3</v>
      </c>
      <c r="HM784" t="s">
        <v>3</v>
      </c>
      <c r="HN784" t="s">
        <v>3</v>
      </c>
      <c r="HO784" t="s">
        <v>3</v>
      </c>
      <c r="HP784" t="s">
        <v>3</v>
      </c>
      <c r="HQ784" t="s">
        <v>3</v>
      </c>
      <c r="IK784">
        <v>0</v>
      </c>
    </row>
    <row r="785" spans="1:245" x14ac:dyDescent="0.2">
      <c r="A785">
        <v>17</v>
      </c>
      <c r="B785">
        <v>1</v>
      </c>
      <c r="D785">
        <f>ROW(EtalonRes!A726)</f>
        <v>726</v>
      </c>
      <c r="E785" t="s">
        <v>3</v>
      </c>
      <c r="F785" t="s">
        <v>581</v>
      </c>
      <c r="G785" t="s">
        <v>670</v>
      </c>
      <c r="H785" t="s">
        <v>20</v>
      </c>
      <c r="I785">
        <f>ROUND(6+6,9)</f>
        <v>12</v>
      </c>
      <c r="J785">
        <v>0</v>
      </c>
      <c r="K785">
        <f>ROUND(6+6,9)</f>
        <v>12</v>
      </c>
      <c r="O785">
        <f t="shared" si="729"/>
        <v>6413.76</v>
      </c>
      <c r="P785">
        <f t="shared" si="730"/>
        <v>43.2</v>
      </c>
      <c r="Q785">
        <f t="shared" si="731"/>
        <v>0</v>
      </c>
      <c r="R785">
        <f t="shared" si="732"/>
        <v>0</v>
      </c>
      <c r="S785">
        <f t="shared" si="733"/>
        <v>6370.56</v>
      </c>
      <c r="T785">
        <f t="shared" si="734"/>
        <v>0</v>
      </c>
      <c r="U785">
        <f t="shared" si="735"/>
        <v>9.6000000000000014</v>
      </c>
      <c r="V785">
        <f t="shared" si="736"/>
        <v>0</v>
      </c>
      <c r="W785">
        <f t="shared" si="737"/>
        <v>0</v>
      </c>
      <c r="X785">
        <f t="shared" si="738"/>
        <v>4459.3900000000003</v>
      </c>
      <c r="Y785">
        <f t="shared" si="739"/>
        <v>637.05999999999995</v>
      </c>
      <c r="AA785">
        <v>-1</v>
      </c>
      <c r="AB785">
        <f t="shared" si="740"/>
        <v>534.48</v>
      </c>
      <c r="AC785">
        <f>ROUND(((ES785*4)),6)</f>
        <v>3.6</v>
      </c>
      <c r="AD785">
        <f>ROUND(((((ET785*4))-((EU785*4)))+AE785),6)</f>
        <v>0</v>
      </c>
      <c r="AE785">
        <f>ROUND(((EU785*4)),6)</f>
        <v>0</v>
      </c>
      <c r="AF785">
        <f>ROUND(((EV785*4)),6)</f>
        <v>530.88</v>
      </c>
      <c r="AG785">
        <f t="shared" si="741"/>
        <v>0</v>
      </c>
      <c r="AH785">
        <f>((EW785*4))</f>
        <v>0.8</v>
      </c>
      <c r="AI785">
        <f>((EX785*4))</f>
        <v>0</v>
      </c>
      <c r="AJ785">
        <f t="shared" si="742"/>
        <v>0</v>
      </c>
      <c r="AK785">
        <v>133.62</v>
      </c>
      <c r="AL785">
        <v>0.9</v>
      </c>
      <c r="AM785">
        <v>0</v>
      </c>
      <c r="AN785">
        <v>0</v>
      </c>
      <c r="AO785">
        <v>132.72</v>
      </c>
      <c r="AP785">
        <v>0</v>
      </c>
      <c r="AQ785">
        <v>0.2</v>
      </c>
      <c r="AR785">
        <v>0</v>
      </c>
      <c r="AS785">
        <v>0</v>
      </c>
      <c r="AT785">
        <v>70</v>
      </c>
      <c r="AU785">
        <v>10</v>
      </c>
      <c r="AV785">
        <v>1</v>
      </c>
      <c r="AW785">
        <v>1</v>
      </c>
      <c r="AZ785">
        <v>1</v>
      </c>
      <c r="BA785">
        <v>1</v>
      </c>
      <c r="BB785">
        <v>1</v>
      </c>
      <c r="BC785">
        <v>1</v>
      </c>
      <c r="BD785" t="s">
        <v>3</v>
      </c>
      <c r="BE785" t="s">
        <v>3</v>
      </c>
      <c r="BF785" t="s">
        <v>3</v>
      </c>
      <c r="BG785" t="s">
        <v>3</v>
      </c>
      <c r="BH785">
        <v>0</v>
      </c>
      <c r="BI785">
        <v>4</v>
      </c>
      <c r="BJ785" t="s">
        <v>583</v>
      </c>
      <c r="BM785">
        <v>0</v>
      </c>
      <c r="BN785">
        <v>0</v>
      </c>
      <c r="BO785" t="s">
        <v>3</v>
      </c>
      <c r="BP785">
        <v>0</v>
      </c>
      <c r="BQ785">
        <v>1</v>
      </c>
      <c r="BR785">
        <v>0</v>
      </c>
      <c r="BS785">
        <v>1</v>
      </c>
      <c r="BT785">
        <v>1</v>
      </c>
      <c r="BU785">
        <v>1</v>
      </c>
      <c r="BV785">
        <v>1</v>
      </c>
      <c r="BW785">
        <v>1</v>
      </c>
      <c r="BX785">
        <v>1</v>
      </c>
      <c r="BY785" t="s">
        <v>3</v>
      </c>
      <c r="BZ785">
        <v>70</v>
      </c>
      <c r="CA785">
        <v>10</v>
      </c>
      <c r="CB785" t="s">
        <v>3</v>
      </c>
      <c r="CE785">
        <v>0</v>
      </c>
      <c r="CF785">
        <v>0</v>
      </c>
      <c r="CG785">
        <v>0</v>
      </c>
      <c r="CM785">
        <v>0</v>
      </c>
      <c r="CN785" t="s">
        <v>3</v>
      </c>
      <c r="CO785">
        <v>0</v>
      </c>
      <c r="CP785">
        <f t="shared" si="743"/>
        <v>6413.76</v>
      </c>
      <c r="CQ785">
        <f t="shared" si="744"/>
        <v>3.6</v>
      </c>
      <c r="CR785">
        <f>(((((ET785*4))*BB785-((EU785*4))*BS785)+AE785*BS785)*AV785)</f>
        <v>0</v>
      </c>
      <c r="CS785">
        <f t="shared" si="745"/>
        <v>0</v>
      </c>
      <c r="CT785">
        <f t="shared" si="746"/>
        <v>530.88</v>
      </c>
      <c r="CU785">
        <f t="shared" si="747"/>
        <v>0</v>
      </c>
      <c r="CV785">
        <f t="shared" si="748"/>
        <v>0.8</v>
      </c>
      <c r="CW785">
        <f t="shared" si="749"/>
        <v>0</v>
      </c>
      <c r="CX785">
        <f t="shared" si="750"/>
        <v>0</v>
      </c>
      <c r="CY785">
        <f t="shared" si="751"/>
        <v>4459.3919999999998</v>
      </c>
      <c r="CZ785">
        <f t="shared" si="752"/>
        <v>637.05600000000004</v>
      </c>
      <c r="DC785" t="s">
        <v>3</v>
      </c>
      <c r="DD785" t="s">
        <v>584</v>
      </c>
      <c r="DE785" t="s">
        <v>584</v>
      </c>
      <c r="DF785" t="s">
        <v>584</v>
      </c>
      <c r="DG785" t="s">
        <v>584</v>
      </c>
      <c r="DH785" t="s">
        <v>3</v>
      </c>
      <c r="DI785" t="s">
        <v>584</v>
      </c>
      <c r="DJ785" t="s">
        <v>584</v>
      </c>
      <c r="DK785" t="s">
        <v>3</v>
      </c>
      <c r="DL785" t="s">
        <v>3</v>
      </c>
      <c r="DM785" t="s">
        <v>3</v>
      </c>
      <c r="DN785">
        <v>0</v>
      </c>
      <c r="DO785">
        <v>0</v>
      </c>
      <c r="DP785">
        <v>1</v>
      </c>
      <c r="DQ785">
        <v>1</v>
      </c>
      <c r="DU785">
        <v>16987630</v>
      </c>
      <c r="DV785" t="s">
        <v>20</v>
      </c>
      <c r="DW785" t="s">
        <v>20</v>
      </c>
      <c r="DX785">
        <v>1</v>
      </c>
      <c r="DZ785" t="s">
        <v>3</v>
      </c>
      <c r="EA785" t="s">
        <v>3</v>
      </c>
      <c r="EB785" t="s">
        <v>3</v>
      </c>
      <c r="EC785" t="s">
        <v>3</v>
      </c>
      <c r="EE785">
        <v>1441815344</v>
      </c>
      <c r="EF785">
        <v>1</v>
      </c>
      <c r="EG785" t="s">
        <v>22</v>
      </c>
      <c r="EH785">
        <v>0</v>
      </c>
      <c r="EI785" t="s">
        <v>3</v>
      </c>
      <c r="EJ785">
        <v>4</v>
      </c>
      <c r="EK785">
        <v>0</v>
      </c>
      <c r="EL785" t="s">
        <v>23</v>
      </c>
      <c r="EM785" t="s">
        <v>24</v>
      </c>
      <c r="EO785" t="s">
        <v>3</v>
      </c>
      <c r="EQ785">
        <v>1024</v>
      </c>
      <c r="ER785">
        <v>133.62</v>
      </c>
      <c r="ES785">
        <v>0.9</v>
      </c>
      <c r="ET785">
        <v>0</v>
      </c>
      <c r="EU785">
        <v>0</v>
      </c>
      <c r="EV785">
        <v>132.72</v>
      </c>
      <c r="EW785">
        <v>0.2</v>
      </c>
      <c r="EX785">
        <v>0</v>
      </c>
      <c r="EY785">
        <v>0</v>
      </c>
      <c r="FQ785">
        <v>0</v>
      </c>
      <c r="FR785">
        <f t="shared" si="753"/>
        <v>0</v>
      </c>
      <c r="FS785">
        <v>0</v>
      </c>
      <c r="FX785">
        <v>70</v>
      </c>
      <c r="FY785">
        <v>10</v>
      </c>
      <c r="GA785" t="s">
        <v>3</v>
      </c>
      <c r="GD785">
        <v>0</v>
      </c>
      <c r="GF785">
        <v>-558844676</v>
      </c>
      <c r="GG785">
        <v>2</v>
      </c>
      <c r="GH785">
        <v>1</v>
      </c>
      <c r="GI785">
        <v>-2</v>
      </c>
      <c r="GJ785">
        <v>0</v>
      </c>
      <c r="GK785">
        <f>ROUND(R785*(R12)/100,2)</f>
        <v>0</v>
      </c>
      <c r="GL785">
        <f t="shared" si="754"/>
        <v>0</v>
      </c>
      <c r="GM785">
        <f t="shared" si="755"/>
        <v>11510.21</v>
      </c>
      <c r="GN785">
        <f t="shared" si="756"/>
        <v>0</v>
      </c>
      <c r="GO785">
        <f t="shared" si="757"/>
        <v>0</v>
      </c>
      <c r="GP785">
        <f t="shared" si="758"/>
        <v>11510.21</v>
      </c>
      <c r="GR785">
        <v>0</v>
      </c>
      <c r="GS785">
        <v>3</v>
      </c>
      <c r="GT785">
        <v>0</v>
      </c>
      <c r="GU785" t="s">
        <v>3</v>
      </c>
      <c r="GV785">
        <f t="shared" si="759"/>
        <v>0</v>
      </c>
      <c r="GW785">
        <v>1</v>
      </c>
      <c r="GX785">
        <f t="shared" si="760"/>
        <v>0</v>
      </c>
      <c r="HA785">
        <v>0</v>
      </c>
      <c r="HB785">
        <v>0</v>
      </c>
      <c r="HC785">
        <f t="shared" si="761"/>
        <v>0</v>
      </c>
      <c r="HE785" t="s">
        <v>3</v>
      </c>
      <c r="HF785" t="s">
        <v>3</v>
      </c>
      <c r="HM785" t="s">
        <v>3</v>
      </c>
      <c r="HN785" t="s">
        <v>3</v>
      </c>
      <c r="HO785" t="s">
        <v>3</v>
      </c>
      <c r="HP785" t="s">
        <v>3</v>
      </c>
      <c r="HQ785" t="s">
        <v>3</v>
      </c>
      <c r="IK785">
        <v>0</v>
      </c>
    </row>
    <row r="786" spans="1:245" x14ac:dyDescent="0.2">
      <c r="A786">
        <v>17</v>
      </c>
      <c r="B786">
        <v>1</v>
      </c>
      <c r="D786">
        <f>ROW(EtalonRes!A729)</f>
        <v>729</v>
      </c>
      <c r="E786" t="s">
        <v>671</v>
      </c>
      <c r="F786" t="s">
        <v>586</v>
      </c>
      <c r="G786" t="s">
        <v>587</v>
      </c>
      <c r="H786" t="s">
        <v>20</v>
      </c>
      <c r="I786">
        <v>1</v>
      </c>
      <c r="J786">
        <v>0</v>
      </c>
      <c r="K786">
        <v>1</v>
      </c>
      <c r="O786">
        <f t="shared" si="729"/>
        <v>118.74</v>
      </c>
      <c r="P786">
        <f t="shared" si="730"/>
        <v>6.3</v>
      </c>
      <c r="Q786">
        <f t="shared" si="731"/>
        <v>0</v>
      </c>
      <c r="R786">
        <f t="shared" si="732"/>
        <v>0</v>
      </c>
      <c r="S786">
        <f t="shared" si="733"/>
        <v>112.44</v>
      </c>
      <c r="T786">
        <f t="shared" si="734"/>
        <v>0</v>
      </c>
      <c r="U786">
        <f t="shared" si="735"/>
        <v>0.2</v>
      </c>
      <c r="V786">
        <f t="shared" si="736"/>
        <v>0</v>
      </c>
      <c r="W786">
        <f t="shared" si="737"/>
        <v>0</v>
      </c>
      <c r="X786">
        <f t="shared" si="738"/>
        <v>78.709999999999994</v>
      </c>
      <c r="Y786">
        <f t="shared" si="739"/>
        <v>11.24</v>
      </c>
      <c r="AA786">
        <v>1472506909</v>
      </c>
      <c r="AB786">
        <f t="shared" si="740"/>
        <v>118.74</v>
      </c>
      <c r="AC786">
        <f>ROUND((ES786),6)</f>
        <v>6.3</v>
      </c>
      <c r="AD786">
        <f>ROUND((((ET786)-(EU786))+AE786),6)</f>
        <v>0</v>
      </c>
      <c r="AE786">
        <f>ROUND((EU786),6)</f>
        <v>0</v>
      </c>
      <c r="AF786">
        <f>ROUND((EV786),6)</f>
        <v>112.44</v>
      </c>
      <c r="AG786">
        <f t="shared" si="741"/>
        <v>0</v>
      </c>
      <c r="AH786">
        <f>(EW786)</f>
        <v>0.2</v>
      </c>
      <c r="AI786">
        <f>(EX786)</f>
        <v>0</v>
      </c>
      <c r="AJ786">
        <f t="shared" si="742"/>
        <v>0</v>
      </c>
      <c r="AK786">
        <v>118.74</v>
      </c>
      <c r="AL786">
        <v>6.3</v>
      </c>
      <c r="AM786">
        <v>0</v>
      </c>
      <c r="AN786">
        <v>0</v>
      </c>
      <c r="AO786">
        <v>112.44</v>
      </c>
      <c r="AP786">
        <v>0</v>
      </c>
      <c r="AQ786">
        <v>0.2</v>
      </c>
      <c r="AR786">
        <v>0</v>
      </c>
      <c r="AS786">
        <v>0</v>
      </c>
      <c r="AT786">
        <v>70</v>
      </c>
      <c r="AU786">
        <v>10</v>
      </c>
      <c r="AV786">
        <v>1</v>
      </c>
      <c r="AW786">
        <v>1</v>
      </c>
      <c r="AZ786">
        <v>1</v>
      </c>
      <c r="BA786">
        <v>1</v>
      </c>
      <c r="BB786">
        <v>1</v>
      </c>
      <c r="BC786">
        <v>1</v>
      </c>
      <c r="BD786" t="s">
        <v>3</v>
      </c>
      <c r="BE786" t="s">
        <v>3</v>
      </c>
      <c r="BF786" t="s">
        <v>3</v>
      </c>
      <c r="BG786" t="s">
        <v>3</v>
      </c>
      <c r="BH786">
        <v>0</v>
      </c>
      <c r="BI786">
        <v>4</v>
      </c>
      <c r="BJ786" t="s">
        <v>588</v>
      </c>
      <c r="BM786">
        <v>0</v>
      </c>
      <c r="BN786">
        <v>0</v>
      </c>
      <c r="BO786" t="s">
        <v>3</v>
      </c>
      <c r="BP786">
        <v>0</v>
      </c>
      <c r="BQ786">
        <v>1</v>
      </c>
      <c r="BR786">
        <v>0</v>
      </c>
      <c r="BS786">
        <v>1</v>
      </c>
      <c r="BT786">
        <v>1</v>
      </c>
      <c r="BU786">
        <v>1</v>
      </c>
      <c r="BV786">
        <v>1</v>
      </c>
      <c r="BW786">
        <v>1</v>
      </c>
      <c r="BX786">
        <v>1</v>
      </c>
      <c r="BY786" t="s">
        <v>3</v>
      </c>
      <c r="BZ786">
        <v>70</v>
      </c>
      <c r="CA786">
        <v>10</v>
      </c>
      <c r="CB786" t="s">
        <v>3</v>
      </c>
      <c r="CE786">
        <v>0</v>
      </c>
      <c r="CF786">
        <v>0</v>
      </c>
      <c r="CG786">
        <v>0</v>
      </c>
      <c r="CM786">
        <v>0</v>
      </c>
      <c r="CN786" t="s">
        <v>3</v>
      </c>
      <c r="CO786">
        <v>0</v>
      </c>
      <c r="CP786">
        <f t="shared" si="743"/>
        <v>118.74</v>
      </c>
      <c r="CQ786">
        <f t="shared" si="744"/>
        <v>6.3</v>
      </c>
      <c r="CR786">
        <f>((((ET786)*BB786-(EU786)*BS786)+AE786*BS786)*AV786)</f>
        <v>0</v>
      </c>
      <c r="CS786">
        <f t="shared" si="745"/>
        <v>0</v>
      </c>
      <c r="CT786">
        <f t="shared" si="746"/>
        <v>112.44</v>
      </c>
      <c r="CU786">
        <f t="shared" si="747"/>
        <v>0</v>
      </c>
      <c r="CV786">
        <f t="shared" si="748"/>
        <v>0.2</v>
      </c>
      <c r="CW786">
        <f t="shared" si="749"/>
        <v>0</v>
      </c>
      <c r="CX786">
        <f t="shared" si="750"/>
        <v>0</v>
      </c>
      <c r="CY786">
        <f t="shared" si="751"/>
        <v>78.707999999999998</v>
      </c>
      <c r="CZ786">
        <f t="shared" si="752"/>
        <v>11.244000000000002</v>
      </c>
      <c r="DC786" t="s">
        <v>3</v>
      </c>
      <c r="DD786" t="s">
        <v>3</v>
      </c>
      <c r="DE786" t="s">
        <v>3</v>
      </c>
      <c r="DF786" t="s">
        <v>3</v>
      </c>
      <c r="DG786" t="s">
        <v>3</v>
      </c>
      <c r="DH786" t="s">
        <v>3</v>
      </c>
      <c r="DI786" t="s">
        <v>3</v>
      </c>
      <c r="DJ786" t="s">
        <v>3</v>
      </c>
      <c r="DK786" t="s">
        <v>3</v>
      </c>
      <c r="DL786" t="s">
        <v>3</v>
      </c>
      <c r="DM786" t="s">
        <v>3</v>
      </c>
      <c r="DN786">
        <v>0</v>
      </c>
      <c r="DO786">
        <v>0</v>
      </c>
      <c r="DP786">
        <v>1</v>
      </c>
      <c r="DQ786">
        <v>1</v>
      </c>
      <c r="DU786">
        <v>16987630</v>
      </c>
      <c r="DV786" t="s">
        <v>20</v>
      </c>
      <c r="DW786" t="s">
        <v>20</v>
      </c>
      <c r="DX786">
        <v>1</v>
      </c>
      <c r="DZ786" t="s">
        <v>3</v>
      </c>
      <c r="EA786" t="s">
        <v>3</v>
      </c>
      <c r="EB786" t="s">
        <v>3</v>
      </c>
      <c r="EC786" t="s">
        <v>3</v>
      </c>
      <c r="EE786">
        <v>1441815344</v>
      </c>
      <c r="EF786">
        <v>1</v>
      </c>
      <c r="EG786" t="s">
        <v>22</v>
      </c>
      <c r="EH786">
        <v>0</v>
      </c>
      <c r="EI786" t="s">
        <v>3</v>
      </c>
      <c r="EJ786">
        <v>4</v>
      </c>
      <c r="EK786">
        <v>0</v>
      </c>
      <c r="EL786" t="s">
        <v>23</v>
      </c>
      <c r="EM786" t="s">
        <v>24</v>
      </c>
      <c r="EO786" t="s">
        <v>3</v>
      </c>
      <c r="EQ786">
        <v>0</v>
      </c>
      <c r="ER786">
        <v>118.74</v>
      </c>
      <c r="ES786">
        <v>6.3</v>
      </c>
      <c r="ET786">
        <v>0</v>
      </c>
      <c r="EU786">
        <v>0</v>
      </c>
      <c r="EV786">
        <v>112.44</v>
      </c>
      <c r="EW786">
        <v>0.2</v>
      </c>
      <c r="EX786">
        <v>0</v>
      </c>
      <c r="EY786">
        <v>0</v>
      </c>
      <c r="FQ786">
        <v>0</v>
      </c>
      <c r="FR786">
        <f t="shared" si="753"/>
        <v>0</v>
      </c>
      <c r="FS786">
        <v>0</v>
      </c>
      <c r="FX786">
        <v>70</v>
      </c>
      <c r="FY786">
        <v>10</v>
      </c>
      <c r="GA786" t="s">
        <v>3</v>
      </c>
      <c r="GD786">
        <v>0</v>
      </c>
      <c r="GF786">
        <v>-792164964</v>
      </c>
      <c r="GG786">
        <v>2</v>
      </c>
      <c r="GH786">
        <v>1</v>
      </c>
      <c r="GI786">
        <v>-2</v>
      </c>
      <c r="GJ786">
        <v>0</v>
      </c>
      <c r="GK786">
        <f>ROUND(R786*(R12)/100,2)</f>
        <v>0</v>
      </c>
      <c r="GL786">
        <f t="shared" si="754"/>
        <v>0</v>
      </c>
      <c r="GM786">
        <f t="shared" si="755"/>
        <v>208.69</v>
      </c>
      <c r="GN786">
        <f t="shared" si="756"/>
        <v>0</v>
      </c>
      <c r="GO786">
        <f t="shared" si="757"/>
        <v>0</v>
      </c>
      <c r="GP786">
        <f t="shared" si="758"/>
        <v>208.69</v>
      </c>
      <c r="GR786">
        <v>0</v>
      </c>
      <c r="GS786">
        <v>3</v>
      </c>
      <c r="GT786">
        <v>0</v>
      </c>
      <c r="GU786" t="s">
        <v>3</v>
      </c>
      <c r="GV786">
        <f t="shared" si="759"/>
        <v>0</v>
      </c>
      <c r="GW786">
        <v>1</v>
      </c>
      <c r="GX786">
        <f t="shared" si="760"/>
        <v>0</v>
      </c>
      <c r="HA786">
        <v>0</v>
      </c>
      <c r="HB786">
        <v>0</v>
      </c>
      <c r="HC786">
        <f t="shared" si="761"/>
        <v>0</v>
      </c>
      <c r="HE786" t="s">
        <v>3</v>
      </c>
      <c r="HF786" t="s">
        <v>3</v>
      </c>
      <c r="HM786" t="s">
        <v>3</v>
      </c>
      <c r="HN786" t="s">
        <v>3</v>
      </c>
      <c r="HO786" t="s">
        <v>3</v>
      </c>
      <c r="HP786" t="s">
        <v>3</v>
      </c>
      <c r="HQ786" t="s">
        <v>3</v>
      </c>
      <c r="IK786">
        <v>0</v>
      </c>
    </row>
    <row r="787" spans="1:245" x14ac:dyDescent="0.2">
      <c r="A787">
        <v>17</v>
      </c>
      <c r="B787">
        <v>1</v>
      </c>
      <c r="D787">
        <f>ROW(EtalonRes!A730)</f>
        <v>730</v>
      </c>
      <c r="E787" t="s">
        <v>3</v>
      </c>
      <c r="F787" t="s">
        <v>589</v>
      </c>
      <c r="G787" t="s">
        <v>590</v>
      </c>
      <c r="H787" t="s">
        <v>94</v>
      </c>
      <c r="I787">
        <f>ROUND(1/10,9)</f>
        <v>0.1</v>
      </c>
      <c r="J787">
        <v>0</v>
      </c>
      <c r="K787">
        <f>ROUND(1/10,9)</f>
        <v>0.1</v>
      </c>
      <c r="O787">
        <f t="shared" si="729"/>
        <v>3250.42</v>
      </c>
      <c r="P787">
        <f t="shared" si="730"/>
        <v>0</v>
      </c>
      <c r="Q787">
        <f t="shared" si="731"/>
        <v>0</v>
      </c>
      <c r="R787">
        <f t="shared" si="732"/>
        <v>0</v>
      </c>
      <c r="S787">
        <f t="shared" si="733"/>
        <v>3250.42</v>
      </c>
      <c r="T787">
        <f t="shared" si="734"/>
        <v>0</v>
      </c>
      <c r="U787">
        <f t="shared" si="735"/>
        <v>6.4130000000000011</v>
      </c>
      <c r="V787">
        <f t="shared" si="736"/>
        <v>0</v>
      </c>
      <c r="W787">
        <f t="shared" si="737"/>
        <v>0</v>
      </c>
      <c r="X787">
        <f t="shared" si="738"/>
        <v>2275.29</v>
      </c>
      <c r="Y787">
        <f t="shared" si="739"/>
        <v>325.04000000000002</v>
      </c>
      <c r="AA787">
        <v>-1</v>
      </c>
      <c r="AB787">
        <f t="shared" si="740"/>
        <v>32504.23</v>
      </c>
      <c r="AC787">
        <f>ROUND(((ES787*121)),6)</f>
        <v>0</v>
      </c>
      <c r="AD787">
        <f>ROUND(((((ET787*121))-((EU787*121)))+AE787),6)</f>
        <v>0</v>
      </c>
      <c r="AE787">
        <f>ROUND(((EU787*121)),6)</f>
        <v>0</v>
      </c>
      <c r="AF787">
        <f>ROUND(((EV787*121)),6)</f>
        <v>32504.23</v>
      </c>
      <c r="AG787">
        <f t="shared" si="741"/>
        <v>0</v>
      </c>
      <c r="AH787">
        <f>((EW787*121))</f>
        <v>64.13000000000001</v>
      </c>
      <c r="AI787">
        <f>((EX787*121))</f>
        <v>0</v>
      </c>
      <c r="AJ787">
        <f t="shared" si="742"/>
        <v>0</v>
      </c>
      <c r="AK787">
        <v>268.63</v>
      </c>
      <c r="AL787">
        <v>0</v>
      </c>
      <c r="AM787">
        <v>0</v>
      </c>
      <c r="AN787">
        <v>0</v>
      </c>
      <c r="AO787">
        <v>268.63</v>
      </c>
      <c r="AP787">
        <v>0</v>
      </c>
      <c r="AQ787">
        <v>0.53</v>
      </c>
      <c r="AR787">
        <v>0</v>
      </c>
      <c r="AS787">
        <v>0</v>
      </c>
      <c r="AT787">
        <v>70</v>
      </c>
      <c r="AU787">
        <v>10</v>
      </c>
      <c r="AV787">
        <v>1</v>
      </c>
      <c r="AW787">
        <v>1</v>
      </c>
      <c r="AZ787">
        <v>1</v>
      </c>
      <c r="BA787">
        <v>1</v>
      </c>
      <c r="BB787">
        <v>1</v>
      </c>
      <c r="BC787">
        <v>1</v>
      </c>
      <c r="BD787" t="s">
        <v>3</v>
      </c>
      <c r="BE787" t="s">
        <v>3</v>
      </c>
      <c r="BF787" t="s">
        <v>3</v>
      </c>
      <c r="BG787" t="s">
        <v>3</v>
      </c>
      <c r="BH787">
        <v>0</v>
      </c>
      <c r="BI787">
        <v>4</v>
      </c>
      <c r="BJ787" t="s">
        <v>591</v>
      </c>
      <c r="BM787">
        <v>0</v>
      </c>
      <c r="BN787">
        <v>0</v>
      </c>
      <c r="BO787" t="s">
        <v>3</v>
      </c>
      <c r="BP787">
        <v>0</v>
      </c>
      <c r="BQ787">
        <v>1</v>
      </c>
      <c r="BR787">
        <v>0</v>
      </c>
      <c r="BS787">
        <v>1</v>
      </c>
      <c r="BT787">
        <v>1</v>
      </c>
      <c r="BU787">
        <v>1</v>
      </c>
      <c r="BV787">
        <v>1</v>
      </c>
      <c r="BW787">
        <v>1</v>
      </c>
      <c r="BX787">
        <v>1</v>
      </c>
      <c r="BY787" t="s">
        <v>3</v>
      </c>
      <c r="BZ787">
        <v>70</v>
      </c>
      <c r="CA787">
        <v>10</v>
      </c>
      <c r="CB787" t="s">
        <v>3</v>
      </c>
      <c r="CE787">
        <v>0</v>
      </c>
      <c r="CF787">
        <v>0</v>
      </c>
      <c r="CG787">
        <v>0</v>
      </c>
      <c r="CM787">
        <v>0</v>
      </c>
      <c r="CN787" t="s">
        <v>3</v>
      </c>
      <c r="CO787">
        <v>0</v>
      </c>
      <c r="CP787">
        <f t="shared" si="743"/>
        <v>3250.42</v>
      </c>
      <c r="CQ787">
        <f t="shared" si="744"/>
        <v>0</v>
      </c>
      <c r="CR787">
        <f>(((((ET787*121))*BB787-((EU787*121))*BS787)+AE787*BS787)*AV787)</f>
        <v>0</v>
      </c>
      <c r="CS787">
        <f t="shared" si="745"/>
        <v>0</v>
      </c>
      <c r="CT787">
        <f t="shared" si="746"/>
        <v>32504.23</v>
      </c>
      <c r="CU787">
        <f t="shared" si="747"/>
        <v>0</v>
      </c>
      <c r="CV787">
        <f t="shared" si="748"/>
        <v>64.13000000000001</v>
      </c>
      <c r="CW787">
        <f t="shared" si="749"/>
        <v>0</v>
      </c>
      <c r="CX787">
        <f t="shared" si="750"/>
        <v>0</v>
      </c>
      <c r="CY787">
        <f t="shared" si="751"/>
        <v>2275.2939999999999</v>
      </c>
      <c r="CZ787">
        <f t="shared" si="752"/>
        <v>325.04200000000003</v>
      </c>
      <c r="DC787" t="s">
        <v>3</v>
      </c>
      <c r="DD787" t="s">
        <v>592</v>
      </c>
      <c r="DE787" t="s">
        <v>592</v>
      </c>
      <c r="DF787" t="s">
        <v>592</v>
      </c>
      <c r="DG787" t="s">
        <v>592</v>
      </c>
      <c r="DH787" t="s">
        <v>3</v>
      </c>
      <c r="DI787" t="s">
        <v>592</v>
      </c>
      <c r="DJ787" t="s">
        <v>592</v>
      </c>
      <c r="DK787" t="s">
        <v>3</v>
      </c>
      <c r="DL787" t="s">
        <v>3</v>
      </c>
      <c r="DM787" t="s">
        <v>3</v>
      </c>
      <c r="DN787">
        <v>0</v>
      </c>
      <c r="DO787">
        <v>0</v>
      </c>
      <c r="DP787">
        <v>1</v>
      </c>
      <c r="DQ787">
        <v>1</v>
      </c>
      <c r="DU787">
        <v>16987630</v>
      </c>
      <c r="DV787" t="s">
        <v>94</v>
      </c>
      <c r="DW787" t="s">
        <v>94</v>
      </c>
      <c r="DX787">
        <v>10</v>
      </c>
      <c r="DZ787" t="s">
        <v>3</v>
      </c>
      <c r="EA787" t="s">
        <v>3</v>
      </c>
      <c r="EB787" t="s">
        <v>3</v>
      </c>
      <c r="EC787" t="s">
        <v>3</v>
      </c>
      <c r="EE787">
        <v>1441815344</v>
      </c>
      <c r="EF787">
        <v>1</v>
      </c>
      <c r="EG787" t="s">
        <v>22</v>
      </c>
      <c r="EH787">
        <v>0</v>
      </c>
      <c r="EI787" t="s">
        <v>3</v>
      </c>
      <c r="EJ787">
        <v>4</v>
      </c>
      <c r="EK787">
        <v>0</v>
      </c>
      <c r="EL787" t="s">
        <v>23</v>
      </c>
      <c r="EM787" t="s">
        <v>24</v>
      </c>
      <c r="EO787" t="s">
        <v>3</v>
      </c>
      <c r="EQ787">
        <v>1024</v>
      </c>
      <c r="ER787">
        <v>268.63</v>
      </c>
      <c r="ES787">
        <v>0</v>
      </c>
      <c r="ET787">
        <v>0</v>
      </c>
      <c r="EU787">
        <v>0</v>
      </c>
      <c r="EV787">
        <v>268.63</v>
      </c>
      <c r="EW787">
        <v>0.53</v>
      </c>
      <c r="EX787">
        <v>0</v>
      </c>
      <c r="EY787">
        <v>0</v>
      </c>
      <c r="FQ787">
        <v>0</v>
      </c>
      <c r="FR787">
        <f t="shared" si="753"/>
        <v>0</v>
      </c>
      <c r="FS787">
        <v>0</v>
      </c>
      <c r="FX787">
        <v>70</v>
      </c>
      <c r="FY787">
        <v>10</v>
      </c>
      <c r="GA787" t="s">
        <v>3</v>
      </c>
      <c r="GD787">
        <v>0</v>
      </c>
      <c r="GF787">
        <v>62561816</v>
      </c>
      <c r="GG787">
        <v>2</v>
      </c>
      <c r="GH787">
        <v>1</v>
      </c>
      <c r="GI787">
        <v>-2</v>
      </c>
      <c r="GJ787">
        <v>0</v>
      </c>
      <c r="GK787">
        <f>ROUND(R787*(R12)/100,2)</f>
        <v>0</v>
      </c>
      <c r="GL787">
        <f t="shared" si="754"/>
        <v>0</v>
      </c>
      <c r="GM787">
        <f t="shared" si="755"/>
        <v>5850.75</v>
      </c>
      <c r="GN787">
        <f t="shared" si="756"/>
        <v>0</v>
      </c>
      <c r="GO787">
        <f t="shared" si="757"/>
        <v>0</v>
      </c>
      <c r="GP787">
        <f t="shared" si="758"/>
        <v>5850.75</v>
      </c>
      <c r="GR787">
        <v>0</v>
      </c>
      <c r="GS787">
        <v>3</v>
      </c>
      <c r="GT787">
        <v>0</v>
      </c>
      <c r="GU787" t="s">
        <v>3</v>
      </c>
      <c r="GV787">
        <f t="shared" si="759"/>
        <v>0</v>
      </c>
      <c r="GW787">
        <v>1</v>
      </c>
      <c r="GX787">
        <f t="shared" si="760"/>
        <v>0</v>
      </c>
      <c r="HA787">
        <v>0</v>
      </c>
      <c r="HB787">
        <v>0</v>
      </c>
      <c r="HC787">
        <f t="shared" si="761"/>
        <v>0</v>
      </c>
      <c r="HE787" t="s">
        <v>3</v>
      </c>
      <c r="HF787" t="s">
        <v>3</v>
      </c>
      <c r="HM787" t="s">
        <v>3</v>
      </c>
      <c r="HN787" t="s">
        <v>3</v>
      </c>
      <c r="HO787" t="s">
        <v>3</v>
      </c>
      <c r="HP787" t="s">
        <v>3</v>
      </c>
      <c r="HQ787" t="s">
        <v>3</v>
      </c>
      <c r="IK787">
        <v>0</v>
      </c>
    </row>
    <row r="788" spans="1:245" x14ac:dyDescent="0.2">
      <c r="A788">
        <v>17</v>
      </c>
      <c r="B788">
        <v>1</v>
      </c>
      <c r="D788">
        <f>ROW(EtalonRes!A731)</f>
        <v>731</v>
      </c>
      <c r="E788" t="s">
        <v>3</v>
      </c>
      <c r="F788" t="s">
        <v>615</v>
      </c>
      <c r="G788" t="s">
        <v>616</v>
      </c>
      <c r="H788" t="s">
        <v>617</v>
      </c>
      <c r="I788">
        <f>ROUND(ROUND((5+5+5+5+5+5)/10,9),9)</f>
        <v>3</v>
      </c>
      <c r="J788">
        <v>0</v>
      </c>
      <c r="K788">
        <f>ROUND(ROUND((5+5+5+5+5+5)/10,9),9)</f>
        <v>3</v>
      </c>
      <c r="O788">
        <f t="shared" si="729"/>
        <v>5781.39</v>
      </c>
      <c r="P788">
        <f t="shared" si="730"/>
        <v>0</v>
      </c>
      <c r="Q788">
        <f t="shared" si="731"/>
        <v>0</v>
      </c>
      <c r="R788">
        <f t="shared" si="732"/>
        <v>0</v>
      </c>
      <c r="S788">
        <f t="shared" si="733"/>
        <v>5781.39</v>
      </c>
      <c r="T788">
        <f t="shared" si="734"/>
        <v>0</v>
      </c>
      <c r="U788">
        <f t="shared" si="735"/>
        <v>10.8</v>
      </c>
      <c r="V788">
        <f t="shared" si="736"/>
        <v>0</v>
      </c>
      <c r="W788">
        <f t="shared" si="737"/>
        <v>0</v>
      </c>
      <c r="X788">
        <f t="shared" si="738"/>
        <v>4046.97</v>
      </c>
      <c r="Y788">
        <f t="shared" si="739"/>
        <v>578.14</v>
      </c>
      <c r="AA788">
        <v>-1</v>
      </c>
      <c r="AB788">
        <f t="shared" si="740"/>
        <v>1927.13</v>
      </c>
      <c r="AC788">
        <f>ROUND((ES788),6)</f>
        <v>0</v>
      </c>
      <c r="AD788">
        <f>ROUND((((ET788)-(EU788))+AE788),6)</f>
        <v>0</v>
      </c>
      <c r="AE788">
        <f>ROUND((EU788),6)</f>
        <v>0</v>
      </c>
      <c r="AF788">
        <f>ROUND((EV788),6)</f>
        <v>1927.13</v>
      </c>
      <c r="AG788">
        <f t="shared" si="741"/>
        <v>0</v>
      </c>
      <c r="AH788">
        <f>(EW788)</f>
        <v>3.6</v>
      </c>
      <c r="AI788">
        <f>(EX788)</f>
        <v>0</v>
      </c>
      <c r="AJ788">
        <f t="shared" si="742"/>
        <v>0</v>
      </c>
      <c r="AK788">
        <v>1927.13</v>
      </c>
      <c r="AL788">
        <v>0</v>
      </c>
      <c r="AM788">
        <v>0</v>
      </c>
      <c r="AN788">
        <v>0</v>
      </c>
      <c r="AO788">
        <v>1927.13</v>
      </c>
      <c r="AP788">
        <v>0</v>
      </c>
      <c r="AQ788">
        <v>3.6</v>
      </c>
      <c r="AR788">
        <v>0</v>
      </c>
      <c r="AS788">
        <v>0</v>
      </c>
      <c r="AT788">
        <v>70</v>
      </c>
      <c r="AU788">
        <v>10</v>
      </c>
      <c r="AV788">
        <v>1</v>
      </c>
      <c r="AW788">
        <v>1</v>
      </c>
      <c r="AZ788">
        <v>1</v>
      </c>
      <c r="BA788">
        <v>1</v>
      </c>
      <c r="BB788">
        <v>1</v>
      </c>
      <c r="BC788">
        <v>1</v>
      </c>
      <c r="BD788" t="s">
        <v>3</v>
      </c>
      <c r="BE788" t="s">
        <v>3</v>
      </c>
      <c r="BF788" t="s">
        <v>3</v>
      </c>
      <c r="BG788" t="s">
        <v>3</v>
      </c>
      <c r="BH788">
        <v>0</v>
      </c>
      <c r="BI788">
        <v>4</v>
      </c>
      <c r="BJ788" t="s">
        <v>618</v>
      </c>
      <c r="BM788">
        <v>0</v>
      </c>
      <c r="BN788">
        <v>0</v>
      </c>
      <c r="BO788" t="s">
        <v>3</v>
      </c>
      <c r="BP788">
        <v>0</v>
      </c>
      <c r="BQ788">
        <v>1</v>
      </c>
      <c r="BR788">
        <v>0</v>
      </c>
      <c r="BS788">
        <v>1</v>
      </c>
      <c r="BT788">
        <v>1</v>
      </c>
      <c r="BU788">
        <v>1</v>
      </c>
      <c r="BV788">
        <v>1</v>
      </c>
      <c r="BW788">
        <v>1</v>
      </c>
      <c r="BX788">
        <v>1</v>
      </c>
      <c r="BY788" t="s">
        <v>3</v>
      </c>
      <c r="BZ788">
        <v>70</v>
      </c>
      <c r="CA788">
        <v>10</v>
      </c>
      <c r="CB788" t="s">
        <v>3</v>
      </c>
      <c r="CE788">
        <v>0</v>
      </c>
      <c r="CF788">
        <v>0</v>
      </c>
      <c r="CG788">
        <v>0</v>
      </c>
      <c r="CM788">
        <v>0</v>
      </c>
      <c r="CN788" t="s">
        <v>3</v>
      </c>
      <c r="CO788">
        <v>0</v>
      </c>
      <c r="CP788">
        <f t="shared" si="743"/>
        <v>5781.39</v>
      </c>
      <c r="CQ788">
        <f t="shared" si="744"/>
        <v>0</v>
      </c>
      <c r="CR788">
        <f>((((ET788)*BB788-(EU788)*BS788)+AE788*BS788)*AV788)</f>
        <v>0</v>
      </c>
      <c r="CS788">
        <f t="shared" si="745"/>
        <v>0</v>
      </c>
      <c r="CT788">
        <f t="shared" si="746"/>
        <v>1927.13</v>
      </c>
      <c r="CU788">
        <f t="shared" si="747"/>
        <v>0</v>
      </c>
      <c r="CV788">
        <f t="shared" si="748"/>
        <v>3.6</v>
      </c>
      <c r="CW788">
        <f t="shared" si="749"/>
        <v>0</v>
      </c>
      <c r="CX788">
        <f t="shared" si="750"/>
        <v>0</v>
      </c>
      <c r="CY788">
        <f t="shared" si="751"/>
        <v>4046.9730000000004</v>
      </c>
      <c r="CZ788">
        <f t="shared" si="752"/>
        <v>578.13900000000001</v>
      </c>
      <c r="DC788" t="s">
        <v>3</v>
      </c>
      <c r="DD788" t="s">
        <v>3</v>
      </c>
      <c r="DE788" t="s">
        <v>3</v>
      </c>
      <c r="DF788" t="s">
        <v>3</v>
      </c>
      <c r="DG788" t="s">
        <v>3</v>
      </c>
      <c r="DH788" t="s">
        <v>3</v>
      </c>
      <c r="DI788" t="s">
        <v>3</v>
      </c>
      <c r="DJ788" t="s">
        <v>3</v>
      </c>
      <c r="DK788" t="s">
        <v>3</v>
      </c>
      <c r="DL788" t="s">
        <v>3</v>
      </c>
      <c r="DM788" t="s">
        <v>3</v>
      </c>
      <c r="DN788">
        <v>0</v>
      </c>
      <c r="DO788">
        <v>0</v>
      </c>
      <c r="DP788">
        <v>1</v>
      </c>
      <c r="DQ788">
        <v>1</v>
      </c>
      <c r="DU788">
        <v>1003</v>
      </c>
      <c r="DV788" t="s">
        <v>617</v>
      </c>
      <c r="DW788" t="s">
        <v>617</v>
      </c>
      <c r="DX788">
        <v>10</v>
      </c>
      <c r="DZ788" t="s">
        <v>3</v>
      </c>
      <c r="EA788" t="s">
        <v>3</v>
      </c>
      <c r="EB788" t="s">
        <v>3</v>
      </c>
      <c r="EC788" t="s">
        <v>3</v>
      </c>
      <c r="EE788">
        <v>1441815344</v>
      </c>
      <c r="EF788">
        <v>1</v>
      </c>
      <c r="EG788" t="s">
        <v>22</v>
      </c>
      <c r="EH788">
        <v>0</v>
      </c>
      <c r="EI788" t="s">
        <v>3</v>
      </c>
      <c r="EJ788">
        <v>4</v>
      </c>
      <c r="EK788">
        <v>0</v>
      </c>
      <c r="EL788" t="s">
        <v>23</v>
      </c>
      <c r="EM788" t="s">
        <v>24</v>
      </c>
      <c r="EO788" t="s">
        <v>3</v>
      </c>
      <c r="EQ788">
        <v>1311744</v>
      </c>
      <c r="ER788">
        <v>1927.13</v>
      </c>
      <c r="ES788">
        <v>0</v>
      </c>
      <c r="ET788">
        <v>0</v>
      </c>
      <c r="EU788">
        <v>0</v>
      </c>
      <c r="EV788">
        <v>1927.13</v>
      </c>
      <c r="EW788">
        <v>3.6</v>
      </c>
      <c r="EX788">
        <v>0</v>
      </c>
      <c r="EY788">
        <v>0</v>
      </c>
      <c r="FQ788">
        <v>0</v>
      </c>
      <c r="FR788">
        <f t="shared" si="753"/>
        <v>0</v>
      </c>
      <c r="FS788">
        <v>0</v>
      </c>
      <c r="FX788">
        <v>70</v>
      </c>
      <c r="FY788">
        <v>10</v>
      </c>
      <c r="GA788" t="s">
        <v>3</v>
      </c>
      <c r="GD788">
        <v>0</v>
      </c>
      <c r="GF788">
        <v>1248554923</v>
      </c>
      <c r="GG788">
        <v>2</v>
      </c>
      <c r="GH788">
        <v>1</v>
      </c>
      <c r="GI788">
        <v>-2</v>
      </c>
      <c r="GJ788">
        <v>0</v>
      </c>
      <c r="GK788">
        <f>ROUND(R788*(R12)/100,2)</f>
        <v>0</v>
      </c>
      <c r="GL788">
        <f t="shared" si="754"/>
        <v>0</v>
      </c>
      <c r="GM788">
        <f t="shared" si="755"/>
        <v>10406.5</v>
      </c>
      <c r="GN788">
        <f t="shared" si="756"/>
        <v>0</v>
      </c>
      <c r="GO788">
        <f t="shared" si="757"/>
        <v>0</v>
      </c>
      <c r="GP788">
        <f t="shared" si="758"/>
        <v>10406.5</v>
      </c>
      <c r="GR788">
        <v>0</v>
      </c>
      <c r="GS788">
        <v>3</v>
      </c>
      <c r="GT788">
        <v>0</v>
      </c>
      <c r="GU788" t="s">
        <v>3</v>
      </c>
      <c r="GV788">
        <f t="shared" si="759"/>
        <v>0</v>
      </c>
      <c r="GW788">
        <v>1</v>
      </c>
      <c r="GX788">
        <f t="shared" si="760"/>
        <v>0</v>
      </c>
      <c r="HA788">
        <v>0</v>
      </c>
      <c r="HB788">
        <v>0</v>
      </c>
      <c r="HC788">
        <f t="shared" si="761"/>
        <v>0</v>
      </c>
      <c r="HE788" t="s">
        <v>3</v>
      </c>
      <c r="HF788" t="s">
        <v>3</v>
      </c>
      <c r="HM788" t="s">
        <v>3</v>
      </c>
      <c r="HN788" t="s">
        <v>3</v>
      </c>
      <c r="HO788" t="s">
        <v>3</v>
      </c>
      <c r="HP788" t="s">
        <v>3</v>
      </c>
      <c r="HQ788" t="s">
        <v>3</v>
      </c>
      <c r="IK788">
        <v>0</v>
      </c>
    </row>
    <row r="789" spans="1:245" x14ac:dyDescent="0.2">
      <c r="A789">
        <v>17</v>
      </c>
      <c r="B789">
        <v>1</v>
      </c>
      <c r="D789">
        <f>ROW(EtalonRes!A732)</f>
        <v>732</v>
      </c>
      <c r="E789" t="s">
        <v>3</v>
      </c>
      <c r="F789" t="s">
        <v>619</v>
      </c>
      <c r="G789" t="s">
        <v>620</v>
      </c>
      <c r="H789" t="s">
        <v>617</v>
      </c>
      <c r="I789">
        <f>ROUND(ROUND((5+5+5+5+5+5)/10,9),9)</f>
        <v>3</v>
      </c>
      <c r="J789">
        <v>0</v>
      </c>
      <c r="K789">
        <f>ROUND(ROUND((5+5+5+5+5+5)/10,9),9)</f>
        <v>3</v>
      </c>
      <c r="O789">
        <f t="shared" si="729"/>
        <v>770.88</v>
      </c>
      <c r="P789">
        <f t="shared" si="730"/>
        <v>0</v>
      </c>
      <c r="Q789">
        <f t="shared" si="731"/>
        <v>0</v>
      </c>
      <c r="R789">
        <f t="shared" si="732"/>
        <v>0</v>
      </c>
      <c r="S789">
        <f t="shared" si="733"/>
        <v>770.88</v>
      </c>
      <c r="T789">
        <f t="shared" si="734"/>
        <v>0</v>
      </c>
      <c r="U789">
        <f t="shared" si="735"/>
        <v>1.44</v>
      </c>
      <c r="V789">
        <f t="shared" si="736"/>
        <v>0</v>
      </c>
      <c r="W789">
        <f t="shared" si="737"/>
        <v>0</v>
      </c>
      <c r="X789">
        <f t="shared" si="738"/>
        <v>539.62</v>
      </c>
      <c r="Y789">
        <f t="shared" si="739"/>
        <v>77.09</v>
      </c>
      <c r="AA789">
        <v>-1</v>
      </c>
      <c r="AB789">
        <f t="shared" si="740"/>
        <v>256.95999999999998</v>
      </c>
      <c r="AC789">
        <f>ROUND(((ES789*4)),6)</f>
        <v>0</v>
      </c>
      <c r="AD789">
        <f>ROUND(((((ET789*4))-((EU789*4)))+AE789),6)</f>
        <v>0</v>
      </c>
      <c r="AE789">
        <f>ROUND(((EU789*4)),6)</f>
        <v>0</v>
      </c>
      <c r="AF789">
        <f>ROUND(((EV789*4)),6)</f>
        <v>256.95999999999998</v>
      </c>
      <c r="AG789">
        <f t="shared" si="741"/>
        <v>0</v>
      </c>
      <c r="AH789">
        <f>((EW789*4))</f>
        <v>0.48</v>
      </c>
      <c r="AI789">
        <f>((EX789*4))</f>
        <v>0</v>
      </c>
      <c r="AJ789">
        <f t="shared" si="742"/>
        <v>0</v>
      </c>
      <c r="AK789">
        <v>64.239999999999995</v>
      </c>
      <c r="AL789">
        <v>0</v>
      </c>
      <c r="AM789">
        <v>0</v>
      </c>
      <c r="AN789">
        <v>0</v>
      </c>
      <c r="AO789">
        <v>64.239999999999995</v>
      </c>
      <c r="AP789">
        <v>0</v>
      </c>
      <c r="AQ789">
        <v>0.12</v>
      </c>
      <c r="AR789">
        <v>0</v>
      </c>
      <c r="AS789">
        <v>0</v>
      </c>
      <c r="AT789">
        <v>70</v>
      </c>
      <c r="AU789">
        <v>10</v>
      </c>
      <c r="AV789">
        <v>1</v>
      </c>
      <c r="AW789">
        <v>1</v>
      </c>
      <c r="AZ789">
        <v>1</v>
      </c>
      <c r="BA789">
        <v>1</v>
      </c>
      <c r="BB789">
        <v>1</v>
      </c>
      <c r="BC789">
        <v>1</v>
      </c>
      <c r="BD789" t="s">
        <v>3</v>
      </c>
      <c r="BE789" t="s">
        <v>3</v>
      </c>
      <c r="BF789" t="s">
        <v>3</v>
      </c>
      <c r="BG789" t="s">
        <v>3</v>
      </c>
      <c r="BH789">
        <v>0</v>
      </c>
      <c r="BI789">
        <v>4</v>
      </c>
      <c r="BJ789" t="s">
        <v>621</v>
      </c>
      <c r="BM789">
        <v>0</v>
      </c>
      <c r="BN789">
        <v>0</v>
      </c>
      <c r="BO789" t="s">
        <v>3</v>
      </c>
      <c r="BP789">
        <v>0</v>
      </c>
      <c r="BQ789">
        <v>1</v>
      </c>
      <c r="BR789">
        <v>0</v>
      </c>
      <c r="BS789">
        <v>1</v>
      </c>
      <c r="BT789">
        <v>1</v>
      </c>
      <c r="BU789">
        <v>1</v>
      </c>
      <c r="BV789">
        <v>1</v>
      </c>
      <c r="BW789">
        <v>1</v>
      </c>
      <c r="BX789">
        <v>1</v>
      </c>
      <c r="BY789" t="s">
        <v>3</v>
      </c>
      <c r="BZ789">
        <v>70</v>
      </c>
      <c r="CA789">
        <v>10</v>
      </c>
      <c r="CB789" t="s">
        <v>3</v>
      </c>
      <c r="CE789">
        <v>0</v>
      </c>
      <c r="CF789">
        <v>0</v>
      </c>
      <c r="CG789">
        <v>0</v>
      </c>
      <c r="CM789">
        <v>0</v>
      </c>
      <c r="CN789" t="s">
        <v>3</v>
      </c>
      <c r="CO789">
        <v>0</v>
      </c>
      <c r="CP789">
        <f t="shared" si="743"/>
        <v>770.88</v>
      </c>
      <c r="CQ789">
        <f t="shared" si="744"/>
        <v>0</v>
      </c>
      <c r="CR789">
        <f>(((((ET789*4))*BB789-((EU789*4))*BS789)+AE789*BS789)*AV789)</f>
        <v>0</v>
      </c>
      <c r="CS789">
        <f t="shared" si="745"/>
        <v>0</v>
      </c>
      <c r="CT789">
        <f t="shared" si="746"/>
        <v>256.95999999999998</v>
      </c>
      <c r="CU789">
        <f t="shared" si="747"/>
        <v>0</v>
      </c>
      <c r="CV789">
        <f t="shared" si="748"/>
        <v>0.48</v>
      </c>
      <c r="CW789">
        <f t="shared" si="749"/>
        <v>0</v>
      </c>
      <c r="CX789">
        <f t="shared" si="750"/>
        <v>0</v>
      </c>
      <c r="CY789">
        <f t="shared" si="751"/>
        <v>539.61599999999999</v>
      </c>
      <c r="CZ789">
        <f t="shared" si="752"/>
        <v>77.088000000000008</v>
      </c>
      <c r="DC789" t="s">
        <v>3</v>
      </c>
      <c r="DD789" t="s">
        <v>106</v>
      </c>
      <c r="DE789" t="s">
        <v>106</v>
      </c>
      <c r="DF789" t="s">
        <v>106</v>
      </c>
      <c r="DG789" t="s">
        <v>106</v>
      </c>
      <c r="DH789" t="s">
        <v>3</v>
      </c>
      <c r="DI789" t="s">
        <v>106</v>
      </c>
      <c r="DJ789" t="s">
        <v>106</v>
      </c>
      <c r="DK789" t="s">
        <v>3</v>
      </c>
      <c r="DL789" t="s">
        <v>3</v>
      </c>
      <c r="DM789" t="s">
        <v>3</v>
      </c>
      <c r="DN789">
        <v>0</v>
      </c>
      <c r="DO789">
        <v>0</v>
      </c>
      <c r="DP789">
        <v>1</v>
      </c>
      <c r="DQ789">
        <v>1</v>
      </c>
      <c r="DU789">
        <v>1003</v>
      </c>
      <c r="DV789" t="s">
        <v>617</v>
      </c>
      <c r="DW789" t="s">
        <v>617</v>
      </c>
      <c r="DX789">
        <v>10</v>
      </c>
      <c r="DZ789" t="s">
        <v>3</v>
      </c>
      <c r="EA789" t="s">
        <v>3</v>
      </c>
      <c r="EB789" t="s">
        <v>3</v>
      </c>
      <c r="EC789" t="s">
        <v>3</v>
      </c>
      <c r="EE789">
        <v>1441815344</v>
      </c>
      <c r="EF789">
        <v>1</v>
      </c>
      <c r="EG789" t="s">
        <v>22</v>
      </c>
      <c r="EH789">
        <v>0</v>
      </c>
      <c r="EI789" t="s">
        <v>3</v>
      </c>
      <c r="EJ789">
        <v>4</v>
      </c>
      <c r="EK789">
        <v>0</v>
      </c>
      <c r="EL789" t="s">
        <v>23</v>
      </c>
      <c r="EM789" t="s">
        <v>24</v>
      </c>
      <c r="EO789" t="s">
        <v>3</v>
      </c>
      <c r="EQ789">
        <v>1024</v>
      </c>
      <c r="ER789">
        <v>64.239999999999995</v>
      </c>
      <c r="ES789">
        <v>0</v>
      </c>
      <c r="ET789">
        <v>0</v>
      </c>
      <c r="EU789">
        <v>0</v>
      </c>
      <c r="EV789">
        <v>64.239999999999995</v>
      </c>
      <c r="EW789">
        <v>0.12</v>
      </c>
      <c r="EX789">
        <v>0</v>
      </c>
      <c r="EY789">
        <v>0</v>
      </c>
      <c r="FQ789">
        <v>0</v>
      </c>
      <c r="FR789">
        <f t="shared" si="753"/>
        <v>0</v>
      </c>
      <c r="FS789">
        <v>0</v>
      </c>
      <c r="FX789">
        <v>70</v>
      </c>
      <c r="FY789">
        <v>10</v>
      </c>
      <c r="GA789" t="s">
        <v>3</v>
      </c>
      <c r="GD789">
        <v>0</v>
      </c>
      <c r="GF789">
        <v>481267422</v>
      </c>
      <c r="GG789">
        <v>2</v>
      </c>
      <c r="GH789">
        <v>1</v>
      </c>
      <c r="GI789">
        <v>-2</v>
      </c>
      <c r="GJ789">
        <v>0</v>
      </c>
      <c r="GK789">
        <f>ROUND(R789*(R12)/100,2)</f>
        <v>0</v>
      </c>
      <c r="GL789">
        <f t="shared" si="754"/>
        <v>0</v>
      </c>
      <c r="GM789">
        <f t="shared" si="755"/>
        <v>1387.59</v>
      </c>
      <c r="GN789">
        <f t="shared" si="756"/>
        <v>0</v>
      </c>
      <c r="GO789">
        <f t="shared" si="757"/>
        <v>0</v>
      </c>
      <c r="GP789">
        <f t="shared" si="758"/>
        <v>1387.59</v>
      </c>
      <c r="GR789">
        <v>0</v>
      </c>
      <c r="GS789">
        <v>3</v>
      </c>
      <c r="GT789">
        <v>0</v>
      </c>
      <c r="GU789" t="s">
        <v>3</v>
      </c>
      <c r="GV789">
        <f t="shared" si="759"/>
        <v>0</v>
      </c>
      <c r="GW789">
        <v>1</v>
      </c>
      <c r="GX789">
        <f t="shared" si="760"/>
        <v>0</v>
      </c>
      <c r="HA789">
        <v>0</v>
      </c>
      <c r="HB789">
        <v>0</v>
      </c>
      <c r="HC789">
        <f t="shared" si="761"/>
        <v>0</v>
      </c>
      <c r="HE789" t="s">
        <v>3</v>
      </c>
      <c r="HF789" t="s">
        <v>3</v>
      </c>
      <c r="HM789" t="s">
        <v>3</v>
      </c>
      <c r="HN789" t="s">
        <v>3</v>
      </c>
      <c r="HO789" t="s">
        <v>3</v>
      </c>
      <c r="HP789" t="s">
        <v>3</v>
      </c>
      <c r="HQ789" t="s">
        <v>3</v>
      </c>
      <c r="IK789">
        <v>0</v>
      </c>
    </row>
    <row r="790" spans="1:245" x14ac:dyDescent="0.2">
      <c r="A790">
        <v>17</v>
      </c>
      <c r="B790">
        <v>1</v>
      </c>
      <c r="D790">
        <f>ROW(EtalonRes!A734)</f>
        <v>734</v>
      </c>
      <c r="E790" t="s">
        <v>672</v>
      </c>
      <c r="F790" t="s">
        <v>623</v>
      </c>
      <c r="G790" t="s">
        <v>673</v>
      </c>
      <c r="H790" t="s">
        <v>104</v>
      </c>
      <c r="I790">
        <f>ROUND(ROUND((10+10+10)*0.2*0.1/100,9),9)</f>
        <v>6.0000000000000001E-3</v>
      </c>
      <c r="J790">
        <v>0</v>
      </c>
      <c r="K790">
        <f>ROUND(ROUND((10+10+10)*0.2*0.1/100,9),9)</f>
        <v>6.0000000000000001E-3</v>
      </c>
      <c r="O790">
        <f t="shared" si="729"/>
        <v>36.130000000000003</v>
      </c>
      <c r="P790">
        <f t="shared" si="730"/>
        <v>0.09</v>
      </c>
      <c r="Q790">
        <f t="shared" si="731"/>
        <v>0</v>
      </c>
      <c r="R790">
        <f t="shared" si="732"/>
        <v>0</v>
      </c>
      <c r="S790">
        <f t="shared" si="733"/>
        <v>36.04</v>
      </c>
      <c r="T790">
        <f t="shared" si="734"/>
        <v>0</v>
      </c>
      <c r="U790">
        <f t="shared" si="735"/>
        <v>6.7320000000000005E-2</v>
      </c>
      <c r="V790">
        <f t="shared" si="736"/>
        <v>0</v>
      </c>
      <c r="W790">
        <f t="shared" si="737"/>
        <v>0</v>
      </c>
      <c r="X790">
        <f t="shared" si="738"/>
        <v>25.23</v>
      </c>
      <c r="Y790">
        <f t="shared" si="739"/>
        <v>3.6</v>
      </c>
      <c r="AA790">
        <v>1472506909</v>
      </c>
      <c r="AB790">
        <f t="shared" si="740"/>
        <v>6020.87</v>
      </c>
      <c r="AC790">
        <f>ROUND((ES790),6)</f>
        <v>14.63</v>
      </c>
      <c r="AD790">
        <f>ROUND((((ET790)-(EU790))+AE790),6)</f>
        <v>0</v>
      </c>
      <c r="AE790">
        <f t="shared" ref="AE790:AF792" si="762">ROUND((EU790),6)</f>
        <v>0</v>
      </c>
      <c r="AF790">
        <f t="shared" si="762"/>
        <v>6006.24</v>
      </c>
      <c r="AG790">
        <f t="shared" si="741"/>
        <v>0</v>
      </c>
      <c r="AH790">
        <f t="shared" ref="AH790:AI792" si="763">(EW790)</f>
        <v>11.22</v>
      </c>
      <c r="AI790">
        <f t="shared" si="763"/>
        <v>0</v>
      </c>
      <c r="AJ790">
        <f t="shared" si="742"/>
        <v>0</v>
      </c>
      <c r="AK790">
        <v>6020.87</v>
      </c>
      <c r="AL790">
        <v>14.63</v>
      </c>
      <c r="AM790">
        <v>0</v>
      </c>
      <c r="AN790">
        <v>0</v>
      </c>
      <c r="AO790">
        <v>6006.24</v>
      </c>
      <c r="AP790">
        <v>0</v>
      </c>
      <c r="AQ790">
        <v>11.22</v>
      </c>
      <c r="AR790">
        <v>0</v>
      </c>
      <c r="AS790">
        <v>0</v>
      </c>
      <c r="AT790">
        <v>70</v>
      </c>
      <c r="AU790">
        <v>10</v>
      </c>
      <c r="AV790">
        <v>1</v>
      </c>
      <c r="AW790">
        <v>1</v>
      </c>
      <c r="AZ790">
        <v>1</v>
      </c>
      <c r="BA790">
        <v>1</v>
      </c>
      <c r="BB790">
        <v>1</v>
      </c>
      <c r="BC790">
        <v>1</v>
      </c>
      <c r="BD790" t="s">
        <v>3</v>
      </c>
      <c r="BE790" t="s">
        <v>3</v>
      </c>
      <c r="BF790" t="s">
        <v>3</v>
      </c>
      <c r="BG790" t="s">
        <v>3</v>
      </c>
      <c r="BH790">
        <v>0</v>
      </c>
      <c r="BI790">
        <v>4</v>
      </c>
      <c r="BJ790" t="s">
        <v>625</v>
      </c>
      <c r="BM790">
        <v>0</v>
      </c>
      <c r="BN790">
        <v>0</v>
      </c>
      <c r="BO790" t="s">
        <v>3</v>
      </c>
      <c r="BP790">
        <v>0</v>
      </c>
      <c r="BQ790">
        <v>1</v>
      </c>
      <c r="BR790">
        <v>0</v>
      </c>
      <c r="BS790">
        <v>1</v>
      </c>
      <c r="BT790">
        <v>1</v>
      </c>
      <c r="BU790">
        <v>1</v>
      </c>
      <c r="BV790">
        <v>1</v>
      </c>
      <c r="BW790">
        <v>1</v>
      </c>
      <c r="BX790">
        <v>1</v>
      </c>
      <c r="BY790" t="s">
        <v>3</v>
      </c>
      <c r="BZ790">
        <v>70</v>
      </c>
      <c r="CA790">
        <v>10</v>
      </c>
      <c r="CB790" t="s">
        <v>3</v>
      </c>
      <c r="CE790">
        <v>0</v>
      </c>
      <c r="CF790">
        <v>0</v>
      </c>
      <c r="CG790">
        <v>0</v>
      </c>
      <c r="CM790">
        <v>0</v>
      </c>
      <c r="CN790" t="s">
        <v>3</v>
      </c>
      <c r="CO790">
        <v>0</v>
      </c>
      <c r="CP790">
        <f t="shared" si="743"/>
        <v>36.130000000000003</v>
      </c>
      <c r="CQ790">
        <f t="shared" si="744"/>
        <v>14.63</v>
      </c>
      <c r="CR790">
        <f>((((ET790)*BB790-(EU790)*BS790)+AE790*BS790)*AV790)</f>
        <v>0</v>
      </c>
      <c r="CS790">
        <f t="shared" si="745"/>
        <v>0</v>
      </c>
      <c r="CT790">
        <f t="shared" si="746"/>
        <v>6006.24</v>
      </c>
      <c r="CU790">
        <f t="shared" si="747"/>
        <v>0</v>
      </c>
      <c r="CV790">
        <f t="shared" si="748"/>
        <v>11.22</v>
      </c>
      <c r="CW790">
        <f t="shared" si="749"/>
        <v>0</v>
      </c>
      <c r="CX790">
        <f t="shared" si="750"/>
        <v>0</v>
      </c>
      <c r="CY790">
        <f t="shared" si="751"/>
        <v>25.227999999999998</v>
      </c>
      <c r="CZ790">
        <f t="shared" si="752"/>
        <v>3.6039999999999996</v>
      </c>
      <c r="DC790" t="s">
        <v>3</v>
      </c>
      <c r="DD790" t="s">
        <v>3</v>
      </c>
      <c r="DE790" t="s">
        <v>3</v>
      </c>
      <c r="DF790" t="s">
        <v>3</v>
      </c>
      <c r="DG790" t="s">
        <v>3</v>
      </c>
      <c r="DH790" t="s">
        <v>3</v>
      </c>
      <c r="DI790" t="s">
        <v>3</v>
      </c>
      <c r="DJ790" t="s">
        <v>3</v>
      </c>
      <c r="DK790" t="s">
        <v>3</v>
      </c>
      <c r="DL790" t="s">
        <v>3</v>
      </c>
      <c r="DM790" t="s">
        <v>3</v>
      </c>
      <c r="DN790">
        <v>0</v>
      </c>
      <c r="DO790">
        <v>0</v>
      </c>
      <c r="DP790">
        <v>1</v>
      </c>
      <c r="DQ790">
        <v>1</v>
      </c>
      <c r="DU790">
        <v>1003</v>
      </c>
      <c r="DV790" t="s">
        <v>104</v>
      </c>
      <c r="DW790" t="s">
        <v>104</v>
      </c>
      <c r="DX790">
        <v>100</v>
      </c>
      <c r="DZ790" t="s">
        <v>3</v>
      </c>
      <c r="EA790" t="s">
        <v>3</v>
      </c>
      <c r="EB790" t="s">
        <v>3</v>
      </c>
      <c r="EC790" t="s">
        <v>3</v>
      </c>
      <c r="EE790">
        <v>1441815344</v>
      </c>
      <c r="EF790">
        <v>1</v>
      </c>
      <c r="EG790" t="s">
        <v>22</v>
      </c>
      <c r="EH790">
        <v>0</v>
      </c>
      <c r="EI790" t="s">
        <v>3</v>
      </c>
      <c r="EJ790">
        <v>4</v>
      </c>
      <c r="EK790">
        <v>0</v>
      </c>
      <c r="EL790" t="s">
        <v>23</v>
      </c>
      <c r="EM790" t="s">
        <v>24</v>
      </c>
      <c r="EO790" t="s">
        <v>3</v>
      </c>
      <c r="EQ790">
        <v>0</v>
      </c>
      <c r="ER790">
        <v>6020.87</v>
      </c>
      <c r="ES790">
        <v>14.63</v>
      </c>
      <c r="ET790">
        <v>0</v>
      </c>
      <c r="EU790">
        <v>0</v>
      </c>
      <c r="EV790">
        <v>6006.24</v>
      </c>
      <c r="EW790">
        <v>11.22</v>
      </c>
      <c r="EX790">
        <v>0</v>
      </c>
      <c r="EY790">
        <v>0</v>
      </c>
      <c r="FQ790">
        <v>0</v>
      </c>
      <c r="FR790">
        <f t="shared" si="753"/>
        <v>0</v>
      </c>
      <c r="FS790">
        <v>0</v>
      </c>
      <c r="FX790">
        <v>70</v>
      </c>
      <c r="FY790">
        <v>10</v>
      </c>
      <c r="GA790" t="s">
        <v>3</v>
      </c>
      <c r="GD790">
        <v>0</v>
      </c>
      <c r="GF790">
        <v>-1866895989</v>
      </c>
      <c r="GG790">
        <v>2</v>
      </c>
      <c r="GH790">
        <v>1</v>
      </c>
      <c r="GI790">
        <v>-2</v>
      </c>
      <c r="GJ790">
        <v>0</v>
      </c>
      <c r="GK790">
        <f>ROUND(R790*(R12)/100,2)</f>
        <v>0</v>
      </c>
      <c r="GL790">
        <f t="shared" si="754"/>
        <v>0</v>
      </c>
      <c r="GM790">
        <f t="shared" si="755"/>
        <v>64.959999999999994</v>
      </c>
      <c r="GN790">
        <f t="shared" si="756"/>
        <v>0</v>
      </c>
      <c r="GO790">
        <f t="shared" si="757"/>
        <v>0</v>
      </c>
      <c r="GP790">
        <f t="shared" si="758"/>
        <v>64.959999999999994</v>
      </c>
      <c r="GR790">
        <v>0</v>
      </c>
      <c r="GS790">
        <v>3</v>
      </c>
      <c r="GT790">
        <v>0</v>
      </c>
      <c r="GU790" t="s">
        <v>3</v>
      </c>
      <c r="GV790">
        <f t="shared" si="759"/>
        <v>0</v>
      </c>
      <c r="GW790">
        <v>1</v>
      </c>
      <c r="GX790">
        <f t="shared" si="760"/>
        <v>0</v>
      </c>
      <c r="HA790">
        <v>0</v>
      </c>
      <c r="HB790">
        <v>0</v>
      </c>
      <c r="HC790">
        <f t="shared" si="761"/>
        <v>0</v>
      </c>
      <c r="HE790" t="s">
        <v>3</v>
      </c>
      <c r="HF790" t="s">
        <v>3</v>
      </c>
      <c r="HM790" t="s">
        <v>3</v>
      </c>
      <c r="HN790" t="s">
        <v>3</v>
      </c>
      <c r="HO790" t="s">
        <v>3</v>
      </c>
      <c r="HP790" t="s">
        <v>3</v>
      </c>
      <c r="HQ790" t="s">
        <v>3</v>
      </c>
      <c r="IK790">
        <v>0</v>
      </c>
    </row>
    <row r="791" spans="1:245" x14ac:dyDescent="0.2">
      <c r="A791">
        <v>17</v>
      </c>
      <c r="B791">
        <v>1</v>
      </c>
      <c r="D791">
        <f>ROW(EtalonRes!A735)</f>
        <v>735</v>
      </c>
      <c r="E791" t="s">
        <v>674</v>
      </c>
      <c r="F791" t="s">
        <v>627</v>
      </c>
      <c r="G791" t="s">
        <v>628</v>
      </c>
      <c r="H791" t="s">
        <v>104</v>
      </c>
      <c r="I791">
        <f>ROUND(ROUND((10+10+10)*0.2*0.1/100,9),9)</f>
        <v>6.0000000000000001E-3</v>
      </c>
      <c r="J791">
        <v>0</v>
      </c>
      <c r="K791">
        <f>ROUND(ROUND((10+10+10)*0.2*0.1/100,9),9)</f>
        <v>6.0000000000000001E-3</v>
      </c>
      <c r="O791">
        <f t="shared" si="729"/>
        <v>6.55</v>
      </c>
      <c r="P791">
        <f t="shared" si="730"/>
        <v>0</v>
      </c>
      <c r="Q791">
        <f t="shared" si="731"/>
        <v>0</v>
      </c>
      <c r="R791">
        <f t="shared" si="732"/>
        <v>0</v>
      </c>
      <c r="S791">
        <f t="shared" si="733"/>
        <v>6.55</v>
      </c>
      <c r="T791">
        <f t="shared" si="734"/>
        <v>0</v>
      </c>
      <c r="U791">
        <f t="shared" si="735"/>
        <v>1.2240000000000001E-2</v>
      </c>
      <c r="V791">
        <f t="shared" si="736"/>
        <v>0</v>
      </c>
      <c r="W791">
        <f t="shared" si="737"/>
        <v>0</v>
      </c>
      <c r="X791">
        <f t="shared" si="738"/>
        <v>4.59</v>
      </c>
      <c r="Y791">
        <f t="shared" si="739"/>
        <v>0.66</v>
      </c>
      <c r="AA791">
        <v>1472506909</v>
      </c>
      <c r="AB791">
        <f t="shared" si="740"/>
        <v>1092.04</v>
      </c>
      <c r="AC791">
        <f>ROUND((ES791),6)</f>
        <v>0</v>
      </c>
      <c r="AD791">
        <f>ROUND((((ET791)-(EU791))+AE791),6)</f>
        <v>0</v>
      </c>
      <c r="AE791">
        <f t="shared" si="762"/>
        <v>0</v>
      </c>
      <c r="AF791">
        <f t="shared" si="762"/>
        <v>1092.04</v>
      </c>
      <c r="AG791">
        <f t="shared" si="741"/>
        <v>0</v>
      </c>
      <c r="AH791">
        <f t="shared" si="763"/>
        <v>2.04</v>
      </c>
      <c r="AI791">
        <f t="shared" si="763"/>
        <v>0</v>
      </c>
      <c r="AJ791">
        <f t="shared" si="742"/>
        <v>0</v>
      </c>
      <c r="AK791">
        <v>1092.04</v>
      </c>
      <c r="AL791">
        <v>0</v>
      </c>
      <c r="AM791">
        <v>0</v>
      </c>
      <c r="AN791">
        <v>0</v>
      </c>
      <c r="AO791">
        <v>1092.04</v>
      </c>
      <c r="AP791">
        <v>0</v>
      </c>
      <c r="AQ791">
        <v>2.04</v>
      </c>
      <c r="AR791">
        <v>0</v>
      </c>
      <c r="AS791">
        <v>0</v>
      </c>
      <c r="AT791">
        <v>70</v>
      </c>
      <c r="AU791">
        <v>10</v>
      </c>
      <c r="AV791">
        <v>1</v>
      </c>
      <c r="AW791">
        <v>1</v>
      </c>
      <c r="AZ791">
        <v>1</v>
      </c>
      <c r="BA791">
        <v>1</v>
      </c>
      <c r="BB791">
        <v>1</v>
      </c>
      <c r="BC791">
        <v>1</v>
      </c>
      <c r="BD791" t="s">
        <v>3</v>
      </c>
      <c r="BE791" t="s">
        <v>3</v>
      </c>
      <c r="BF791" t="s">
        <v>3</v>
      </c>
      <c r="BG791" t="s">
        <v>3</v>
      </c>
      <c r="BH791">
        <v>0</v>
      </c>
      <c r="BI791">
        <v>4</v>
      </c>
      <c r="BJ791" t="s">
        <v>629</v>
      </c>
      <c r="BM791">
        <v>0</v>
      </c>
      <c r="BN791">
        <v>0</v>
      </c>
      <c r="BO791" t="s">
        <v>3</v>
      </c>
      <c r="BP791">
        <v>0</v>
      </c>
      <c r="BQ791">
        <v>1</v>
      </c>
      <c r="BR791">
        <v>0</v>
      </c>
      <c r="BS791">
        <v>1</v>
      </c>
      <c r="BT791">
        <v>1</v>
      </c>
      <c r="BU791">
        <v>1</v>
      </c>
      <c r="BV791">
        <v>1</v>
      </c>
      <c r="BW791">
        <v>1</v>
      </c>
      <c r="BX791">
        <v>1</v>
      </c>
      <c r="BY791" t="s">
        <v>3</v>
      </c>
      <c r="BZ791">
        <v>70</v>
      </c>
      <c r="CA791">
        <v>10</v>
      </c>
      <c r="CB791" t="s">
        <v>3</v>
      </c>
      <c r="CE791">
        <v>0</v>
      </c>
      <c r="CF791">
        <v>0</v>
      </c>
      <c r="CG791">
        <v>0</v>
      </c>
      <c r="CM791">
        <v>0</v>
      </c>
      <c r="CN791" t="s">
        <v>3</v>
      </c>
      <c r="CO791">
        <v>0</v>
      </c>
      <c r="CP791">
        <f t="shared" si="743"/>
        <v>6.55</v>
      </c>
      <c r="CQ791">
        <f t="shared" si="744"/>
        <v>0</v>
      </c>
      <c r="CR791">
        <f>((((ET791)*BB791-(EU791)*BS791)+AE791*BS791)*AV791)</f>
        <v>0</v>
      </c>
      <c r="CS791">
        <f t="shared" si="745"/>
        <v>0</v>
      </c>
      <c r="CT791">
        <f t="shared" si="746"/>
        <v>1092.04</v>
      </c>
      <c r="CU791">
        <f t="shared" si="747"/>
        <v>0</v>
      </c>
      <c r="CV791">
        <f t="shared" si="748"/>
        <v>2.04</v>
      </c>
      <c r="CW791">
        <f t="shared" si="749"/>
        <v>0</v>
      </c>
      <c r="CX791">
        <f t="shared" si="750"/>
        <v>0</v>
      </c>
      <c r="CY791">
        <f t="shared" si="751"/>
        <v>4.585</v>
      </c>
      <c r="CZ791">
        <f t="shared" si="752"/>
        <v>0.65500000000000003</v>
      </c>
      <c r="DC791" t="s">
        <v>3</v>
      </c>
      <c r="DD791" t="s">
        <v>3</v>
      </c>
      <c r="DE791" t="s">
        <v>3</v>
      </c>
      <c r="DF791" t="s">
        <v>3</v>
      </c>
      <c r="DG791" t="s">
        <v>3</v>
      </c>
      <c r="DH791" t="s">
        <v>3</v>
      </c>
      <c r="DI791" t="s">
        <v>3</v>
      </c>
      <c r="DJ791" t="s">
        <v>3</v>
      </c>
      <c r="DK791" t="s">
        <v>3</v>
      </c>
      <c r="DL791" t="s">
        <v>3</v>
      </c>
      <c r="DM791" t="s">
        <v>3</v>
      </c>
      <c r="DN791">
        <v>0</v>
      </c>
      <c r="DO791">
        <v>0</v>
      </c>
      <c r="DP791">
        <v>1</v>
      </c>
      <c r="DQ791">
        <v>1</v>
      </c>
      <c r="DU791">
        <v>1003</v>
      </c>
      <c r="DV791" t="s">
        <v>104</v>
      </c>
      <c r="DW791" t="s">
        <v>104</v>
      </c>
      <c r="DX791">
        <v>100</v>
      </c>
      <c r="DZ791" t="s">
        <v>3</v>
      </c>
      <c r="EA791" t="s">
        <v>3</v>
      </c>
      <c r="EB791" t="s">
        <v>3</v>
      </c>
      <c r="EC791" t="s">
        <v>3</v>
      </c>
      <c r="EE791">
        <v>1441815344</v>
      </c>
      <c r="EF791">
        <v>1</v>
      </c>
      <c r="EG791" t="s">
        <v>22</v>
      </c>
      <c r="EH791">
        <v>0</v>
      </c>
      <c r="EI791" t="s">
        <v>3</v>
      </c>
      <c r="EJ791">
        <v>4</v>
      </c>
      <c r="EK791">
        <v>0</v>
      </c>
      <c r="EL791" t="s">
        <v>23</v>
      </c>
      <c r="EM791" t="s">
        <v>24</v>
      </c>
      <c r="EO791" t="s">
        <v>3</v>
      </c>
      <c r="EQ791">
        <v>0</v>
      </c>
      <c r="ER791">
        <v>1092.04</v>
      </c>
      <c r="ES791">
        <v>0</v>
      </c>
      <c r="ET791">
        <v>0</v>
      </c>
      <c r="EU791">
        <v>0</v>
      </c>
      <c r="EV791">
        <v>1092.04</v>
      </c>
      <c r="EW791">
        <v>2.04</v>
      </c>
      <c r="EX791">
        <v>0</v>
      </c>
      <c r="EY791">
        <v>0</v>
      </c>
      <c r="FQ791">
        <v>0</v>
      </c>
      <c r="FR791">
        <f t="shared" si="753"/>
        <v>0</v>
      </c>
      <c r="FS791">
        <v>0</v>
      </c>
      <c r="FX791">
        <v>70</v>
      </c>
      <c r="FY791">
        <v>10</v>
      </c>
      <c r="GA791" t="s">
        <v>3</v>
      </c>
      <c r="GD791">
        <v>0</v>
      </c>
      <c r="GF791">
        <v>-969674239</v>
      </c>
      <c r="GG791">
        <v>2</v>
      </c>
      <c r="GH791">
        <v>1</v>
      </c>
      <c r="GI791">
        <v>-2</v>
      </c>
      <c r="GJ791">
        <v>0</v>
      </c>
      <c r="GK791">
        <f>ROUND(R791*(R12)/100,2)</f>
        <v>0</v>
      </c>
      <c r="GL791">
        <f t="shared" si="754"/>
        <v>0</v>
      </c>
      <c r="GM791">
        <f t="shared" si="755"/>
        <v>11.8</v>
      </c>
      <c r="GN791">
        <f t="shared" si="756"/>
        <v>0</v>
      </c>
      <c r="GO791">
        <f t="shared" si="757"/>
        <v>0</v>
      </c>
      <c r="GP791">
        <f t="shared" si="758"/>
        <v>11.8</v>
      </c>
      <c r="GR791">
        <v>0</v>
      </c>
      <c r="GS791">
        <v>3</v>
      </c>
      <c r="GT791">
        <v>0</v>
      </c>
      <c r="GU791" t="s">
        <v>3</v>
      </c>
      <c r="GV791">
        <f t="shared" si="759"/>
        <v>0</v>
      </c>
      <c r="GW791">
        <v>1</v>
      </c>
      <c r="GX791">
        <f t="shared" si="760"/>
        <v>0</v>
      </c>
      <c r="HA791">
        <v>0</v>
      </c>
      <c r="HB791">
        <v>0</v>
      </c>
      <c r="HC791">
        <f t="shared" si="761"/>
        <v>0</v>
      </c>
      <c r="HE791" t="s">
        <v>3</v>
      </c>
      <c r="HF791" t="s">
        <v>3</v>
      </c>
      <c r="HM791" t="s">
        <v>3</v>
      </c>
      <c r="HN791" t="s">
        <v>3</v>
      </c>
      <c r="HO791" t="s">
        <v>3</v>
      </c>
      <c r="HP791" t="s">
        <v>3</v>
      </c>
      <c r="HQ791" t="s">
        <v>3</v>
      </c>
      <c r="IK791">
        <v>0</v>
      </c>
    </row>
    <row r="792" spans="1:245" x14ac:dyDescent="0.2">
      <c r="A792">
        <v>17</v>
      </c>
      <c r="B792">
        <v>1</v>
      </c>
      <c r="D792">
        <f>ROW(EtalonRes!A737)</f>
        <v>737</v>
      </c>
      <c r="E792" t="s">
        <v>675</v>
      </c>
      <c r="F792" t="s">
        <v>631</v>
      </c>
      <c r="G792" t="s">
        <v>632</v>
      </c>
      <c r="H792" t="s">
        <v>20</v>
      </c>
      <c r="I792">
        <f>ROUND(2,9)</f>
        <v>2</v>
      </c>
      <c r="J792">
        <v>0</v>
      </c>
      <c r="K792">
        <f>ROUND(2,9)</f>
        <v>2</v>
      </c>
      <c r="O792">
        <f t="shared" si="729"/>
        <v>677.76</v>
      </c>
      <c r="P792">
        <f t="shared" si="730"/>
        <v>3.14</v>
      </c>
      <c r="Q792">
        <f t="shared" si="731"/>
        <v>0</v>
      </c>
      <c r="R792">
        <f t="shared" si="732"/>
        <v>0</v>
      </c>
      <c r="S792">
        <f t="shared" si="733"/>
        <v>674.62</v>
      </c>
      <c r="T792">
        <f t="shared" si="734"/>
        <v>0</v>
      </c>
      <c r="U792">
        <f t="shared" si="735"/>
        <v>1.2</v>
      </c>
      <c r="V792">
        <f t="shared" si="736"/>
        <v>0</v>
      </c>
      <c r="W792">
        <f t="shared" si="737"/>
        <v>0</v>
      </c>
      <c r="X792">
        <f t="shared" si="738"/>
        <v>472.23</v>
      </c>
      <c r="Y792">
        <f t="shared" si="739"/>
        <v>67.459999999999994</v>
      </c>
      <c r="AA792">
        <v>1472506909</v>
      </c>
      <c r="AB792">
        <f t="shared" si="740"/>
        <v>338.88</v>
      </c>
      <c r="AC792">
        <f>ROUND((ES792),6)</f>
        <v>1.57</v>
      </c>
      <c r="AD792">
        <f>ROUND((((ET792)-(EU792))+AE792),6)</f>
        <v>0</v>
      </c>
      <c r="AE792">
        <f t="shared" si="762"/>
        <v>0</v>
      </c>
      <c r="AF792">
        <f t="shared" si="762"/>
        <v>337.31</v>
      </c>
      <c r="AG792">
        <f t="shared" si="741"/>
        <v>0</v>
      </c>
      <c r="AH792">
        <f t="shared" si="763"/>
        <v>0.6</v>
      </c>
      <c r="AI792">
        <f t="shared" si="763"/>
        <v>0</v>
      </c>
      <c r="AJ792">
        <f t="shared" si="742"/>
        <v>0</v>
      </c>
      <c r="AK792">
        <v>338.88</v>
      </c>
      <c r="AL792">
        <v>1.57</v>
      </c>
      <c r="AM792">
        <v>0</v>
      </c>
      <c r="AN792">
        <v>0</v>
      </c>
      <c r="AO792">
        <v>337.31</v>
      </c>
      <c r="AP792">
        <v>0</v>
      </c>
      <c r="AQ792">
        <v>0.6</v>
      </c>
      <c r="AR792">
        <v>0</v>
      </c>
      <c r="AS792">
        <v>0</v>
      </c>
      <c r="AT792">
        <v>70</v>
      </c>
      <c r="AU792">
        <v>10</v>
      </c>
      <c r="AV792">
        <v>1</v>
      </c>
      <c r="AW792">
        <v>1</v>
      </c>
      <c r="AZ792">
        <v>1</v>
      </c>
      <c r="BA792">
        <v>1</v>
      </c>
      <c r="BB792">
        <v>1</v>
      </c>
      <c r="BC792">
        <v>1</v>
      </c>
      <c r="BD792" t="s">
        <v>3</v>
      </c>
      <c r="BE792" t="s">
        <v>3</v>
      </c>
      <c r="BF792" t="s">
        <v>3</v>
      </c>
      <c r="BG792" t="s">
        <v>3</v>
      </c>
      <c r="BH792">
        <v>0</v>
      </c>
      <c r="BI792">
        <v>4</v>
      </c>
      <c r="BJ792" t="s">
        <v>633</v>
      </c>
      <c r="BM792">
        <v>0</v>
      </c>
      <c r="BN792">
        <v>0</v>
      </c>
      <c r="BO792" t="s">
        <v>3</v>
      </c>
      <c r="BP792">
        <v>0</v>
      </c>
      <c r="BQ792">
        <v>1</v>
      </c>
      <c r="BR792">
        <v>0</v>
      </c>
      <c r="BS792">
        <v>1</v>
      </c>
      <c r="BT792">
        <v>1</v>
      </c>
      <c r="BU792">
        <v>1</v>
      </c>
      <c r="BV792">
        <v>1</v>
      </c>
      <c r="BW792">
        <v>1</v>
      </c>
      <c r="BX792">
        <v>1</v>
      </c>
      <c r="BY792" t="s">
        <v>3</v>
      </c>
      <c r="BZ792">
        <v>70</v>
      </c>
      <c r="CA792">
        <v>10</v>
      </c>
      <c r="CB792" t="s">
        <v>3</v>
      </c>
      <c r="CE792">
        <v>0</v>
      </c>
      <c r="CF792">
        <v>0</v>
      </c>
      <c r="CG792">
        <v>0</v>
      </c>
      <c r="CM792">
        <v>0</v>
      </c>
      <c r="CN792" t="s">
        <v>3</v>
      </c>
      <c r="CO792">
        <v>0</v>
      </c>
      <c r="CP792">
        <f t="shared" si="743"/>
        <v>677.76</v>
      </c>
      <c r="CQ792">
        <f t="shared" si="744"/>
        <v>1.57</v>
      </c>
      <c r="CR792">
        <f>((((ET792)*BB792-(EU792)*BS792)+AE792*BS792)*AV792)</f>
        <v>0</v>
      </c>
      <c r="CS792">
        <f t="shared" si="745"/>
        <v>0</v>
      </c>
      <c r="CT792">
        <f t="shared" si="746"/>
        <v>337.31</v>
      </c>
      <c r="CU792">
        <f t="shared" si="747"/>
        <v>0</v>
      </c>
      <c r="CV792">
        <f t="shared" si="748"/>
        <v>0.6</v>
      </c>
      <c r="CW792">
        <f t="shared" si="749"/>
        <v>0</v>
      </c>
      <c r="CX792">
        <f t="shared" si="750"/>
        <v>0</v>
      </c>
      <c r="CY792">
        <f t="shared" si="751"/>
        <v>472.23400000000004</v>
      </c>
      <c r="CZ792">
        <f t="shared" si="752"/>
        <v>67.462000000000003</v>
      </c>
      <c r="DC792" t="s">
        <v>3</v>
      </c>
      <c r="DD792" t="s">
        <v>3</v>
      </c>
      <c r="DE792" t="s">
        <v>3</v>
      </c>
      <c r="DF792" t="s">
        <v>3</v>
      </c>
      <c r="DG792" t="s">
        <v>3</v>
      </c>
      <c r="DH792" t="s">
        <v>3</v>
      </c>
      <c r="DI792" t="s">
        <v>3</v>
      </c>
      <c r="DJ792" t="s">
        <v>3</v>
      </c>
      <c r="DK792" t="s">
        <v>3</v>
      </c>
      <c r="DL792" t="s">
        <v>3</v>
      </c>
      <c r="DM792" t="s">
        <v>3</v>
      </c>
      <c r="DN792">
        <v>0</v>
      </c>
      <c r="DO792">
        <v>0</v>
      </c>
      <c r="DP792">
        <v>1</v>
      </c>
      <c r="DQ792">
        <v>1</v>
      </c>
      <c r="DU792">
        <v>16987630</v>
      </c>
      <c r="DV792" t="s">
        <v>20</v>
      </c>
      <c r="DW792" t="s">
        <v>20</v>
      </c>
      <c r="DX792">
        <v>1</v>
      </c>
      <c r="DZ792" t="s">
        <v>3</v>
      </c>
      <c r="EA792" t="s">
        <v>3</v>
      </c>
      <c r="EB792" t="s">
        <v>3</v>
      </c>
      <c r="EC792" t="s">
        <v>3</v>
      </c>
      <c r="EE792">
        <v>1441815344</v>
      </c>
      <c r="EF792">
        <v>1</v>
      </c>
      <c r="EG792" t="s">
        <v>22</v>
      </c>
      <c r="EH792">
        <v>0</v>
      </c>
      <c r="EI792" t="s">
        <v>3</v>
      </c>
      <c r="EJ792">
        <v>4</v>
      </c>
      <c r="EK792">
        <v>0</v>
      </c>
      <c r="EL792" t="s">
        <v>23</v>
      </c>
      <c r="EM792" t="s">
        <v>24</v>
      </c>
      <c r="EO792" t="s">
        <v>3</v>
      </c>
      <c r="EQ792">
        <v>0</v>
      </c>
      <c r="ER792">
        <v>338.88</v>
      </c>
      <c r="ES792">
        <v>1.57</v>
      </c>
      <c r="ET792">
        <v>0</v>
      </c>
      <c r="EU792">
        <v>0</v>
      </c>
      <c r="EV792">
        <v>337.31</v>
      </c>
      <c r="EW792">
        <v>0.6</v>
      </c>
      <c r="EX792">
        <v>0</v>
      </c>
      <c r="EY792">
        <v>0</v>
      </c>
      <c r="FQ792">
        <v>0</v>
      </c>
      <c r="FR792">
        <f t="shared" si="753"/>
        <v>0</v>
      </c>
      <c r="FS792">
        <v>0</v>
      </c>
      <c r="FX792">
        <v>70</v>
      </c>
      <c r="FY792">
        <v>10</v>
      </c>
      <c r="GA792" t="s">
        <v>3</v>
      </c>
      <c r="GD792">
        <v>0</v>
      </c>
      <c r="GF792">
        <v>595984218</v>
      </c>
      <c r="GG792">
        <v>2</v>
      </c>
      <c r="GH792">
        <v>1</v>
      </c>
      <c r="GI792">
        <v>-2</v>
      </c>
      <c r="GJ792">
        <v>0</v>
      </c>
      <c r="GK792">
        <f>ROUND(R792*(R12)/100,2)</f>
        <v>0</v>
      </c>
      <c r="GL792">
        <f t="shared" si="754"/>
        <v>0</v>
      </c>
      <c r="GM792">
        <f t="shared" si="755"/>
        <v>1217.45</v>
      </c>
      <c r="GN792">
        <f t="shared" si="756"/>
        <v>0</v>
      </c>
      <c r="GO792">
        <f t="shared" si="757"/>
        <v>0</v>
      </c>
      <c r="GP792">
        <f t="shared" si="758"/>
        <v>1217.45</v>
      </c>
      <c r="GR792">
        <v>0</v>
      </c>
      <c r="GS792">
        <v>3</v>
      </c>
      <c r="GT792">
        <v>0</v>
      </c>
      <c r="GU792" t="s">
        <v>3</v>
      </c>
      <c r="GV792">
        <f t="shared" si="759"/>
        <v>0</v>
      </c>
      <c r="GW792">
        <v>1</v>
      </c>
      <c r="GX792">
        <f t="shared" si="760"/>
        <v>0</v>
      </c>
      <c r="HA792">
        <v>0</v>
      </c>
      <c r="HB792">
        <v>0</v>
      </c>
      <c r="HC792">
        <f t="shared" si="761"/>
        <v>0</v>
      </c>
      <c r="HE792" t="s">
        <v>3</v>
      </c>
      <c r="HF792" t="s">
        <v>3</v>
      </c>
      <c r="HM792" t="s">
        <v>3</v>
      </c>
      <c r="HN792" t="s">
        <v>3</v>
      </c>
      <c r="HO792" t="s">
        <v>3</v>
      </c>
      <c r="HP792" t="s">
        <v>3</v>
      </c>
      <c r="HQ792" t="s">
        <v>3</v>
      </c>
      <c r="IK792">
        <v>0</v>
      </c>
    </row>
    <row r="793" spans="1:245" x14ac:dyDescent="0.2">
      <c r="A793">
        <v>17</v>
      </c>
      <c r="B793">
        <v>1</v>
      </c>
      <c r="D793">
        <f>ROW(EtalonRes!A738)</f>
        <v>738</v>
      </c>
      <c r="E793" t="s">
        <v>3</v>
      </c>
      <c r="F793" t="s">
        <v>634</v>
      </c>
      <c r="G793" t="s">
        <v>635</v>
      </c>
      <c r="H793" t="s">
        <v>20</v>
      </c>
      <c r="I793">
        <f>ROUND(2,9)</f>
        <v>2</v>
      </c>
      <c r="J793">
        <v>0</v>
      </c>
      <c r="K793">
        <f>ROUND(2,9)</f>
        <v>2</v>
      </c>
      <c r="O793">
        <f t="shared" si="729"/>
        <v>567.67999999999995</v>
      </c>
      <c r="P793">
        <f t="shared" si="730"/>
        <v>0</v>
      </c>
      <c r="Q793">
        <f t="shared" si="731"/>
        <v>0</v>
      </c>
      <c r="R793">
        <f t="shared" si="732"/>
        <v>0</v>
      </c>
      <c r="S793">
        <f t="shared" si="733"/>
        <v>567.67999999999995</v>
      </c>
      <c r="T793">
        <f t="shared" si="734"/>
        <v>0</v>
      </c>
      <c r="U793">
        <f t="shared" si="735"/>
        <v>1.1200000000000001</v>
      </c>
      <c r="V793">
        <f t="shared" si="736"/>
        <v>0</v>
      </c>
      <c r="W793">
        <f t="shared" si="737"/>
        <v>0</v>
      </c>
      <c r="X793">
        <f t="shared" si="738"/>
        <v>397.38</v>
      </c>
      <c r="Y793">
        <f t="shared" si="739"/>
        <v>56.77</v>
      </c>
      <c r="AA793">
        <v>-1</v>
      </c>
      <c r="AB793">
        <f t="shared" si="740"/>
        <v>283.83999999999997</v>
      </c>
      <c r="AC793">
        <f>ROUND(((ES793*4)),6)</f>
        <v>0</v>
      </c>
      <c r="AD793">
        <f>ROUND(((((ET793*4))-((EU793*4)))+AE793),6)</f>
        <v>0</v>
      </c>
      <c r="AE793">
        <f>ROUND(((EU793*4)),6)</f>
        <v>0</v>
      </c>
      <c r="AF793">
        <f>ROUND(((EV793*4)),6)</f>
        <v>283.83999999999997</v>
      </c>
      <c r="AG793">
        <f t="shared" si="741"/>
        <v>0</v>
      </c>
      <c r="AH793">
        <f>((EW793*4))</f>
        <v>0.56000000000000005</v>
      </c>
      <c r="AI793">
        <f>((EX793*4))</f>
        <v>0</v>
      </c>
      <c r="AJ793">
        <f t="shared" si="742"/>
        <v>0</v>
      </c>
      <c r="AK793">
        <v>70.959999999999994</v>
      </c>
      <c r="AL793">
        <v>0</v>
      </c>
      <c r="AM793">
        <v>0</v>
      </c>
      <c r="AN793">
        <v>0</v>
      </c>
      <c r="AO793">
        <v>70.959999999999994</v>
      </c>
      <c r="AP793">
        <v>0</v>
      </c>
      <c r="AQ793">
        <v>0.14000000000000001</v>
      </c>
      <c r="AR793">
        <v>0</v>
      </c>
      <c r="AS793">
        <v>0</v>
      </c>
      <c r="AT793">
        <v>70</v>
      </c>
      <c r="AU793">
        <v>10</v>
      </c>
      <c r="AV793">
        <v>1</v>
      </c>
      <c r="AW793">
        <v>1</v>
      </c>
      <c r="AZ793">
        <v>1</v>
      </c>
      <c r="BA793">
        <v>1</v>
      </c>
      <c r="BB793">
        <v>1</v>
      </c>
      <c r="BC793">
        <v>1</v>
      </c>
      <c r="BD793" t="s">
        <v>3</v>
      </c>
      <c r="BE793" t="s">
        <v>3</v>
      </c>
      <c r="BF793" t="s">
        <v>3</v>
      </c>
      <c r="BG793" t="s">
        <v>3</v>
      </c>
      <c r="BH793">
        <v>0</v>
      </c>
      <c r="BI793">
        <v>4</v>
      </c>
      <c r="BJ793" t="s">
        <v>636</v>
      </c>
      <c r="BM793">
        <v>0</v>
      </c>
      <c r="BN793">
        <v>0</v>
      </c>
      <c r="BO793" t="s">
        <v>3</v>
      </c>
      <c r="BP793">
        <v>0</v>
      </c>
      <c r="BQ793">
        <v>1</v>
      </c>
      <c r="BR793">
        <v>0</v>
      </c>
      <c r="BS793">
        <v>1</v>
      </c>
      <c r="BT793">
        <v>1</v>
      </c>
      <c r="BU793">
        <v>1</v>
      </c>
      <c r="BV793">
        <v>1</v>
      </c>
      <c r="BW793">
        <v>1</v>
      </c>
      <c r="BX793">
        <v>1</v>
      </c>
      <c r="BY793" t="s">
        <v>3</v>
      </c>
      <c r="BZ793">
        <v>70</v>
      </c>
      <c r="CA793">
        <v>10</v>
      </c>
      <c r="CB793" t="s">
        <v>3</v>
      </c>
      <c r="CE793">
        <v>0</v>
      </c>
      <c r="CF793">
        <v>0</v>
      </c>
      <c r="CG793">
        <v>0</v>
      </c>
      <c r="CM793">
        <v>0</v>
      </c>
      <c r="CN793" t="s">
        <v>3</v>
      </c>
      <c r="CO793">
        <v>0</v>
      </c>
      <c r="CP793">
        <f t="shared" si="743"/>
        <v>567.67999999999995</v>
      </c>
      <c r="CQ793">
        <f t="shared" si="744"/>
        <v>0</v>
      </c>
      <c r="CR793">
        <f>(((((ET793*4))*BB793-((EU793*4))*BS793)+AE793*BS793)*AV793)</f>
        <v>0</v>
      </c>
      <c r="CS793">
        <f t="shared" si="745"/>
        <v>0</v>
      </c>
      <c r="CT793">
        <f t="shared" si="746"/>
        <v>283.83999999999997</v>
      </c>
      <c r="CU793">
        <f t="shared" si="747"/>
        <v>0</v>
      </c>
      <c r="CV793">
        <f t="shared" si="748"/>
        <v>0.56000000000000005</v>
      </c>
      <c r="CW793">
        <f t="shared" si="749"/>
        <v>0</v>
      </c>
      <c r="CX793">
        <f t="shared" si="750"/>
        <v>0</v>
      </c>
      <c r="CY793">
        <f t="shared" si="751"/>
        <v>397.37599999999998</v>
      </c>
      <c r="CZ793">
        <f t="shared" si="752"/>
        <v>56.767999999999994</v>
      </c>
      <c r="DC793" t="s">
        <v>3</v>
      </c>
      <c r="DD793" t="s">
        <v>584</v>
      </c>
      <c r="DE793" t="s">
        <v>584</v>
      </c>
      <c r="DF793" t="s">
        <v>584</v>
      </c>
      <c r="DG793" t="s">
        <v>584</v>
      </c>
      <c r="DH793" t="s">
        <v>3</v>
      </c>
      <c r="DI793" t="s">
        <v>584</v>
      </c>
      <c r="DJ793" t="s">
        <v>584</v>
      </c>
      <c r="DK793" t="s">
        <v>3</v>
      </c>
      <c r="DL793" t="s">
        <v>3</v>
      </c>
      <c r="DM793" t="s">
        <v>3</v>
      </c>
      <c r="DN793">
        <v>0</v>
      </c>
      <c r="DO793">
        <v>0</v>
      </c>
      <c r="DP793">
        <v>1</v>
      </c>
      <c r="DQ793">
        <v>1</v>
      </c>
      <c r="DU793">
        <v>16987630</v>
      </c>
      <c r="DV793" t="s">
        <v>20</v>
      </c>
      <c r="DW793" t="s">
        <v>20</v>
      </c>
      <c r="DX793">
        <v>1</v>
      </c>
      <c r="DZ793" t="s">
        <v>3</v>
      </c>
      <c r="EA793" t="s">
        <v>3</v>
      </c>
      <c r="EB793" t="s">
        <v>3</v>
      </c>
      <c r="EC793" t="s">
        <v>3</v>
      </c>
      <c r="EE793">
        <v>1441815344</v>
      </c>
      <c r="EF793">
        <v>1</v>
      </c>
      <c r="EG793" t="s">
        <v>22</v>
      </c>
      <c r="EH793">
        <v>0</v>
      </c>
      <c r="EI793" t="s">
        <v>3</v>
      </c>
      <c r="EJ793">
        <v>4</v>
      </c>
      <c r="EK793">
        <v>0</v>
      </c>
      <c r="EL793" t="s">
        <v>23</v>
      </c>
      <c r="EM793" t="s">
        <v>24</v>
      </c>
      <c r="EO793" t="s">
        <v>3</v>
      </c>
      <c r="EQ793">
        <v>1024</v>
      </c>
      <c r="ER793">
        <v>70.959999999999994</v>
      </c>
      <c r="ES793">
        <v>0</v>
      </c>
      <c r="ET793">
        <v>0</v>
      </c>
      <c r="EU793">
        <v>0</v>
      </c>
      <c r="EV793">
        <v>70.959999999999994</v>
      </c>
      <c r="EW793">
        <v>0.14000000000000001</v>
      </c>
      <c r="EX793">
        <v>0</v>
      </c>
      <c r="EY793">
        <v>0</v>
      </c>
      <c r="FQ793">
        <v>0</v>
      </c>
      <c r="FR793">
        <f t="shared" si="753"/>
        <v>0</v>
      </c>
      <c r="FS793">
        <v>0</v>
      </c>
      <c r="FX793">
        <v>70</v>
      </c>
      <c r="FY793">
        <v>10</v>
      </c>
      <c r="GA793" t="s">
        <v>3</v>
      </c>
      <c r="GD793">
        <v>0</v>
      </c>
      <c r="GF793">
        <v>-1648066009</v>
      </c>
      <c r="GG793">
        <v>2</v>
      </c>
      <c r="GH793">
        <v>1</v>
      </c>
      <c r="GI793">
        <v>-2</v>
      </c>
      <c r="GJ793">
        <v>0</v>
      </c>
      <c r="GK793">
        <f>ROUND(R793*(R12)/100,2)</f>
        <v>0</v>
      </c>
      <c r="GL793">
        <f t="shared" si="754"/>
        <v>0</v>
      </c>
      <c r="GM793">
        <f t="shared" si="755"/>
        <v>1021.83</v>
      </c>
      <c r="GN793">
        <f t="shared" si="756"/>
        <v>0</v>
      </c>
      <c r="GO793">
        <f t="shared" si="757"/>
        <v>0</v>
      </c>
      <c r="GP793">
        <f t="shared" si="758"/>
        <v>1021.83</v>
      </c>
      <c r="GR793">
        <v>0</v>
      </c>
      <c r="GS793">
        <v>3</v>
      </c>
      <c r="GT793">
        <v>0</v>
      </c>
      <c r="GU793" t="s">
        <v>3</v>
      </c>
      <c r="GV793">
        <f t="shared" si="759"/>
        <v>0</v>
      </c>
      <c r="GW793">
        <v>1</v>
      </c>
      <c r="GX793">
        <f t="shared" si="760"/>
        <v>0</v>
      </c>
      <c r="HA793">
        <v>0</v>
      </c>
      <c r="HB793">
        <v>0</v>
      </c>
      <c r="HC793">
        <f t="shared" si="761"/>
        <v>0</v>
      </c>
      <c r="HE793" t="s">
        <v>3</v>
      </c>
      <c r="HF793" t="s">
        <v>3</v>
      </c>
      <c r="HM793" t="s">
        <v>3</v>
      </c>
      <c r="HN793" t="s">
        <v>3</v>
      </c>
      <c r="HO793" t="s">
        <v>3</v>
      </c>
      <c r="HP793" t="s">
        <v>3</v>
      </c>
      <c r="HQ793" t="s">
        <v>3</v>
      </c>
      <c r="IK793">
        <v>0</v>
      </c>
    </row>
    <row r="794" spans="1:245" x14ac:dyDescent="0.2">
      <c r="A794">
        <v>17</v>
      </c>
      <c r="B794">
        <v>1</v>
      </c>
      <c r="D794">
        <f>ROW(EtalonRes!A739)</f>
        <v>739</v>
      </c>
      <c r="E794" t="s">
        <v>3</v>
      </c>
      <c r="F794" t="s">
        <v>637</v>
      </c>
      <c r="G794" t="s">
        <v>638</v>
      </c>
      <c r="H794" t="s">
        <v>20</v>
      </c>
      <c r="I794">
        <v>2</v>
      </c>
      <c r="J794">
        <v>0</v>
      </c>
      <c r="K794">
        <v>2</v>
      </c>
      <c r="O794">
        <f t="shared" si="729"/>
        <v>9569.7999999999993</v>
      </c>
      <c r="P794">
        <f t="shared" si="730"/>
        <v>0</v>
      </c>
      <c r="Q794">
        <f t="shared" si="731"/>
        <v>0</v>
      </c>
      <c r="R794">
        <f t="shared" si="732"/>
        <v>0</v>
      </c>
      <c r="S794">
        <f t="shared" si="733"/>
        <v>9569.7999999999993</v>
      </c>
      <c r="T794">
        <f t="shared" si="734"/>
        <v>0</v>
      </c>
      <c r="U794">
        <f t="shared" si="735"/>
        <v>18.88</v>
      </c>
      <c r="V794">
        <f t="shared" si="736"/>
        <v>0</v>
      </c>
      <c r="W794">
        <f t="shared" si="737"/>
        <v>0</v>
      </c>
      <c r="X794">
        <f t="shared" si="738"/>
        <v>6698.86</v>
      </c>
      <c r="Y794">
        <f t="shared" si="739"/>
        <v>956.98</v>
      </c>
      <c r="AA794">
        <v>-1</v>
      </c>
      <c r="AB794">
        <f t="shared" si="740"/>
        <v>4784.8999999999996</v>
      </c>
      <c r="AC794">
        <f>ROUND(((ES794*118)),6)</f>
        <v>0</v>
      </c>
      <c r="AD794">
        <f>ROUND(((((ET794*118))-((EU794*118)))+AE794),6)</f>
        <v>0</v>
      </c>
      <c r="AE794">
        <f>ROUND(((EU794*118)),6)</f>
        <v>0</v>
      </c>
      <c r="AF794">
        <f>ROUND(((EV794*118)),6)</f>
        <v>4784.8999999999996</v>
      </c>
      <c r="AG794">
        <f t="shared" si="741"/>
        <v>0</v>
      </c>
      <c r="AH794">
        <f>((EW794*118))</f>
        <v>9.44</v>
      </c>
      <c r="AI794">
        <f>((EX794*118))</f>
        <v>0</v>
      </c>
      <c r="AJ794">
        <f t="shared" si="742"/>
        <v>0</v>
      </c>
      <c r="AK794">
        <v>40.549999999999997</v>
      </c>
      <c r="AL794">
        <v>0</v>
      </c>
      <c r="AM794">
        <v>0</v>
      </c>
      <c r="AN794">
        <v>0</v>
      </c>
      <c r="AO794">
        <v>40.549999999999997</v>
      </c>
      <c r="AP794">
        <v>0</v>
      </c>
      <c r="AQ794">
        <v>0.08</v>
      </c>
      <c r="AR794">
        <v>0</v>
      </c>
      <c r="AS794">
        <v>0</v>
      </c>
      <c r="AT794">
        <v>70</v>
      </c>
      <c r="AU794">
        <v>10</v>
      </c>
      <c r="AV794">
        <v>1</v>
      </c>
      <c r="AW794">
        <v>1</v>
      </c>
      <c r="AZ794">
        <v>1</v>
      </c>
      <c r="BA794">
        <v>1</v>
      </c>
      <c r="BB794">
        <v>1</v>
      </c>
      <c r="BC794">
        <v>1</v>
      </c>
      <c r="BD794" t="s">
        <v>3</v>
      </c>
      <c r="BE794" t="s">
        <v>3</v>
      </c>
      <c r="BF794" t="s">
        <v>3</v>
      </c>
      <c r="BG794" t="s">
        <v>3</v>
      </c>
      <c r="BH794">
        <v>0</v>
      </c>
      <c r="BI794">
        <v>4</v>
      </c>
      <c r="BJ794" t="s">
        <v>639</v>
      </c>
      <c r="BM794">
        <v>0</v>
      </c>
      <c r="BN794">
        <v>0</v>
      </c>
      <c r="BO794" t="s">
        <v>3</v>
      </c>
      <c r="BP794">
        <v>0</v>
      </c>
      <c r="BQ794">
        <v>1</v>
      </c>
      <c r="BR794">
        <v>0</v>
      </c>
      <c r="BS794">
        <v>1</v>
      </c>
      <c r="BT794">
        <v>1</v>
      </c>
      <c r="BU794">
        <v>1</v>
      </c>
      <c r="BV794">
        <v>1</v>
      </c>
      <c r="BW794">
        <v>1</v>
      </c>
      <c r="BX794">
        <v>1</v>
      </c>
      <c r="BY794" t="s">
        <v>3</v>
      </c>
      <c r="BZ794">
        <v>70</v>
      </c>
      <c r="CA794">
        <v>10</v>
      </c>
      <c r="CB794" t="s">
        <v>3</v>
      </c>
      <c r="CE794">
        <v>0</v>
      </c>
      <c r="CF794">
        <v>0</v>
      </c>
      <c r="CG794">
        <v>0</v>
      </c>
      <c r="CM794">
        <v>0</v>
      </c>
      <c r="CN794" t="s">
        <v>3</v>
      </c>
      <c r="CO794">
        <v>0</v>
      </c>
      <c r="CP794">
        <f t="shared" si="743"/>
        <v>9569.7999999999993</v>
      </c>
      <c r="CQ794">
        <f t="shared" si="744"/>
        <v>0</v>
      </c>
      <c r="CR794">
        <f>(((((ET794*118))*BB794-((EU794*118))*BS794)+AE794*BS794)*AV794)</f>
        <v>0</v>
      </c>
      <c r="CS794">
        <f t="shared" si="745"/>
        <v>0</v>
      </c>
      <c r="CT794">
        <f t="shared" si="746"/>
        <v>4784.8999999999996</v>
      </c>
      <c r="CU794">
        <f t="shared" si="747"/>
        <v>0</v>
      </c>
      <c r="CV794">
        <f t="shared" si="748"/>
        <v>9.44</v>
      </c>
      <c r="CW794">
        <f t="shared" si="749"/>
        <v>0</v>
      </c>
      <c r="CX794">
        <f t="shared" si="750"/>
        <v>0</v>
      </c>
      <c r="CY794">
        <f t="shared" si="751"/>
        <v>6698.86</v>
      </c>
      <c r="CZ794">
        <f t="shared" si="752"/>
        <v>956.98</v>
      </c>
      <c r="DC794" t="s">
        <v>3</v>
      </c>
      <c r="DD794" t="s">
        <v>640</v>
      </c>
      <c r="DE794" t="s">
        <v>640</v>
      </c>
      <c r="DF794" t="s">
        <v>640</v>
      </c>
      <c r="DG794" t="s">
        <v>640</v>
      </c>
      <c r="DH794" t="s">
        <v>3</v>
      </c>
      <c r="DI794" t="s">
        <v>640</v>
      </c>
      <c r="DJ794" t="s">
        <v>640</v>
      </c>
      <c r="DK794" t="s">
        <v>3</v>
      </c>
      <c r="DL794" t="s">
        <v>3</v>
      </c>
      <c r="DM794" t="s">
        <v>3</v>
      </c>
      <c r="DN794">
        <v>0</v>
      </c>
      <c r="DO794">
        <v>0</v>
      </c>
      <c r="DP794">
        <v>1</v>
      </c>
      <c r="DQ794">
        <v>1</v>
      </c>
      <c r="DU794">
        <v>16987630</v>
      </c>
      <c r="DV794" t="s">
        <v>20</v>
      </c>
      <c r="DW794" t="s">
        <v>20</v>
      </c>
      <c r="DX794">
        <v>1</v>
      </c>
      <c r="DZ794" t="s">
        <v>3</v>
      </c>
      <c r="EA794" t="s">
        <v>3</v>
      </c>
      <c r="EB794" t="s">
        <v>3</v>
      </c>
      <c r="EC794" t="s">
        <v>3</v>
      </c>
      <c r="EE794">
        <v>1441815344</v>
      </c>
      <c r="EF794">
        <v>1</v>
      </c>
      <c r="EG794" t="s">
        <v>22</v>
      </c>
      <c r="EH794">
        <v>0</v>
      </c>
      <c r="EI794" t="s">
        <v>3</v>
      </c>
      <c r="EJ794">
        <v>4</v>
      </c>
      <c r="EK794">
        <v>0</v>
      </c>
      <c r="EL794" t="s">
        <v>23</v>
      </c>
      <c r="EM794" t="s">
        <v>24</v>
      </c>
      <c r="EO794" t="s">
        <v>3</v>
      </c>
      <c r="EQ794">
        <v>1311744</v>
      </c>
      <c r="ER794">
        <v>40.549999999999997</v>
      </c>
      <c r="ES794">
        <v>0</v>
      </c>
      <c r="ET794">
        <v>0</v>
      </c>
      <c r="EU794">
        <v>0</v>
      </c>
      <c r="EV794">
        <v>40.549999999999997</v>
      </c>
      <c r="EW794">
        <v>0.08</v>
      </c>
      <c r="EX794">
        <v>0</v>
      </c>
      <c r="EY794">
        <v>0</v>
      </c>
      <c r="FQ794">
        <v>0</v>
      </c>
      <c r="FR794">
        <f t="shared" si="753"/>
        <v>0</v>
      </c>
      <c r="FS794">
        <v>0</v>
      </c>
      <c r="FX794">
        <v>70</v>
      </c>
      <c r="FY794">
        <v>10</v>
      </c>
      <c r="GA794" t="s">
        <v>3</v>
      </c>
      <c r="GD794">
        <v>0</v>
      </c>
      <c r="GF794">
        <v>-760003618</v>
      </c>
      <c r="GG794">
        <v>2</v>
      </c>
      <c r="GH794">
        <v>1</v>
      </c>
      <c r="GI794">
        <v>-2</v>
      </c>
      <c r="GJ794">
        <v>0</v>
      </c>
      <c r="GK794">
        <f>ROUND(R794*(R12)/100,2)</f>
        <v>0</v>
      </c>
      <c r="GL794">
        <f t="shared" si="754"/>
        <v>0</v>
      </c>
      <c r="GM794">
        <f t="shared" si="755"/>
        <v>17225.64</v>
      </c>
      <c r="GN794">
        <f t="shared" si="756"/>
        <v>0</v>
      </c>
      <c r="GO794">
        <f t="shared" si="757"/>
        <v>0</v>
      </c>
      <c r="GP794">
        <f t="shared" si="758"/>
        <v>17225.64</v>
      </c>
      <c r="GR794">
        <v>0</v>
      </c>
      <c r="GS794">
        <v>3</v>
      </c>
      <c r="GT794">
        <v>0</v>
      </c>
      <c r="GU794" t="s">
        <v>3</v>
      </c>
      <c r="GV794">
        <f t="shared" si="759"/>
        <v>0</v>
      </c>
      <c r="GW794">
        <v>1</v>
      </c>
      <c r="GX794">
        <f t="shared" si="760"/>
        <v>0</v>
      </c>
      <c r="HA794">
        <v>0</v>
      </c>
      <c r="HB794">
        <v>0</v>
      </c>
      <c r="HC794">
        <f t="shared" si="761"/>
        <v>0</v>
      </c>
      <c r="HE794" t="s">
        <v>3</v>
      </c>
      <c r="HF794" t="s">
        <v>3</v>
      </c>
      <c r="HM794" t="s">
        <v>3</v>
      </c>
      <c r="HN794" t="s">
        <v>3</v>
      </c>
      <c r="HO794" t="s">
        <v>3</v>
      </c>
      <c r="HP794" t="s">
        <v>3</v>
      </c>
      <c r="HQ794" t="s">
        <v>3</v>
      </c>
      <c r="IK794">
        <v>0</v>
      </c>
    </row>
    <row r="795" spans="1:245" x14ac:dyDescent="0.2">
      <c r="A795">
        <v>17</v>
      </c>
      <c r="B795">
        <v>1</v>
      </c>
      <c r="D795">
        <f>ROW(EtalonRes!A742)</f>
        <v>742</v>
      </c>
      <c r="E795" t="s">
        <v>676</v>
      </c>
      <c r="F795" t="s">
        <v>677</v>
      </c>
      <c r="G795" t="s">
        <v>678</v>
      </c>
      <c r="H795" t="s">
        <v>20</v>
      </c>
      <c r="I795">
        <v>2</v>
      </c>
      <c r="J795">
        <v>0</v>
      </c>
      <c r="K795">
        <v>2</v>
      </c>
      <c r="O795">
        <f t="shared" si="729"/>
        <v>300.02</v>
      </c>
      <c r="P795">
        <f t="shared" si="730"/>
        <v>0.12</v>
      </c>
      <c r="Q795">
        <f t="shared" si="731"/>
        <v>33.880000000000003</v>
      </c>
      <c r="R795">
        <f t="shared" si="732"/>
        <v>21.48</v>
      </c>
      <c r="S795">
        <f t="shared" si="733"/>
        <v>266.02</v>
      </c>
      <c r="T795">
        <f t="shared" si="734"/>
        <v>0</v>
      </c>
      <c r="U795">
        <f t="shared" si="735"/>
        <v>0.5</v>
      </c>
      <c r="V795">
        <f t="shared" si="736"/>
        <v>0</v>
      </c>
      <c r="W795">
        <f t="shared" si="737"/>
        <v>0</v>
      </c>
      <c r="X795">
        <f t="shared" si="738"/>
        <v>186.21</v>
      </c>
      <c r="Y795">
        <f t="shared" si="739"/>
        <v>26.6</v>
      </c>
      <c r="AA795">
        <v>1472506909</v>
      </c>
      <c r="AB795">
        <f t="shared" si="740"/>
        <v>150.01</v>
      </c>
      <c r="AC795">
        <f>ROUND((ES795),6)</f>
        <v>0.06</v>
      </c>
      <c r="AD795">
        <f>ROUND((((ET795)-(EU795))+AE795),6)</f>
        <v>16.940000000000001</v>
      </c>
      <c r="AE795">
        <f>ROUND((EU795),6)</f>
        <v>10.74</v>
      </c>
      <c r="AF795">
        <f>ROUND((EV795),6)</f>
        <v>133.01</v>
      </c>
      <c r="AG795">
        <f t="shared" si="741"/>
        <v>0</v>
      </c>
      <c r="AH795">
        <f>(EW795)</f>
        <v>0.25</v>
      </c>
      <c r="AI795">
        <f>(EX795)</f>
        <v>0</v>
      </c>
      <c r="AJ795">
        <f t="shared" si="742"/>
        <v>0</v>
      </c>
      <c r="AK795">
        <v>150.01</v>
      </c>
      <c r="AL795">
        <v>0.06</v>
      </c>
      <c r="AM795">
        <v>16.940000000000001</v>
      </c>
      <c r="AN795">
        <v>10.74</v>
      </c>
      <c r="AO795">
        <v>133.01</v>
      </c>
      <c r="AP795">
        <v>0</v>
      </c>
      <c r="AQ795">
        <v>0.25</v>
      </c>
      <c r="AR795">
        <v>0</v>
      </c>
      <c r="AS795">
        <v>0</v>
      </c>
      <c r="AT795">
        <v>70</v>
      </c>
      <c r="AU795">
        <v>10</v>
      </c>
      <c r="AV795">
        <v>1</v>
      </c>
      <c r="AW795">
        <v>1</v>
      </c>
      <c r="AZ795">
        <v>1</v>
      </c>
      <c r="BA795">
        <v>1</v>
      </c>
      <c r="BB795">
        <v>1</v>
      </c>
      <c r="BC795">
        <v>1</v>
      </c>
      <c r="BD795" t="s">
        <v>3</v>
      </c>
      <c r="BE795" t="s">
        <v>3</v>
      </c>
      <c r="BF795" t="s">
        <v>3</v>
      </c>
      <c r="BG795" t="s">
        <v>3</v>
      </c>
      <c r="BH795">
        <v>0</v>
      </c>
      <c r="BI795">
        <v>4</v>
      </c>
      <c r="BJ795" t="s">
        <v>679</v>
      </c>
      <c r="BM795">
        <v>0</v>
      </c>
      <c r="BN795">
        <v>0</v>
      </c>
      <c r="BO795" t="s">
        <v>3</v>
      </c>
      <c r="BP795">
        <v>0</v>
      </c>
      <c r="BQ795">
        <v>1</v>
      </c>
      <c r="BR795">
        <v>0</v>
      </c>
      <c r="BS795">
        <v>1</v>
      </c>
      <c r="BT795">
        <v>1</v>
      </c>
      <c r="BU795">
        <v>1</v>
      </c>
      <c r="BV795">
        <v>1</v>
      </c>
      <c r="BW795">
        <v>1</v>
      </c>
      <c r="BX795">
        <v>1</v>
      </c>
      <c r="BY795" t="s">
        <v>3</v>
      </c>
      <c r="BZ795">
        <v>70</v>
      </c>
      <c r="CA795">
        <v>10</v>
      </c>
      <c r="CB795" t="s">
        <v>3</v>
      </c>
      <c r="CE795">
        <v>0</v>
      </c>
      <c r="CF795">
        <v>0</v>
      </c>
      <c r="CG795">
        <v>0</v>
      </c>
      <c r="CM795">
        <v>0</v>
      </c>
      <c r="CN795" t="s">
        <v>3</v>
      </c>
      <c r="CO795">
        <v>0</v>
      </c>
      <c r="CP795">
        <f t="shared" si="743"/>
        <v>300.02</v>
      </c>
      <c r="CQ795">
        <f t="shared" si="744"/>
        <v>0.06</v>
      </c>
      <c r="CR795">
        <f>((((ET795)*BB795-(EU795)*BS795)+AE795*BS795)*AV795)</f>
        <v>16.940000000000001</v>
      </c>
      <c r="CS795">
        <f t="shared" si="745"/>
        <v>10.74</v>
      </c>
      <c r="CT795">
        <f t="shared" si="746"/>
        <v>133.01</v>
      </c>
      <c r="CU795">
        <f t="shared" si="747"/>
        <v>0</v>
      </c>
      <c r="CV795">
        <f t="shared" si="748"/>
        <v>0.25</v>
      </c>
      <c r="CW795">
        <f t="shared" si="749"/>
        <v>0</v>
      </c>
      <c r="CX795">
        <f t="shared" si="750"/>
        <v>0</v>
      </c>
      <c r="CY795">
        <f t="shared" si="751"/>
        <v>186.21399999999997</v>
      </c>
      <c r="CZ795">
        <f t="shared" si="752"/>
        <v>26.601999999999997</v>
      </c>
      <c r="DC795" t="s">
        <v>3</v>
      </c>
      <c r="DD795" t="s">
        <v>3</v>
      </c>
      <c r="DE795" t="s">
        <v>3</v>
      </c>
      <c r="DF795" t="s">
        <v>3</v>
      </c>
      <c r="DG795" t="s">
        <v>3</v>
      </c>
      <c r="DH795" t="s">
        <v>3</v>
      </c>
      <c r="DI795" t="s">
        <v>3</v>
      </c>
      <c r="DJ795" t="s">
        <v>3</v>
      </c>
      <c r="DK795" t="s">
        <v>3</v>
      </c>
      <c r="DL795" t="s">
        <v>3</v>
      </c>
      <c r="DM795" t="s">
        <v>3</v>
      </c>
      <c r="DN795">
        <v>0</v>
      </c>
      <c r="DO795">
        <v>0</v>
      </c>
      <c r="DP795">
        <v>1</v>
      </c>
      <c r="DQ795">
        <v>1</v>
      </c>
      <c r="DU795">
        <v>16987630</v>
      </c>
      <c r="DV795" t="s">
        <v>20</v>
      </c>
      <c r="DW795" t="s">
        <v>20</v>
      </c>
      <c r="DX795">
        <v>1</v>
      </c>
      <c r="DZ795" t="s">
        <v>3</v>
      </c>
      <c r="EA795" t="s">
        <v>3</v>
      </c>
      <c r="EB795" t="s">
        <v>3</v>
      </c>
      <c r="EC795" t="s">
        <v>3</v>
      </c>
      <c r="EE795">
        <v>1441815344</v>
      </c>
      <c r="EF795">
        <v>1</v>
      </c>
      <c r="EG795" t="s">
        <v>22</v>
      </c>
      <c r="EH795">
        <v>0</v>
      </c>
      <c r="EI795" t="s">
        <v>3</v>
      </c>
      <c r="EJ795">
        <v>4</v>
      </c>
      <c r="EK795">
        <v>0</v>
      </c>
      <c r="EL795" t="s">
        <v>23</v>
      </c>
      <c r="EM795" t="s">
        <v>24</v>
      </c>
      <c r="EO795" t="s">
        <v>3</v>
      </c>
      <c r="EQ795">
        <v>0</v>
      </c>
      <c r="ER795">
        <v>150.01</v>
      </c>
      <c r="ES795">
        <v>0.06</v>
      </c>
      <c r="ET795">
        <v>16.940000000000001</v>
      </c>
      <c r="EU795">
        <v>10.74</v>
      </c>
      <c r="EV795">
        <v>133.01</v>
      </c>
      <c r="EW795">
        <v>0.25</v>
      </c>
      <c r="EX795">
        <v>0</v>
      </c>
      <c r="EY795">
        <v>0</v>
      </c>
      <c r="FQ795">
        <v>0</v>
      </c>
      <c r="FR795">
        <f t="shared" si="753"/>
        <v>0</v>
      </c>
      <c r="FS795">
        <v>0</v>
      </c>
      <c r="FX795">
        <v>70</v>
      </c>
      <c r="FY795">
        <v>10</v>
      </c>
      <c r="GA795" t="s">
        <v>3</v>
      </c>
      <c r="GD795">
        <v>0</v>
      </c>
      <c r="GF795">
        <v>-1829737605</v>
      </c>
      <c r="GG795">
        <v>2</v>
      </c>
      <c r="GH795">
        <v>1</v>
      </c>
      <c r="GI795">
        <v>-2</v>
      </c>
      <c r="GJ795">
        <v>0</v>
      </c>
      <c r="GK795">
        <f>ROUND(R795*(R12)/100,2)</f>
        <v>23.2</v>
      </c>
      <c r="GL795">
        <f t="shared" si="754"/>
        <v>0</v>
      </c>
      <c r="GM795">
        <f t="shared" si="755"/>
        <v>536.03</v>
      </c>
      <c r="GN795">
        <f t="shared" si="756"/>
        <v>0</v>
      </c>
      <c r="GO795">
        <f t="shared" si="757"/>
        <v>0</v>
      </c>
      <c r="GP795">
        <f t="shared" si="758"/>
        <v>536.03</v>
      </c>
      <c r="GR795">
        <v>0</v>
      </c>
      <c r="GS795">
        <v>3</v>
      </c>
      <c r="GT795">
        <v>0</v>
      </c>
      <c r="GU795" t="s">
        <v>3</v>
      </c>
      <c r="GV795">
        <f t="shared" si="759"/>
        <v>0</v>
      </c>
      <c r="GW795">
        <v>1</v>
      </c>
      <c r="GX795">
        <f t="shared" si="760"/>
        <v>0</v>
      </c>
      <c r="HA795">
        <v>0</v>
      </c>
      <c r="HB795">
        <v>0</v>
      </c>
      <c r="HC795">
        <f t="shared" si="761"/>
        <v>0</v>
      </c>
      <c r="HE795" t="s">
        <v>3</v>
      </c>
      <c r="HF795" t="s">
        <v>3</v>
      </c>
      <c r="HM795" t="s">
        <v>3</v>
      </c>
      <c r="HN795" t="s">
        <v>3</v>
      </c>
      <c r="HO795" t="s">
        <v>3</v>
      </c>
      <c r="HP795" t="s">
        <v>3</v>
      </c>
      <c r="HQ795" t="s">
        <v>3</v>
      </c>
      <c r="IK795">
        <v>0</v>
      </c>
    </row>
    <row r="796" spans="1:245" x14ac:dyDescent="0.2">
      <c r="A796">
        <v>19</v>
      </c>
      <c r="B796">
        <v>1</v>
      </c>
      <c r="F796" t="s">
        <v>3</v>
      </c>
      <c r="G796" t="s">
        <v>680</v>
      </c>
      <c r="H796" t="s">
        <v>3</v>
      </c>
      <c r="AA796">
        <v>1</v>
      </c>
      <c r="IK796">
        <v>0</v>
      </c>
    </row>
    <row r="797" spans="1:245" x14ac:dyDescent="0.2">
      <c r="A797">
        <v>17</v>
      </c>
      <c r="B797">
        <v>1</v>
      </c>
      <c r="D797">
        <f>ROW(EtalonRes!A747)</f>
        <v>747</v>
      </c>
      <c r="E797" t="s">
        <v>681</v>
      </c>
      <c r="F797" t="s">
        <v>571</v>
      </c>
      <c r="G797" t="s">
        <v>682</v>
      </c>
      <c r="H797" t="s">
        <v>20</v>
      </c>
      <c r="I797">
        <v>1</v>
      </c>
      <c r="J797">
        <v>0</v>
      </c>
      <c r="K797">
        <v>1</v>
      </c>
      <c r="O797">
        <f t="shared" ref="O797:O810" si="764">ROUND(CP797,2)</f>
        <v>5634.49</v>
      </c>
      <c r="P797">
        <f t="shared" ref="P797:P810" si="765">ROUND(CQ797*I797,2)</f>
        <v>77.08</v>
      </c>
      <c r="Q797">
        <f t="shared" ref="Q797:Q810" si="766">ROUND(CR797*I797,2)</f>
        <v>0</v>
      </c>
      <c r="R797">
        <f t="shared" ref="R797:R810" si="767">ROUND(CS797*I797,2)</f>
        <v>0</v>
      </c>
      <c r="S797">
        <f t="shared" ref="S797:S810" si="768">ROUND(CT797*I797,2)</f>
        <v>5557.41</v>
      </c>
      <c r="T797">
        <f t="shared" ref="T797:T810" si="769">ROUND(CU797*I797,2)</f>
        <v>0</v>
      </c>
      <c r="U797">
        <f t="shared" ref="U797:U810" si="770">CV797*I797</f>
        <v>9</v>
      </c>
      <c r="V797">
        <f t="shared" ref="V797:V810" si="771">CW797*I797</f>
        <v>0</v>
      </c>
      <c r="W797">
        <f t="shared" ref="W797:W810" si="772">ROUND(CX797*I797,2)</f>
        <v>0</v>
      </c>
      <c r="X797">
        <f t="shared" ref="X797:X810" si="773">ROUND(CY797,2)</f>
        <v>3890.19</v>
      </c>
      <c r="Y797">
        <f t="shared" ref="Y797:Y810" si="774">ROUND(CZ797,2)</f>
        <v>555.74</v>
      </c>
      <c r="AA797">
        <v>1472506909</v>
      </c>
      <c r="AB797">
        <f t="shared" ref="AB797:AB810" si="775">ROUND((AC797+AD797+AF797),6)</f>
        <v>5634.49</v>
      </c>
      <c r="AC797">
        <f>ROUND((ES797),6)</f>
        <v>77.08</v>
      </c>
      <c r="AD797">
        <f>ROUND((((ET797)-(EU797))+AE797),6)</f>
        <v>0</v>
      </c>
      <c r="AE797">
        <f>ROUND((EU797),6)</f>
        <v>0</v>
      </c>
      <c r="AF797">
        <f>ROUND((EV797),6)</f>
        <v>5557.41</v>
      </c>
      <c r="AG797">
        <f t="shared" ref="AG797:AG810" si="776">ROUND((AP797),6)</f>
        <v>0</v>
      </c>
      <c r="AH797">
        <f>(EW797)</f>
        <v>9</v>
      </c>
      <c r="AI797">
        <f>(EX797)</f>
        <v>0</v>
      </c>
      <c r="AJ797">
        <f t="shared" ref="AJ797:AJ810" si="777">(AS797)</f>
        <v>0</v>
      </c>
      <c r="AK797">
        <v>5634.49</v>
      </c>
      <c r="AL797">
        <v>77.08</v>
      </c>
      <c r="AM797">
        <v>0</v>
      </c>
      <c r="AN797">
        <v>0</v>
      </c>
      <c r="AO797">
        <v>5557.41</v>
      </c>
      <c r="AP797">
        <v>0</v>
      </c>
      <c r="AQ797">
        <v>9</v>
      </c>
      <c r="AR797">
        <v>0</v>
      </c>
      <c r="AS797">
        <v>0</v>
      </c>
      <c r="AT797">
        <v>70</v>
      </c>
      <c r="AU797">
        <v>10</v>
      </c>
      <c r="AV797">
        <v>1</v>
      </c>
      <c r="AW797">
        <v>1</v>
      </c>
      <c r="AZ797">
        <v>1</v>
      </c>
      <c r="BA797">
        <v>1</v>
      </c>
      <c r="BB797">
        <v>1</v>
      </c>
      <c r="BC797">
        <v>1</v>
      </c>
      <c r="BD797" t="s">
        <v>3</v>
      </c>
      <c r="BE797" t="s">
        <v>3</v>
      </c>
      <c r="BF797" t="s">
        <v>3</v>
      </c>
      <c r="BG797" t="s">
        <v>3</v>
      </c>
      <c r="BH797">
        <v>0</v>
      </c>
      <c r="BI797">
        <v>4</v>
      </c>
      <c r="BJ797" t="s">
        <v>573</v>
      </c>
      <c r="BM797">
        <v>0</v>
      </c>
      <c r="BN797">
        <v>0</v>
      </c>
      <c r="BO797" t="s">
        <v>3</v>
      </c>
      <c r="BP797">
        <v>0</v>
      </c>
      <c r="BQ797">
        <v>1</v>
      </c>
      <c r="BR797">
        <v>0</v>
      </c>
      <c r="BS797">
        <v>1</v>
      </c>
      <c r="BT797">
        <v>1</v>
      </c>
      <c r="BU797">
        <v>1</v>
      </c>
      <c r="BV797">
        <v>1</v>
      </c>
      <c r="BW797">
        <v>1</v>
      </c>
      <c r="BX797">
        <v>1</v>
      </c>
      <c r="BY797" t="s">
        <v>3</v>
      </c>
      <c r="BZ797">
        <v>70</v>
      </c>
      <c r="CA797">
        <v>10</v>
      </c>
      <c r="CB797" t="s">
        <v>3</v>
      </c>
      <c r="CE797">
        <v>0</v>
      </c>
      <c r="CF797">
        <v>0</v>
      </c>
      <c r="CG797">
        <v>0</v>
      </c>
      <c r="CM797">
        <v>0</v>
      </c>
      <c r="CN797" t="s">
        <v>3</v>
      </c>
      <c r="CO797">
        <v>0</v>
      </c>
      <c r="CP797">
        <f t="shared" ref="CP797:CP810" si="778">(P797+Q797+S797)</f>
        <v>5634.49</v>
      </c>
      <c r="CQ797">
        <f t="shared" ref="CQ797:CQ810" si="779">(AC797*BC797*AW797)</f>
        <v>77.08</v>
      </c>
      <c r="CR797">
        <f>((((ET797)*BB797-(EU797)*BS797)+AE797*BS797)*AV797)</f>
        <v>0</v>
      </c>
      <c r="CS797">
        <f t="shared" ref="CS797:CS810" si="780">(AE797*BS797*AV797)</f>
        <v>0</v>
      </c>
      <c r="CT797">
        <f t="shared" ref="CT797:CT810" si="781">(AF797*BA797*AV797)</f>
        <v>5557.41</v>
      </c>
      <c r="CU797">
        <f t="shared" ref="CU797:CU810" si="782">AG797</f>
        <v>0</v>
      </c>
      <c r="CV797">
        <f t="shared" ref="CV797:CV810" si="783">(AH797*AV797)</f>
        <v>9</v>
      </c>
      <c r="CW797">
        <f t="shared" ref="CW797:CW810" si="784">AI797</f>
        <v>0</v>
      </c>
      <c r="CX797">
        <f t="shared" ref="CX797:CX810" si="785">AJ797</f>
        <v>0</v>
      </c>
      <c r="CY797">
        <f t="shared" ref="CY797:CY810" si="786">((S797*BZ797)/100)</f>
        <v>3890.1869999999999</v>
      </c>
      <c r="CZ797">
        <f t="shared" ref="CZ797:CZ810" si="787">((S797*CA797)/100)</f>
        <v>555.74099999999999</v>
      </c>
      <c r="DC797" t="s">
        <v>3</v>
      </c>
      <c r="DD797" t="s">
        <v>3</v>
      </c>
      <c r="DE797" t="s">
        <v>3</v>
      </c>
      <c r="DF797" t="s">
        <v>3</v>
      </c>
      <c r="DG797" t="s">
        <v>3</v>
      </c>
      <c r="DH797" t="s">
        <v>3</v>
      </c>
      <c r="DI797" t="s">
        <v>3</v>
      </c>
      <c r="DJ797" t="s">
        <v>3</v>
      </c>
      <c r="DK797" t="s">
        <v>3</v>
      </c>
      <c r="DL797" t="s">
        <v>3</v>
      </c>
      <c r="DM797" t="s">
        <v>3</v>
      </c>
      <c r="DN797">
        <v>0</v>
      </c>
      <c r="DO797">
        <v>0</v>
      </c>
      <c r="DP797">
        <v>1</v>
      </c>
      <c r="DQ797">
        <v>1</v>
      </c>
      <c r="DU797">
        <v>16987630</v>
      </c>
      <c r="DV797" t="s">
        <v>20</v>
      </c>
      <c r="DW797" t="s">
        <v>20</v>
      </c>
      <c r="DX797">
        <v>1</v>
      </c>
      <c r="DZ797" t="s">
        <v>3</v>
      </c>
      <c r="EA797" t="s">
        <v>3</v>
      </c>
      <c r="EB797" t="s">
        <v>3</v>
      </c>
      <c r="EC797" t="s">
        <v>3</v>
      </c>
      <c r="EE797">
        <v>1441815344</v>
      </c>
      <c r="EF797">
        <v>1</v>
      </c>
      <c r="EG797" t="s">
        <v>22</v>
      </c>
      <c r="EH797">
        <v>0</v>
      </c>
      <c r="EI797" t="s">
        <v>3</v>
      </c>
      <c r="EJ797">
        <v>4</v>
      </c>
      <c r="EK797">
        <v>0</v>
      </c>
      <c r="EL797" t="s">
        <v>23</v>
      </c>
      <c r="EM797" t="s">
        <v>24</v>
      </c>
      <c r="EO797" t="s">
        <v>3</v>
      </c>
      <c r="EQ797">
        <v>0</v>
      </c>
      <c r="ER797">
        <v>5634.49</v>
      </c>
      <c r="ES797">
        <v>77.08</v>
      </c>
      <c r="ET797">
        <v>0</v>
      </c>
      <c r="EU797">
        <v>0</v>
      </c>
      <c r="EV797">
        <v>5557.41</v>
      </c>
      <c r="EW797">
        <v>9</v>
      </c>
      <c r="EX797">
        <v>0</v>
      </c>
      <c r="EY797">
        <v>0</v>
      </c>
      <c r="FQ797">
        <v>0</v>
      </c>
      <c r="FR797">
        <f t="shared" ref="FR797:FR810" si="788">ROUND(IF(BI797=3,GM797,0),2)</f>
        <v>0</v>
      </c>
      <c r="FS797">
        <v>0</v>
      </c>
      <c r="FX797">
        <v>70</v>
      </c>
      <c r="FY797">
        <v>10</v>
      </c>
      <c r="GA797" t="s">
        <v>3</v>
      </c>
      <c r="GD797">
        <v>0</v>
      </c>
      <c r="GF797">
        <v>-157708303</v>
      </c>
      <c r="GG797">
        <v>2</v>
      </c>
      <c r="GH797">
        <v>1</v>
      </c>
      <c r="GI797">
        <v>-2</v>
      </c>
      <c r="GJ797">
        <v>0</v>
      </c>
      <c r="GK797">
        <f>ROUND(R797*(R12)/100,2)</f>
        <v>0</v>
      </c>
      <c r="GL797">
        <f t="shared" ref="GL797:GL810" si="789">ROUND(IF(AND(BH797=3,BI797=3,FS797&lt;&gt;0),P797,0),2)</f>
        <v>0</v>
      </c>
      <c r="GM797">
        <f t="shared" ref="GM797:GM810" si="790">ROUND(O797+X797+Y797+GK797,2)+GX797</f>
        <v>10080.42</v>
      </c>
      <c r="GN797">
        <f t="shared" ref="GN797:GN810" si="791">IF(OR(BI797=0,BI797=1),GM797-GX797,0)</f>
        <v>0</v>
      </c>
      <c r="GO797">
        <f t="shared" ref="GO797:GO810" si="792">IF(BI797=2,GM797-GX797,0)</f>
        <v>0</v>
      </c>
      <c r="GP797">
        <f t="shared" ref="GP797:GP810" si="793">IF(BI797=4,GM797-GX797,0)</f>
        <v>10080.42</v>
      </c>
      <c r="GR797">
        <v>0</v>
      </c>
      <c r="GS797">
        <v>3</v>
      </c>
      <c r="GT797">
        <v>0</v>
      </c>
      <c r="GU797" t="s">
        <v>3</v>
      </c>
      <c r="GV797">
        <f t="shared" ref="GV797:GV810" si="794">ROUND((GT797),6)</f>
        <v>0</v>
      </c>
      <c r="GW797">
        <v>1</v>
      </c>
      <c r="GX797">
        <f t="shared" ref="GX797:GX810" si="795">ROUND(HC797*I797,2)</f>
        <v>0</v>
      </c>
      <c r="HA797">
        <v>0</v>
      </c>
      <c r="HB797">
        <v>0</v>
      </c>
      <c r="HC797">
        <f t="shared" ref="HC797:HC810" si="796">GV797*GW797</f>
        <v>0</v>
      </c>
      <c r="HE797" t="s">
        <v>3</v>
      </c>
      <c r="HF797" t="s">
        <v>3</v>
      </c>
      <c r="HM797" t="s">
        <v>3</v>
      </c>
      <c r="HN797" t="s">
        <v>3</v>
      </c>
      <c r="HO797" t="s">
        <v>3</v>
      </c>
      <c r="HP797" t="s">
        <v>3</v>
      </c>
      <c r="HQ797" t="s">
        <v>3</v>
      </c>
      <c r="IK797">
        <v>0</v>
      </c>
    </row>
    <row r="798" spans="1:245" x14ac:dyDescent="0.2">
      <c r="A798">
        <v>17</v>
      </c>
      <c r="B798">
        <v>1</v>
      </c>
      <c r="D798">
        <f>ROW(EtalonRes!A750)</f>
        <v>750</v>
      </c>
      <c r="E798" t="s">
        <v>3</v>
      </c>
      <c r="F798" t="s">
        <v>574</v>
      </c>
      <c r="G798" t="s">
        <v>575</v>
      </c>
      <c r="H798" t="s">
        <v>20</v>
      </c>
      <c r="I798">
        <v>1</v>
      </c>
      <c r="J798">
        <v>0</v>
      </c>
      <c r="K798">
        <v>1</v>
      </c>
      <c r="O798">
        <f t="shared" si="764"/>
        <v>557.04</v>
      </c>
      <c r="P798">
        <f t="shared" si="765"/>
        <v>1.29</v>
      </c>
      <c r="Q798">
        <f t="shared" si="766"/>
        <v>0</v>
      </c>
      <c r="R798">
        <f t="shared" si="767"/>
        <v>0</v>
      </c>
      <c r="S798">
        <f t="shared" si="768"/>
        <v>555.75</v>
      </c>
      <c r="T798">
        <f t="shared" si="769"/>
        <v>0</v>
      </c>
      <c r="U798">
        <f t="shared" si="770"/>
        <v>0.89999999999999991</v>
      </c>
      <c r="V798">
        <f t="shared" si="771"/>
        <v>0</v>
      </c>
      <c r="W798">
        <f t="shared" si="772"/>
        <v>0</v>
      </c>
      <c r="X798">
        <f t="shared" si="773"/>
        <v>389.03</v>
      </c>
      <c r="Y798">
        <f t="shared" si="774"/>
        <v>55.58</v>
      </c>
      <c r="AA798">
        <v>-1</v>
      </c>
      <c r="AB798">
        <f t="shared" si="775"/>
        <v>557.04</v>
      </c>
      <c r="AC798">
        <f>ROUND(((ES798*3)),6)</f>
        <v>1.29</v>
      </c>
      <c r="AD798">
        <f>ROUND(((((ET798*3))-((EU798*3)))+AE798),6)</f>
        <v>0</v>
      </c>
      <c r="AE798">
        <f>ROUND(((EU798*3)),6)</f>
        <v>0</v>
      </c>
      <c r="AF798">
        <f>ROUND(((EV798*3)),6)</f>
        <v>555.75</v>
      </c>
      <c r="AG798">
        <f t="shared" si="776"/>
        <v>0</v>
      </c>
      <c r="AH798">
        <f>((EW798*3))</f>
        <v>0.89999999999999991</v>
      </c>
      <c r="AI798">
        <f>((EX798*3))</f>
        <v>0</v>
      </c>
      <c r="AJ798">
        <f t="shared" si="777"/>
        <v>0</v>
      </c>
      <c r="AK798">
        <v>185.68</v>
      </c>
      <c r="AL798">
        <v>0.43</v>
      </c>
      <c r="AM798">
        <v>0</v>
      </c>
      <c r="AN798">
        <v>0</v>
      </c>
      <c r="AO798">
        <v>185.25</v>
      </c>
      <c r="AP798">
        <v>0</v>
      </c>
      <c r="AQ798">
        <v>0.3</v>
      </c>
      <c r="AR798">
        <v>0</v>
      </c>
      <c r="AS798">
        <v>0</v>
      </c>
      <c r="AT798">
        <v>70</v>
      </c>
      <c r="AU798">
        <v>10</v>
      </c>
      <c r="AV798">
        <v>1</v>
      </c>
      <c r="AW798">
        <v>1</v>
      </c>
      <c r="AZ798">
        <v>1</v>
      </c>
      <c r="BA798">
        <v>1</v>
      </c>
      <c r="BB798">
        <v>1</v>
      </c>
      <c r="BC798">
        <v>1</v>
      </c>
      <c r="BD798" t="s">
        <v>3</v>
      </c>
      <c r="BE798" t="s">
        <v>3</v>
      </c>
      <c r="BF798" t="s">
        <v>3</v>
      </c>
      <c r="BG798" t="s">
        <v>3</v>
      </c>
      <c r="BH798">
        <v>0</v>
      </c>
      <c r="BI798">
        <v>4</v>
      </c>
      <c r="BJ798" t="s">
        <v>576</v>
      </c>
      <c r="BM798">
        <v>0</v>
      </c>
      <c r="BN798">
        <v>0</v>
      </c>
      <c r="BO798" t="s">
        <v>3</v>
      </c>
      <c r="BP798">
        <v>0</v>
      </c>
      <c r="BQ798">
        <v>1</v>
      </c>
      <c r="BR798">
        <v>0</v>
      </c>
      <c r="BS798">
        <v>1</v>
      </c>
      <c r="BT798">
        <v>1</v>
      </c>
      <c r="BU798">
        <v>1</v>
      </c>
      <c r="BV798">
        <v>1</v>
      </c>
      <c r="BW798">
        <v>1</v>
      </c>
      <c r="BX798">
        <v>1</v>
      </c>
      <c r="BY798" t="s">
        <v>3</v>
      </c>
      <c r="BZ798">
        <v>70</v>
      </c>
      <c r="CA798">
        <v>10</v>
      </c>
      <c r="CB798" t="s">
        <v>3</v>
      </c>
      <c r="CE798">
        <v>0</v>
      </c>
      <c r="CF798">
        <v>0</v>
      </c>
      <c r="CG798">
        <v>0</v>
      </c>
      <c r="CM798">
        <v>0</v>
      </c>
      <c r="CN798" t="s">
        <v>3</v>
      </c>
      <c r="CO798">
        <v>0</v>
      </c>
      <c r="CP798">
        <f t="shared" si="778"/>
        <v>557.04</v>
      </c>
      <c r="CQ798">
        <f t="shared" si="779"/>
        <v>1.29</v>
      </c>
      <c r="CR798">
        <f>(((((ET798*3))*BB798-((EU798*3))*BS798)+AE798*BS798)*AV798)</f>
        <v>0</v>
      </c>
      <c r="CS798">
        <f t="shared" si="780"/>
        <v>0</v>
      </c>
      <c r="CT798">
        <f t="shared" si="781"/>
        <v>555.75</v>
      </c>
      <c r="CU798">
        <f t="shared" si="782"/>
        <v>0</v>
      </c>
      <c r="CV798">
        <f t="shared" si="783"/>
        <v>0.89999999999999991</v>
      </c>
      <c r="CW798">
        <f t="shared" si="784"/>
        <v>0</v>
      </c>
      <c r="CX798">
        <f t="shared" si="785"/>
        <v>0</v>
      </c>
      <c r="CY798">
        <f t="shared" si="786"/>
        <v>389.02499999999998</v>
      </c>
      <c r="CZ798">
        <f t="shared" si="787"/>
        <v>55.575000000000003</v>
      </c>
      <c r="DC798" t="s">
        <v>3</v>
      </c>
      <c r="DD798" t="s">
        <v>577</v>
      </c>
      <c r="DE798" t="s">
        <v>577</v>
      </c>
      <c r="DF798" t="s">
        <v>577</v>
      </c>
      <c r="DG798" t="s">
        <v>577</v>
      </c>
      <c r="DH798" t="s">
        <v>3</v>
      </c>
      <c r="DI798" t="s">
        <v>577</v>
      </c>
      <c r="DJ798" t="s">
        <v>577</v>
      </c>
      <c r="DK798" t="s">
        <v>3</v>
      </c>
      <c r="DL798" t="s">
        <v>3</v>
      </c>
      <c r="DM798" t="s">
        <v>3</v>
      </c>
      <c r="DN798">
        <v>0</v>
      </c>
      <c r="DO798">
        <v>0</v>
      </c>
      <c r="DP798">
        <v>1</v>
      </c>
      <c r="DQ798">
        <v>1</v>
      </c>
      <c r="DU798">
        <v>16987630</v>
      </c>
      <c r="DV798" t="s">
        <v>20</v>
      </c>
      <c r="DW798" t="s">
        <v>20</v>
      </c>
      <c r="DX798">
        <v>1</v>
      </c>
      <c r="DZ798" t="s">
        <v>3</v>
      </c>
      <c r="EA798" t="s">
        <v>3</v>
      </c>
      <c r="EB798" t="s">
        <v>3</v>
      </c>
      <c r="EC798" t="s">
        <v>3</v>
      </c>
      <c r="EE798">
        <v>1441815344</v>
      </c>
      <c r="EF798">
        <v>1</v>
      </c>
      <c r="EG798" t="s">
        <v>22</v>
      </c>
      <c r="EH798">
        <v>0</v>
      </c>
      <c r="EI798" t="s">
        <v>3</v>
      </c>
      <c r="EJ798">
        <v>4</v>
      </c>
      <c r="EK798">
        <v>0</v>
      </c>
      <c r="EL798" t="s">
        <v>23</v>
      </c>
      <c r="EM798" t="s">
        <v>24</v>
      </c>
      <c r="EO798" t="s">
        <v>3</v>
      </c>
      <c r="EQ798">
        <v>1024</v>
      </c>
      <c r="ER798">
        <v>185.68</v>
      </c>
      <c r="ES798">
        <v>0.43</v>
      </c>
      <c r="ET798">
        <v>0</v>
      </c>
      <c r="EU798">
        <v>0</v>
      </c>
      <c r="EV798">
        <v>185.25</v>
      </c>
      <c r="EW798">
        <v>0.3</v>
      </c>
      <c r="EX798">
        <v>0</v>
      </c>
      <c r="EY798">
        <v>0</v>
      </c>
      <c r="FQ798">
        <v>0</v>
      </c>
      <c r="FR798">
        <f t="shared" si="788"/>
        <v>0</v>
      </c>
      <c r="FS798">
        <v>0</v>
      </c>
      <c r="FX798">
        <v>70</v>
      </c>
      <c r="FY798">
        <v>10</v>
      </c>
      <c r="GA798" t="s">
        <v>3</v>
      </c>
      <c r="GD798">
        <v>0</v>
      </c>
      <c r="GF798">
        <v>-886302342</v>
      </c>
      <c r="GG798">
        <v>2</v>
      </c>
      <c r="GH798">
        <v>1</v>
      </c>
      <c r="GI798">
        <v>-2</v>
      </c>
      <c r="GJ798">
        <v>0</v>
      </c>
      <c r="GK798">
        <f>ROUND(R798*(R12)/100,2)</f>
        <v>0</v>
      </c>
      <c r="GL798">
        <f t="shared" si="789"/>
        <v>0</v>
      </c>
      <c r="GM798">
        <f t="shared" si="790"/>
        <v>1001.65</v>
      </c>
      <c r="GN798">
        <f t="shared" si="791"/>
        <v>0</v>
      </c>
      <c r="GO798">
        <f t="shared" si="792"/>
        <v>0</v>
      </c>
      <c r="GP798">
        <f t="shared" si="793"/>
        <v>1001.65</v>
      </c>
      <c r="GR798">
        <v>0</v>
      </c>
      <c r="GS798">
        <v>3</v>
      </c>
      <c r="GT798">
        <v>0</v>
      </c>
      <c r="GU798" t="s">
        <v>3</v>
      </c>
      <c r="GV798">
        <f t="shared" si="794"/>
        <v>0</v>
      </c>
      <c r="GW798">
        <v>1</v>
      </c>
      <c r="GX798">
        <f t="shared" si="795"/>
        <v>0</v>
      </c>
      <c r="HA798">
        <v>0</v>
      </c>
      <c r="HB798">
        <v>0</v>
      </c>
      <c r="HC798">
        <f t="shared" si="796"/>
        <v>0</v>
      </c>
      <c r="HE798" t="s">
        <v>3</v>
      </c>
      <c r="HF798" t="s">
        <v>3</v>
      </c>
      <c r="HM798" t="s">
        <v>3</v>
      </c>
      <c r="HN798" t="s">
        <v>3</v>
      </c>
      <c r="HO798" t="s">
        <v>3</v>
      </c>
      <c r="HP798" t="s">
        <v>3</v>
      </c>
      <c r="HQ798" t="s">
        <v>3</v>
      </c>
      <c r="IK798">
        <v>0</v>
      </c>
    </row>
    <row r="799" spans="1:245" x14ac:dyDescent="0.2">
      <c r="A799">
        <v>17</v>
      </c>
      <c r="B799">
        <v>1</v>
      </c>
      <c r="D799">
        <f>ROW(EtalonRes!A753)</f>
        <v>753</v>
      </c>
      <c r="E799" t="s">
        <v>3</v>
      </c>
      <c r="F799" t="s">
        <v>578</v>
      </c>
      <c r="G799" t="s">
        <v>579</v>
      </c>
      <c r="H799" t="s">
        <v>20</v>
      </c>
      <c r="I799">
        <v>6</v>
      </c>
      <c r="J799">
        <v>0</v>
      </c>
      <c r="K799">
        <v>6</v>
      </c>
      <c r="O799">
        <f t="shared" si="764"/>
        <v>6951.18</v>
      </c>
      <c r="P799">
        <f t="shared" si="765"/>
        <v>10.68</v>
      </c>
      <c r="Q799">
        <f t="shared" si="766"/>
        <v>0</v>
      </c>
      <c r="R799">
        <f t="shared" si="767"/>
        <v>0</v>
      </c>
      <c r="S799">
        <f t="shared" si="768"/>
        <v>6940.5</v>
      </c>
      <c r="T799">
        <f t="shared" si="769"/>
        <v>0</v>
      </c>
      <c r="U799">
        <f t="shared" si="770"/>
        <v>9.7799999999999994</v>
      </c>
      <c r="V799">
        <f t="shared" si="771"/>
        <v>0</v>
      </c>
      <c r="W799">
        <f t="shared" si="772"/>
        <v>0</v>
      </c>
      <c r="X799">
        <f t="shared" si="773"/>
        <v>4858.3500000000004</v>
      </c>
      <c r="Y799">
        <f t="shared" si="774"/>
        <v>694.05</v>
      </c>
      <c r="AA799">
        <v>-1</v>
      </c>
      <c r="AB799">
        <f t="shared" si="775"/>
        <v>1158.53</v>
      </c>
      <c r="AC799">
        <f>ROUND((ES799),6)</f>
        <v>1.78</v>
      </c>
      <c r="AD799">
        <f>ROUND((((ET799)-(EU799))+AE799),6)</f>
        <v>0</v>
      </c>
      <c r="AE799">
        <f>ROUND((EU799),6)</f>
        <v>0</v>
      </c>
      <c r="AF799">
        <f>ROUND((EV799),6)</f>
        <v>1156.75</v>
      </c>
      <c r="AG799">
        <f t="shared" si="776"/>
        <v>0</v>
      </c>
      <c r="AH799">
        <f>(EW799)</f>
        <v>1.63</v>
      </c>
      <c r="AI799">
        <f>(EX799)</f>
        <v>0</v>
      </c>
      <c r="AJ799">
        <f t="shared" si="777"/>
        <v>0</v>
      </c>
      <c r="AK799">
        <v>1158.53</v>
      </c>
      <c r="AL799">
        <v>1.78</v>
      </c>
      <c r="AM799">
        <v>0</v>
      </c>
      <c r="AN799">
        <v>0</v>
      </c>
      <c r="AO799">
        <v>1156.75</v>
      </c>
      <c r="AP799">
        <v>0</v>
      </c>
      <c r="AQ799">
        <v>1.63</v>
      </c>
      <c r="AR799">
        <v>0</v>
      </c>
      <c r="AS799">
        <v>0</v>
      </c>
      <c r="AT799">
        <v>70</v>
      </c>
      <c r="AU799">
        <v>10</v>
      </c>
      <c r="AV799">
        <v>1</v>
      </c>
      <c r="AW799">
        <v>1</v>
      </c>
      <c r="AZ799">
        <v>1</v>
      </c>
      <c r="BA799">
        <v>1</v>
      </c>
      <c r="BB799">
        <v>1</v>
      </c>
      <c r="BC799">
        <v>1</v>
      </c>
      <c r="BD799" t="s">
        <v>3</v>
      </c>
      <c r="BE799" t="s">
        <v>3</v>
      </c>
      <c r="BF799" t="s">
        <v>3</v>
      </c>
      <c r="BG799" t="s">
        <v>3</v>
      </c>
      <c r="BH799">
        <v>0</v>
      </c>
      <c r="BI799">
        <v>4</v>
      </c>
      <c r="BJ799" t="s">
        <v>580</v>
      </c>
      <c r="BM799">
        <v>0</v>
      </c>
      <c r="BN799">
        <v>0</v>
      </c>
      <c r="BO799" t="s">
        <v>3</v>
      </c>
      <c r="BP799">
        <v>0</v>
      </c>
      <c r="BQ799">
        <v>1</v>
      </c>
      <c r="BR799">
        <v>0</v>
      </c>
      <c r="BS799">
        <v>1</v>
      </c>
      <c r="BT799">
        <v>1</v>
      </c>
      <c r="BU799">
        <v>1</v>
      </c>
      <c r="BV799">
        <v>1</v>
      </c>
      <c r="BW799">
        <v>1</v>
      </c>
      <c r="BX799">
        <v>1</v>
      </c>
      <c r="BY799" t="s">
        <v>3</v>
      </c>
      <c r="BZ799">
        <v>70</v>
      </c>
      <c r="CA799">
        <v>10</v>
      </c>
      <c r="CB799" t="s">
        <v>3</v>
      </c>
      <c r="CE799">
        <v>0</v>
      </c>
      <c r="CF799">
        <v>0</v>
      </c>
      <c r="CG799">
        <v>0</v>
      </c>
      <c r="CM799">
        <v>0</v>
      </c>
      <c r="CN799" t="s">
        <v>3</v>
      </c>
      <c r="CO799">
        <v>0</v>
      </c>
      <c r="CP799">
        <f t="shared" si="778"/>
        <v>6951.18</v>
      </c>
      <c r="CQ799">
        <f t="shared" si="779"/>
        <v>1.78</v>
      </c>
      <c r="CR799">
        <f>((((ET799)*BB799-(EU799)*BS799)+AE799*BS799)*AV799)</f>
        <v>0</v>
      </c>
      <c r="CS799">
        <f t="shared" si="780"/>
        <v>0</v>
      </c>
      <c r="CT799">
        <f t="shared" si="781"/>
        <v>1156.75</v>
      </c>
      <c r="CU799">
        <f t="shared" si="782"/>
        <v>0</v>
      </c>
      <c r="CV799">
        <f t="shared" si="783"/>
        <v>1.63</v>
      </c>
      <c r="CW799">
        <f t="shared" si="784"/>
        <v>0</v>
      </c>
      <c r="CX799">
        <f t="shared" si="785"/>
        <v>0</v>
      </c>
      <c r="CY799">
        <f t="shared" si="786"/>
        <v>4858.3500000000004</v>
      </c>
      <c r="CZ799">
        <f t="shared" si="787"/>
        <v>694.05</v>
      </c>
      <c r="DC799" t="s">
        <v>3</v>
      </c>
      <c r="DD799" t="s">
        <v>3</v>
      </c>
      <c r="DE799" t="s">
        <v>3</v>
      </c>
      <c r="DF799" t="s">
        <v>3</v>
      </c>
      <c r="DG799" t="s">
        <v>3</v>
      </c>
      <c r="DH799" t="s">
        <v>3</v>
      </c>
      <c r="DI799" t="s">
        <v>3</v>
      </c>
      <c r="DJ799" t="s">
        <v>3</v>
      </c>
      <c r="DK799" t="s">
        <v>3</v>
      </c>
      <c r="DL799" t="s">
        <v>3</v>
      </c>
      <c r="DM799" t="s">
        <v>3</v>
      </c>
      <c r="DN799">
        <v>0</v>
      </c>
      <c r="DO799">
        <v>0</v>
      </c>
      <c r="DP799">
        <v>1</v>
      </c>
      <c r="DQ799">
        <v>1</v>
      </c>
      <c r="DU799">
        <v>16987630</v>
      </c>
      <c r="DV799" t="s">
        <v>20</v>
      </c>
      <c r="DW799" t="s">
        <v>20</v>
      </c>
      <c r="DX799">
        <v>1</v>
      </c>
      <c r="DZ799" t="s">
        <v>3</v>
      </c>
      <c r="EA799" t="s">
        <v>3</v>
      </c>
      <c r="EB799" t="s">
        <v>3</v>
      </c>
      <c r="EC799" t="s">
        <v>3</v>
      </c>
      <c r="EE799">
        <v>1441815344</v>
      </c>
      <c r="EF799">
        <v>1</v>
      </c>
      <c r="EG799" t="s">
        <v>22</v>
      </c>
      <c r="EH799">
        <v>0</v>
      </c>
      <c r="EI799" t="s">
        <v>3</v>
      </c>
      <c r="EJ799">
        <v>4</v>
      </c>
      <c r="EK799">
        <v>0</v>
      </c>
      <c r="EL799" t="s">
        <v>23</v>
      </c>
      <c r="EM799" t="s">
        <v>24</v>
      </c>
      <c r="EO799" t="s">
        <v>3</v>
      </c>
      <c r="EQ799">
        <v>1311744</v>
      </c>
      <c r="ER799">
        <v>1158.53</v>
      </c>
      <c r="ES799">
        <v>1.78</v>
      </c>
      <c r="ET799">
        <v>0</v>
      </c>
      <c r="EU799">
        <v>0</v>
      </c>
      <c r="EV799">
        <v>1156.75</v>
      </c>
      <c r="EW799">
        <v>1.63</v>
      </c>
      <c r="EX799">
        <v>0</v>
      </c>
      <c r="EY799">
        <v>0</v>
      </c>
      <c r="FQ799">
        <v>0</v>
      </c>
      <c r="FR799">
        <f t="shared" si="788"/>
        <v>0</v>
      </c>
      <c r="FS799">
        <v>0</v>
      </c>
      <c r="FX799">
        <v>70</v>
      </c>
      <c r="FY799">
        <v>10</v>
      </c>
      <c r="GA799" t="s">
        <v>3</v>
      </c>
      <c r="GD799">
        <v>0</v>
      </c>
      <c r="GF799">
        <v>1177730177</v>
      </c>
      <c r="GG799">
        <v>2</v>
      </c>
      <c r="GH799">
        <v>1</v>
      </c>
      <c r="GI799">
        <v>-2</v>
      </c>
      <c r="GJ799">
        <v>0</v>
      </c>
      <c r="GK799">
        <f>ROUND(R799*(R12)/100,2)</f>
        <v>0</v>
      </c>
      <c r="GL799">
        <f t="shared" si="789"/>
        <v>0</v>
      </c>
      <c r="GM799">
        <f t="shared" si="790"/>
        <v>12503.58</v>
      </c>
      <c r="GN799">
        <f t="shared" si="791"/>
        <v>0</v>
      </c>
      <c r="GO799">
        <f t="shared" si="792"/>
        <v>0</v>
      </c>
      <c r="GP799">
        <f t="shared" si="793"/>
        <v>12503.58</v>
      </c>
      <c r="GR799">
        <v>0</v>
      </c>
      <c r="GS799">
        <v>3</v>
      </c>
      <c r="GT799">
        <v>0</v>
      </c>
      <c r="GU799" t="s">
        <v>3</v>
      </c>
      <c r="GV799">
        <f t="shared" si="794"/>
        <v>0</v>
      </c>
      <c r="GW799">
        <v>1</v>
      </c>
      <c r="GX799">
        <f t="shared" si="795"/>
        <v>0</v>
      </c>
      <c r="HA799">
        <v>0</v>
      </c>
      <c r="HB799">
        <v>0</v>
      </c>
      <c r="HC799">
        <f t="shared" si="796"/>
        <v>0</v>
      </c>
      <c r="HE799" t="s">
        <v>3</v>
      </c>
      <c r="HF799" t="s">
        <v>3</v>
      </c>
      <c r="HM799" t="s">
        <v>3</v>
      </c>
      <c r="HN799" t="s">
        <v>3</v>
      </c>
      <c r="HO799" t="s">
        <v>3</v>
      </c>
      <c r="HP799" t="s">
        <v>3</v>
      </c>
      <c r="HQ799" t="s">
        <v>3</v>
      </c>
      <c r="IK799">
        <v>0</v>
      </c>
    </row>
    <row r="800" spans="1:245" x14ac:dyDescent="0.2">
      <c r="A800">
        <v>17</v>
      </c>
      <c r="B800">
        <v>1</v>
      </c>
      <c r="D800">
        <f>ROW(EtalonRes!A757)</f>
        <v>757</v>
      </c>
      <c r="E800" t="s">
        <v>3</v>
      </c>
      <c r="F800" t="s">
        <v>581</v>
      </c>
      <c r="G800" t="s">
        <v>683</v>
      </c>
      <c r="H800" t="s">
        <v>20</v>
      </c>
      <c r="I800">
        <v>6</v>
      </c>
      <c r="J800">
        <v>0</v>
      </c>
      <c r="K800">
        <v>6</v>
      </c>
      <c r="O800">
        <f t="shared" si="764"/>
        <v>3206.88</v>
      </c>
      <c r="P800">
        <f t="shared" si="765"/>
        <v>21.6</v>
      </c>
      <c r="Q800">
        <f t="shared" si="766"/>
        <v>0</v>
      </c>
      <c r="R800">
        <f t="shared" si="767"/>
        <v>0</v>
      </c>
      <c r="S800">
        <f t="shared" si="768"/>
        <v>3185.28</v>
      </c>
      <c r="T800">
        <f t="shared" si="769"/>
        <v>0</v>
      </c>
      <c r="U800">
        <f t="shared" si="770"/>
        <v>4.8000000000000007</v>
      </c>
      <c r="V800">
        <f t="shared" si="771"/>
        <v>0</v>
      </c>
      <c r="W800">
        <f t="shared" si="772"/>
        <v>0</v>
      </c>
      <c r="X800">
        <f t="shared" si="773"/>
        <v>2229.6999999999998</v>
      </c>
      <c r="Y800">
        <f t="shared" si="774"/>
        <v>318.52999999999997</v>
      </c>
      <c r="AA800">
        <v>-1</v>
      </c>
      <c r="AB800">
        <f t="shared" si="775"/>
        <v>534.48</v>
      </c>
      <c r="AC800">
        <f>ROUND(((ES800*4)),6)</f>
        <v>3.6</v>
      </c>
      <c r="AD800">
        <f>ROUND(((((ET800*4))-((EU800*4)))+AE800),6)</f>
        <v>0</v>
      </c>
      <c r="AE800">
        <f>ROUND(((EU800*4)),6)</f>
        <v>0</v>
      </c>
      <c r="AF800">
        <f>ROUND(((EV800*4)),6)</f>
        <v>530.88</v>
      </c>
      <c r="AG800">
        <f t="shared" si="776"/>
        <v>0</v>
      </c>
      <c r="AH800">
        <f>((EW800*4))</f>
        <v>0.8</v>
      </c>
      <c r="AI800">
        <f>((EX800*4))</f>
        <v>0</v>
      </c>
      <c r="AJ800">
        <f t="shared" si="777"/>
        <v>0</v>
      </c>
      <c r="AK800">
        <v>133.62</v>
      </c>
      <c r="AL800">
        <v>0.9</v>
      </c>
      <c r="AM800">
        <v>0</v>
      </c>
      <c r="AN800">
        <v>0</v>
      </c>
      <c r="AO800">
        <v>132.72</v>
      </c>
      <c r="AP800">
        <v>0</v>
      </c>
      <c r="AQ800">
        <v>0.2</v>
      </c>
      <c r="AR800">
        <v>0</v>
      </c>
      <c r="AS800">
        <v>0</v>
      </c>
      <c r="AT800">
        <v>70</v>
      </c>
      <c r="AU800">
        <v>10</v>
      </c>
      <c r="AV800">
        <v>1</v>
      </c>
      <c r="AW800">
        <v>1</v>
      </c>
      <c r="AZ800">
        <v>1</v>
      </c>
      <c r="BA800">
        <v>1</v>
      </c>
      <c r="BB800">
        <v>1</v>
      </c>
      <c r="BC800">
        <v>1</v>
      </c>
      <c r="BD800" t="s">
        <v>3</v>
      </c>
      <c r="BE800" t="s">
        <v>3</v>
      </c>
      <c r="BF800" t="s">
        <v>3</v>
      </c>
      <c r="BG800" t="s">
        <v>3</v>
      </c>
      <c r="BH800">
        <v>0</v>
      </c>
      <c r="BI800">
        <v>4</v>
      </c>
      <c r="BJ800" t="s">
        <v>583</v>
      </c>
      <c r="BM800">
        <v>0</v>
      </c>
      <c r="BN800">
        <v>0</v>
      </c>
      <c r="BO800" t="s">
        <v>3</v>
      </c>
      <c r="BP800">
        <v>0</v>
      </c>
      <c r="BQ800">
        <v>1</v>
      </c>
      <c r="BR800">
        <v>0</v>
      </c>
      <c r="BS800">
        <v>1</v>
      </c>
      <c r="BT800">
        <v>1</v>
      </c>
      <c r="BU800">
        <v>1</v>
      </c>
      <c r="BV800">
        <v>1</v>
      </c>
      <c r="BW800">
        <v>1</v>
      </c>
      <c r="BX800">
        <v>1</v>
      </c>
      <c r="BY800" t="s">
        <v>3</v>
      </c>
      <c r="BZ800">
        <v>70</v>
      </c>
      <c r="CA800">
        <v>10</v>
      </c>
      <c r="CB800" t="s">
        <v>3</v>
      </c>
      <c r="CE800">
        <v>0</v>
      </c>
      <c r="CF800">
        <v>0</v>
      </c>
      <c r="CG800">
        <v>0</v>
      </c>
      <c r="CM800">
        <v>0</v>
      </c>
      <c r="CN800" t="s">
        <v>3</v>
      </c>
      <c r="CO800">
        <v>0</v>
      </c>
      <c r="CP800">
        <f t="shared" si="778"/>
        <v>3206.88</v>
      </c>
      <c r="CQ800">
        <f t="shared" si="779"/>
        <v>3.6</v>
      </c>
      <c r="CR800">
        <f>(((((ET800*4))*BB800-((EU800*4))*BS800)+AE800*BS800)*AV800)</f>
        <v>0</v>
      </c>
      <c r="CS800">
        <f t="shared" si="780"/>
        <v>0</v>
      </c>
      <c r="CT800">
        <f t="shared" si="781"/>
        <v>530.88</v>
      </c>
      <c r="CU800">
        <f t="shared" si="782"/>
        <v>0</v>
      </c>
      <c r="CV800">
        <f t="shared" si="783"/>
        <v>0.8</v>
      </c>
      <c r="CW800">
        <f t="shared" si="784"/>
        <v>0</v>
      </c>
      <c r="CX800">
        <f t="shared" si="785"/>
        <v>0</v>
      </c>
      <c r="CY800">
        <f t="shared" si="786"/>
        <v>2229.6959999999999</v>
      </c>
      <c r="CZ800">
        <f t="shared" si="787"/>
        <v>318.52800000000002</v>
      </c>
      <c r="DC800" t="s">
        <v>3</v>
      </c>
      <c r="DD800" t="s">
        <v>584</v>
      </c>
      <c r="DE800" t="s">
        <v>584</v>
      </c>
      <c r="DF800" t="s">
        <v>584</v>
      </c>
      <c r="DG800" t="s">
        <v>584</v>
      </c>
      <c r="DH800" t="s">
        <v>3</v>
      </c>
      <c r="DI800" t="s">
        <v>584</v>
      </c>
      <c r="DJ800" t="s">
        <v>584</v>
      </c>
      <c r="DK800" t="s">
        <v>3</v>
      </c>
      <c r="DL800" t="s">
        <v>3</v>
      </c>
      <c r="DM800" t="s">
        <v>3</v>
      </c>
      <c r="DN800">
        <v>0</v>
      </c>
      <c r="DO800">
        <v>0</v>
      </c>
      <c r="DP800">
        <v>1</v>
      </c>
      <c r="DQ800">
        <v>1</v>
      </c>
      <c r="DU800">
        <v>16987630</v>
      </c>
      <c r="DV800" t="s">
        <v>20</v>
      </c>
      <c r="DW800" t="s">
        <v>20</v>
      </c>
      <c r="DX800">
        <v>1</v>
      </c>
      <c r="DZ800" t="s">
        <v>3</v>
      </c>
      <c r="EA800" t="s">
        <v>3</v>
      </c>
      <c r="EB800" t="s">
        <v>3</v>
      </c>
      <c r="EC800" t="s">
        <v>3</v>
      </c>
      <c r="EE800">
        <v>1441815344</v>
      </c>
      <c r="EF800">
        <v>1</v>
      </c>
      <c r="EG800" t="s">
        <v>22</v>
      </c>
      <c r="EH800">
        <v>0</v>
      </c>
      <c r="EI800" t="s">
        <v>3</v>
      </c>
      <c r="EJ800">
        <v>4</v>
      </c>
      <c r="EK800">
        <v>0</v>
      </c>
      <c r="EL800" t="s">
        <v>23</v>
      </c>
      <c r="EM800" t="s">
        <v>24</v>
      </c>
      <c r="EO800" t="s">
        <v>3</v>
      </c>
      <c r="EQ800">
        <v>1024</v>
      </c>
      <c r="ER800">
        <v>133.62</v>
      </c>
      <c r="ES800">
        <v>0.9</v>
      </c>
      <c r="ET800">
        <v>0</v>
      </c>
      <c r="EU800">
        <v>0</v>
      </c>
      <c r="EV800">
        <v>132.72</v>
      </c>
      <c r="EW800">
        <v>0.2</v>
      </c>
      <c r="EX800">
        <v>0</v>
      </c>
      <c r="EY800">
        <v>0</v>
      </c>
      <c r="FQ800">
        <v>0</v>
      </c>
      <c r="FR800">
        <f t="shared" si="788"/>
        <v>0</v>
      </c>
      <c r="FS800">
        <v>0</v>
      </c>
      <c r="FX800">
        <v>70</v>
      </c>
      <c r="FY800">
        <v>10</v>
      </c>
      <c r="GA800" t="s">
        <v>3</v>
      </c>
      <c r="GD800">
        <v>0</v>
      </c>
      <c r="GF800">
        <v>2068528388</v>
      </c>
      <c r="GG800">
        <v>2</v>
      </c>
      <c r="GH800">
        <v>1</v>
      </c>
      <c r="GI800">
        <v>-2</v>
      </c>
      <c r="GJ800">
        <v>0</v>
      </c>
      <c r="GK800">
        <f>ROUND(R800*(R12)/100,2)</f>
        <v>0</v>
      </c>
      <c r="GL800">
        <f t="shared" si="789"/>
        <v>0</v>
      </c>
      <c r="GM800">
        <f t="shared" si="790"/>
        <v>5755.11</v>
      </c>
      <c r="GN800">
        <f t="shared" si="791"/>
        <v>0</v>
      </c>
      <c r="GO800">
        <f t="shared" si="792"/>
        <v>0</v>
      </c>
      <c r="GP800">
        <f t="shared" si="793"/>
        <v>5755.11</v>
      </c>
      <c r="GR800">
        <v>0</v>
      </c>
      <c r="GS800">
        <v>3</v>
      </c>
      <c r="GT800">
        <v>0</v>
      </c>
      <c r="GU800" t="s">
        <v>3</v>
      </c>
      <c r="GV800">
        <f t="shared" si="794"/>
        <v>0</v>
      </c>
      <c r="GW800">
        <v>1</v>
      </c>
      <c r="GX800">
        <f t="shared" si="795"/>
        <v>0</v>
      </c>
      <c r="HA800">
        <v>0</v>
      </c>
      <c r="HB800">
        <v>0</v>
      </c>
      <c r="HC800">
        <f t="shared" si="796"/>
        <v>0</v>
      </c>
      <c r="HE800" t="s">
        <v>3</v>
      </c>
      <c r="HF800" t="s">
        <v>3</v>
      </c>
      <c r="HM800" t="s">
        <v>3</v>
      </c>
      <c r="HN800" t="s">
        <v>3</v>
      </c>
      <c r="HO800" t="s">
        <v>3</v>
      </c>
      <c r="HP800" t="s">
        <v>3</v>
      </c>
      <c r="HQ800" t="s">
        <v>3</v>
      </c>
      <c r="IK800">
        <v>0</v>
      </c>
    </row>
    <row r="801" spans="1:245" x14ac:dyDescent="0.2">
      <c r="A801">
        <v>17</v>
      </c>
      <c r="B801">
        <v>1</v>
      </c>
      <c r="D801">
        <f>ROW(EtalonRes!A760)</f>
        <v>760</v>
      </c>
      <c r="E801" t="s">
        <v>684</v>
      </c>
      <c r="F801" t="s">
        <v>586</v>
      </c>
      <c r="G801" t="s">
        <v>587</v>
      </c>
      <c r="H801" t="s">
        <v>20</v>
      </c>
      <c r="I801">
        <v>1</v>
      </c>
      <c r="J801">
        <v>0</v>
      </c>
      <c r="K801">
        <v>1</v>
      </c>
      <c r="O801">
        <f t="shared" si="764"/>
        <v>118.74</v>
      </c>
      <c r="P801">
        <f t="shared" si="765"/>
        <v>6.3</v>
      </c>
      <c r="Q801">
        <f t="shared" si="766"/>
        <v>0</v>
      </c>
      <c r="R801">
        <f t="shared" si="767"/>
        <v>0</v>
      </c>
      <c r="S801">
        <f t="shared" si="768"/>
        <v>112.44</v>
      </c>
      <c r="T801">
        <f t="shared" si="769"/>
        <v>0</v>
      </c>
      <c r="U801">
        <f t="shared" si="770"/>
        <v>0.2</v>
      </c>
      <c r="V801">
        <f t="shared" si="771"/>
        <v>0</v>
      </c>
      <c r="W801">
        <f t="shared" si="772"/>
        <v>0</v>
      </c>
      <c r="X801">
        <f t="shared" si="773"/>
        <v>78.709999999999994</v>
      </c>
      <c r="Y801">
        <f t="shared" si="774"/>
        <v>11.24</v>
      </c>
      <c r="AA801">
        <v>1472506909</v>
      </c>
      <c r="AB801">
        <f t="shared" si="775"/>
        <v>118.74</v>
      </c>
      <c r="AC801">
        <f>ROUND((ES801),6)</f>
        <v>6.3</v>
      </c>
      <c r="AD801">
        <f>ROUND((((ET801)-(EU801))+AE801),6)</f>
        <v>0</v>
      </c>
      <c r="AE801">
        <f>ROUND((EU801),6)</f>
        <v>0</v>
      </c>
      <c r="AF801">
        <f>ROUND((EV801),6)</f>
        <v>112.44</v>
      </c>
      <c r="AG801">
        <f t="shared" si="776"/>
        <v>0</v>
      </c>
      <c r="AH801">
        <f>(EW801)</f>
        <v>0.2</v>
      </c>
      <c r="AI801">
        <f>(EX801)</f>
        <v>0</v>
      </c>
      <c r="AJ801">
        <f t="shared" si="777"/>
        <v>0</v>
      </c>
      <c r="AK801">
        <v>118.74</v>
      </c>
      <c r="AL801">
        <v>6.3</v>
      </c>
      <c r="AM801">
        <v>0</v>
      </c>
      <c r="AN801">
        <v>0</v>
      </c>
      <c r="AO801">
        <v>112.44</v>
      </c>
      <c r="AP801">
        <v>0</v>
      </c>
      <c r="AQ801">
        <v>0.2</v>
      </c>
      <c r="AR801">
        <v>0</v>
      </c>
      <c r="AS801">
        <v>0</v>
      </c>
      <c r="AT801">
        <v>70</v>
      </c>
      <c r="AU801">
        <v>10</v>
      </c>
      <c r="AV801">
        <v>1</v>
      </c>
      <c r="AW801">
        <v>1</v>
      </c>
      <c r="AZ801">
        <v>1</v>
      </c>
      <c r="BA801">
        <v>1</v>
      </c>
      <c r="BB801">
        <v>1</v>
      </c>
      <c r="BC801">
        <v>1</v>
      </c>
      <c r="BD801" t="s">
        <v>3</v>
      </c>
      <c r="BE801" t="s">
        <v>3</v>
      </c>
      <c r="BF801" t="s">
        <v>3</v>
      </c>
      <c r="BG801" t="s">
        <v>3</v>
      </c>
      <c r="BH801">
        <v>0</v>
      </c>
      <c r="BI801">
        <v>4</v>
      </c>
      <c r="BJ801" t="s">
        <v>588</v>
      </c>
      <c r="BM801">
        <v>0</v>
      </c>
      <c r="BN801">
        <v>0</v>
      </c>
      <c r="BO801" t="s">
        <v>3</v>
      </c>
      <c r="BP801">
        <v>0</v>
      </c>
      <c r="BQ801">
        <v>1</v>
      </c>
      <c r="BR801">
        <v>0</v>
      </c>
      <c r="BS801">
        <v>1</v>
      </c>
      <c r="BT801">
        <v>1</v>
      </c>
      <c r="BU801">
        <v>1</v>
      </c>
      <c r="BV801">
        <v>1</v>
      </c>
      <c r="BW801">
        <v>1</v>
      </c>
      <c r="BX801">
        <v>1</v>
      </c>
      <c r="BY801" t="s">
        <v>3</v>
      </c>
      <c r="BZ801">
        <v>70</v>
      </c>
      <c r="CA801">
        <v>10</v>
      </c>
      <c r="CB801" t="s">
        <v>3</v>
      </c>
      <c r="CE801">
        <v>0</v>
      </c>
      <c r="CF801">
        <v>0</v>
      </c>
      <c r="CG801">
        <v>0</v>
      </c>
      <c r="CM801">
        <v>0</v>
      </c>
      <c r="CN801" t="s">
        <v>3</v>
      </c>
      <c r="CO801">
        <v>0</v>
      </c>
      <c r="CP801">
        <f t="shared" si="778"/>
        <v>118.74</v>
      </c>
      <c r="CQ801">
        <f t="shared" si="779"/>
        <v>6.3</v>
      </c>
      <c r="CR801">
        <f>((((ET801)*BB801-(EU801)*BS801)+AE801*BS801)*AV801)</f>
        <v>0</v>
      </c>
      <c r="CS801">
        <f t="shared" si="780"/>
        <v>0</v>
      </c>
      <c r="CT801">
        <f t="shared" si="781"/>
        <v>112.44</v>
      </c>
      <c r="CU801">
        <f t="shared" si="782"/>
        <v>0</v>
      </c>
      <c r="CV801">
        <f t="shared" si="783"/>
        <v>0.2</v>
      </c>
      <c r="CW801">
        <f t="shared" si="784"/>
        <v>0</v>
      </c>
      <c r="CX801">
        <f t="shared" si="785"/>
        <v>0</v>
      </c>
      <c r="CY801">
        <f t="shared" si="786"/>
        <v>78.707999999999998</v>
      </c>
      <c r="CZ801">
        <f t="shared" si="787"/>
        <v>11.244000000000002</v>
      </c>
      <c r="DC801" t="s">
        <v>3</v>
      </c>
      <c r="DD801" t="s">
        <v>3</v>
      </c>
      <c r="DE801" t="s">
        <v>3</v>
      </c>
      <c r="DF801" t="s">
        <v>3</v>
      </c>
      <c r="DG801" t="s">
        <v>3</v>
      </c>
      <c r="DH801" t="s">
        <v>3</v>
      </c>
      <c r="DI801" t="s">
        <v>3</v>
      </c>
      <c r="DJ801" t="s">
        <v>3</v>
      </c>
      <c r="DK801" t="s">
        <v>3</v>
      </c>
      <c r="DL801" t="s">
        <v>3</v>
      </c>
      <c r="DM801" t="s">
        <v>3</v>
      </c>
      <c r="DN801">
        <v>0</v>
      </c>
      <c r="DO801">
        <v>0</v>
      </c>
      <c r="DP801">
        <v>1</v>
      </c>
      <c r="DQ801">
        <v>1</v>
      </c>
      <c r="DU801">
        <v>16987630</v>
      </c>
      <c r="DV801" t="s">
        <v>20</v>
      </c>
      <c r="DW801" t="s">
        <v>20</v>
      </c>
      <c r="DX801">
        <v>1</v>
      </c>
      <c r="DZ801" t="s">
        <v>3</v>
      </c>
      <c r="EA801" t="s">
        <v>3</v>
      </c>
      <c r="EB801" t="s">
        <v>3</v>
      </c>
      <c r="EC801" t="s">
        <v>3</v>
      </c>
      <c r="EE801">
        <v>1441815344</v>
      </c>
      <c r="EF801">
        <v>1</v>
      </c>
      <c r="EG801" t="s">
        <v>22</v>
      </c>
      <c r="EH801">
        <v>0</v>
      </c>
      <c r="EI801" t="s">
        <v>3</v>
      </c>
      <c r="EJ801">
        <v>4</v>
      </c>
      <c r="EK801">
        <v>0</v>
      </c>
      <c r="EL801" t="s">
        <v>23</v>
      </c>
      <c r="EM801" t="s">
        <v>24</v>
      </c>
      <c r="EO801" t="s">
        <v>3</v>
      </c>
      <c r="EQ801">
        <v>0</v>
      </c>
      <c r="ER801">
        <v>118.74</v>
      </c>
      <c r="ES801">
        <v>6.3</v>
      </c>
      <c r="ET801">
        <v>0</v>
      </c>
      <c r="EU801">
        <v>0</v>
      </c>
      <c r="EV801">
        <v>112.44</v>
      </c>
      <c r="EW801">
        <v>0.2</v>
      </c>
      <c r="EX801">
        <v>0</v>
      </c>
      <c r="EY801">
        <v>0</v>
      </c>
      <c r="FQ801">
        <v>0</v>
      </c>
      <c r="FR801">
        <f t="shared" si="788"/>
        <v>0</v>
      </c>
      <c r="FS801">
        <v>0</v>
      </c>
      <c r="FX801">
        <v>70</v>
      </c>
      <c r="FY801">
        <v>10</v>
      </c>
      <c r="GA801" t="s">
        <v>3</v>
      </c>
      <c r="GD801">
        <v>0</v>
      </c>
      <c r="GF801">
        <v>-792164964</v>
      </c>
      <c r="GG801">
        <v>2</v>
      </c>
      <c r="GH801">
        <v>1</v>
      </c>
      <c r="GI801">
        <v>-2</v>
      </c>
      <c r="GJ801">
        <v>0</v>
      </c>
      <c r="GK801">
        <f>ROUND(R801*(R12)/100,2)</f>
        <v>0</v>
      </c>
      <c r="GL801">
        <f t="shared" si="789"/>
        <v>0</v>
      </c>
      <c r="GM801">
        <f t="shared" si="790"/>
        <v>208.69</v>
      </c>
      <c r="GN801">
        <f t="shared" si="791"/>
        <v>0</v>
      </c>
      <c r="GO801">
        <f t="shared" si="792"/>
        <v>0</v>
      </c>
      <c r="GP801">
        <f t="shared" si="793"/>
        <v>208.69</v>
      </c>
      <c r="GR801">
        <v>0</v>
      </c>
      <c r="GS801">
        <v>3</v>
      </c>
      <c r="GT801">
        <v>0</v>
      </c>
      <c r="GU801" t="s">
        <v>3</v>
      </c>
      <c r="GV801">
        <f t="shared" si="794"/>
        <v>0</v>
      </c>
      <c r="GW801">
        <v>1</v>
      </c>
      <c r="GX801">
        <f t="shared" si="795"/>
        <v>0</v>
      </c>
      <c r="HA801">
        <v>0</v>
      </c>
      <c r="HB801">
        <v>0</v>
      </c>
      <c r="HC801">
        <f t="shared" si="796"/>
        <v>0</v>
      </c>
      <c r="HE801" t="s">
        <v>3</v>
      </c>
      <c r="HF801" t="s">
        <v>3</v>
      </c>
      <c r="HM801" t="s">
        <v>3</v>
      </c>
      <c r="HN801" t="s">
        <v>3</v>
      </c>
      <c r="HO801" t="s">
        <v>3</v>
      </c>
      <c r="HP801" t="s">
        <v>3</v>
      </c>
      <c r="HQ801" t="s">
        <v>3</v>
      </c>
      <c r="IK801">
        <v>0</v>
      </c>
    </row>
    <row r="802" spans="1:245" x14ac:dyDescent="0.2">
      <c r="A802">
        <v>17</v>
      </c>
      <c r="B802">
        <v>1</v>
      </c>
      <c r="D802">
        <f>ROW(EtalonRes!A761)</f>
        <v>761</v>
      </c>
      <c r="E802" t="s">
        <v>3</v>
      </c>
      <c r="F802" t="s">
        <v>589</v>
      </c>
      <c r="G802" t="s">
        <v>590</v>
      </c>
      <c r="H802" t="s">
        <v>94</v>
      </c>
      <c r="I802">
        <f>ROUND(1/10,9)</f>
        <v>0.1</v>
      </c>
      <c r="J802">
        <v>0</v>
      </c>
      <c r="K802">
        <f>ROUND(1/10,9)</f>
        <v>0.1</v>
      </c>
      <c r="O802">
        <f t="shared" si="764"/>
        <v>3250.42</v>
      </c>
      <c r="P802">
        <f t="shared" si="765"/>
        <v>0</v>
      </c>
      <c r="Q802">
        <f t="shared" si="766"/>
        <v>0</v>
      </c>
      <c r="R802">
        <f t="shared" si="767"/>
        <v>0</v>
      </c>
      <c r="S802">
        <f t="shared" si="768"/>
        <v>3250.42</v>
      </c>
      <c r="T802">
        <f t="shared" si="769"/>
        <v>0</v>
      </c>
      <c r="U802">
        <f t="shared" si="770"/>
        <v>6.4130000000000011</v>
      </c>
      <c r="V802">
        <f t="shared" si="771"/>
        <v>0</v>
      </c>
      <c r="W802">
        <f t="shared" si="772"/>
        <v>0</v>
      </c>
      <c r="X802">
        <f t="shared" si="773"/>
        <v>2275.29</v>
      </c>
      <c r="Y802">
        <f t="shared" si="774"/>
        <v>325.04000000000002</v>
      </c>
      <c r="AA802">
        <v>-1</v>
      </c>
      <c r="AB802">
        <f t="shared" si="775"/>
        <v>32504.23</v>
      </c>
      <c r="AC802">
        <f>ROUND(((ES802*121)),6)</f>
        <v>0</v>
      </c>
      <c r="AD802">
        <f>ROUND(((((ET802*121))-((EU802*121)))+AE802),6)</f>
        <v>0</v>
      </c>
      <c r="AE802">
        <f>ROUND(((EU802*121)),6)</f>
        <v>0</v>
      </c>
      <c r="AF802">
        <f>ROUND(((EV802*121)),6)</f>
        <v>32504.23</v>
      </c>
      <c r="AG802">
        <f t="shared" si="776"/>
        <v>0</v>
      </c>
      <c r="AH802">
        <f>((EW802*121))</f>
        <v>64.13000000000001</v>
      </c>
      <c r="AI802">
        <f>((EX802*121))</f>
        <v>0</v>
      </c>
      <c r="AJ802">
        <f t="shared" si="777"/>
        <v>0</v>
      </c>
      <c r="AK802">
        <v>268.63</v>
      </c>
      <c r="AL802">
        <v>0</v>
      </c>
      <c r="AM802">
        <v>0</v>
      </c>
      <c r="AN802">
        <v>0</v>
      </c>
      <c r="AO802">
        <v>268.63</v>
      </c>
      <c r="AP802">
        <v>0</v>
      </c>
      <c r="AQ802">
        <v>0.53</v>
      </c>
      <c r="AR802">
        <v>0</v>
      </c>
      <c r="AS802">
        <v>0</v>
      </c>
      <c r="AT802">
        <v>70</v>
      </c>
      <c r="AU802">
        <v>10</v>
      </c>
      <c r="AV802">
        <v>1</v>
      </c>
      <c r="AW802">
        <v>1</v>
      </c>
      <c r="AZ802">
        <v>1</v>
      </c>
      <c r="BA802">
        <v>1</v>
      </c>
      <c r="BB802">
        <v>1</v>
      </c>
      <c r="BC802">
        <v>1</v>
      </c>
      <c r="BD802" t="s">
        <v>3</v>
      </c>
      <c r="BE802" t="s">
        <v>3</v>
      </c>
      <c r="BF802" t="s">
        <v>3</v>
      </c>
      <c r="BG802" t="s">
        <v>3</v>
      </c>
      <c r="BH802">
        <v>0</v>
      </c>
      <c r="BI802">
        <v>4</v>
      </c>
      <c r="BJ802" t="s">
        <v>591</v>
      </c>
      <c r="BM802">
        <v>0</v>
      </c>
      <c r="BN802">
        <v>0</v>
      </c>
      <c r="BO802" t="s">
        <v>3</v>
      </c>
      <c r="BP802">
        <v>0</v>
      </c>
      <c r="BQ802">
        <v>1</v>
      </c>
      <c r="BR802">
        <v>0</v>
      </c>
      <c r="BS802">
        <v>1</v>
      </c>
      <c r="BT802">
        <v>1</v>
      </c>
      <c r="BU802">
        <v>1</v>
      </c>
      <c r="BV802">
        <v>1</v>
      </c>
      <c r="BW802">
        <v>1</v>
      </c>
      <c r="BX802">
        <v>1</v>
      </c>
      <c r="BY802" t="s">
        <v>3</v>
      </c>
      <c r="BZ802">
        <v>70</v>
      </c>
      <c r="CA802">
        <v>10</v>
      </c>
      <c r="CB802" t="s">
        <v>3</v>
      </c>
      <c r="CE802">
        <v>0</v>
      </c>
      <c r="CF802">
        <v>0</v>
      </c>
      <c r="CG802">
        <v>0</v>
      </c>
      <c r="CM802">
        <v>0</v>
      </c>
      <c r="CN802" t="s">
        <v>3</v>
      </c>
      <c r="CO802">
        <v>0</v>
      </c>
      <c r="CP802">
        <f t="shared" si="778"/>
        <v>3250.42</v>
      </c>
      <c r="CQ802">
        <f t="shared" si="779"/>
        <v>0</v>
      </c>
      <c r="CR802">
        <f>(((((ET802*121))*BB802-((EU802*121))*BS802)+AE802*BS802)*AV802)</f>
        <v>0</v>
      </c>
      <c r="CS802">
        <f t="shared" si="780"/>
        <v>0</v>
      </c>
      <c r="CT802">
        <f t="shared" si="781"/>
        <v>32504.23</v>
      </c>
      <c r="CU802">
        <f t="shared" si="782"/>
        <v>0</v>
      </c>
      <c r="CV802">
        <f t="shared" si="783"/>
        <v>64.13000000000001</v>
      </c>
      <c r="CW802">
        <f t="shared" si="784"/>
        <v>0</v>
      </c>
      <c r="CX802">
        <f t="shared" si="785"/>
        <v>0</v>
      </c>
      <c r="CY802">
        <f t="shared" si="786"/>
        <v>2275.2939999999999</v>
      </c>
      <c r="CZ802">
        <f t="shared" si="787"/>
        <v>325.04200000000003</v>
      </c>
      <c r="DC802" t="s">
        <v>3</v>
      </c>
      <c r="DD802" t="s">
        <v>592</v>
      </c>
      <c r="DE802" t="s">
        <v>592</v>
      </c>
      <c r="DF802" t="s">
        <v>592</v>
      </c>
      <c r="DG802" t="s">
        <v>592</v>
      </c>
      <c r="DH802" t="s">
        <v>3</v>
      </c>
      <c r="DI802" t="s">
        <v>592</v>
      </c>
      <c r="DJ802" t="s">
        <v>592</v>
      </c>
      <c r="DK802" t="s">
        <v>3</v>
      </c>
      <c r="DL802" t="s">
        <v>3</v>
      </c>
      <c r="DM802" t="s">
        <v>3</v>
      </c>
      <c r="DN802">
        <v>0</v>
      </c>
      <c r="DO802">
        <v>0</v>
      </c>
      <c r="DP802">
        <v>1</v>
      </c>
      <c r="DQ802">
        <v>1</v>
      </c>
      <c r="DU802">
        <v>16987630</v>
      </c>
      <c r="DV802" t="s">
        <v>94</v>
      </c>
      <c r="DW802" t="s">
        <v>94</v>
      </c>
      <c r="DX802">
        <v>10</v>
      </c>
      <c r="DZ802" t="s">
        <v>3</v>
      </c>
      <c r="EA802" t="s">
        <v>3</v>
      </c>
      <c r="EB802" t="s">
        <v>3</v>
      </c>
      <c r="EC802" t="s">
        <v>3</v>
      </c>
      <c r="EE802">
        <v>1441815344</v>
      </c>
      <c r="EF802">
        <v>1</v>
      </c>
      <c r="EG802" t="s">
        <v>22</v>
      </c>
      <c r="EH802">
        <v>0</v>
      </c>
      <c r="EI802" t="s">
        <v>3</v>
      </c>
      <c r="EJ802">
        <v>4</v>
      </c>
      <c r="EK802">
        <v>0</v>
      </c>
      <c r="EL802" t="s">
        <v>23</v>
      </c>
      <c r="EM802" t="s">
        <v>24</v>
      </c>
      <c r="EO802" t="s">
        <v>3</v>
      </c>
      <c r="EQ802">
        <v>1024</v>
      </c>
      <c r="ER802">
        <v>268.63</v>
      </c>
      <c r="ES802">
        <v>0</v>
      </c>
      <c r="ET802">
        <v>0</v>
      </c>
      <c r="EU802">
        <v>0</v>
      </c>
      <c r="EV802">
        <v>268.63</v>
      </c>
      <c r="EW802">
        <v>0.53</v>
      </c>
      <c r="EX802">
        <v>0</v>
      </c>
      <c r="EY802">
        <v>0</v>
      </c>
      <c r="FQ802">
        <v>0</v>
      </c>
      <c r="FR802">
        <f t="shared" si="788"/>
        <v>0</v>
      </c>
      <c r="FS802">
        <v>0</v>
      </c>
      <c r="FX802">
        <v>70</v>
      </c>
      <c r="FY802">
        <v>10</v>
      </c>
      <c r="GA802" t="s">
        <v>3</v>
      </c>
      <c r="GD802">
        <v>0</v>
      </c>
      <c r="GF802">
        <v>62561816</v>
      </c>
      <c r="GG802">
        <v>2</v>
      </c>
      <c r="GH802">
        <v>1</v>
      </c>
      <c r="GI802">
        <v>-2</v>
      </c>
      <c r="GJ802">
        <v>0</v>
      </c>
      <c r="GK802">
        <f>ROUND(R802*(R12)/100,2)</f>
        <v>0</v>
      </c>
      <c r="GL802">
        <f t="shared" si="789"/>
        <v>0</v>
      </c>
      <c r="GM802">
        <f t="shared" si="790"/>
        <v>5850.75</v>
      </c>
      <c r="GN802">
        <f t="shared" si="791"/>
        <v>0</v>
      </c>
      <c r="GO802">
        <f t="shared" si="792"/>
        <v>0</v>
      </c>
      <c r="GP802">
        <f t="shared" si="793"/>
        <v>5850.75</v>
      </c>
      <c r="GR802">
        <v>0</v>
      </c>
      <c r="GS802">
        <v>3</v>
      </c>
      <c r="GT802">
        <v>0</v>
      </c>
      <c r="GU802" t="s">
        <v>3</v>
      </c>
      <c r="GV802">
        <f t="shared" si="794"/>
        <v>0</v>
      </c>
      <c r="GW802">
        <v>1</v>
      </c>
      <c r="GX802">
        <f t="shared" si="795"/>
        <v>0</v>
      </c>
      <c r="HA802">
        <v>0</v>
      </c>
      <c r="HB802">
        <v>0</v>
      </c>
      <c r="HC802">
        <f t="shared" si="796"/>
        <v>0</v>
      </c>
      <c r="HE802" t="s">
        <v>3</v>
      </c>
      <c r="HF802" t="s">
        <v>3</v>
      </c>
      <c r="HM802" t="s">
        <v>3</v>
      </c>
      <c r="HN802" t="s">
        <v>3</v>
      </c>
      <c r="HO802" t="s">
        <v>3</v>
      </c>
      <c r="HP802" t="s">
        <v>3</v>
      </c>
      <c r="HQ802" t="s">
        <v>3</v>
      </c>
      <c r="IK802">
        <v>0</v>
      </c>
    </row>
    <row r="803" spans="1:245" x14ac:dyDescent="0.2">
      <c r="A803">
        <v>17</v>
      </c>
      <c r="B803">
        <v>1</v>
      </c>
      <c r="D803">
        <f>ROW(EtalonRes!A762)</f>
        <v>762</v>
      </c>
      <c r="E803" t="s">
        <v>3</v>
      </c>
      <c r="F803" t="s">
        <v>615</v>
      </c>
      <c r="G803" t="s">
        <v>616</v>
      </c>
      <c r="H803" t="s">
        <v>617</v>
      </c>
      <c r="I803">
        <f>ROUND(5/10,9)</f>
        <v>0.5</v>
      </c>
      <c r="J803">
        <v>0</v>
      </c>
      <c r="K803">
        <f>ROUND(5/10,9)</f>
        <v>0.5</v>
      </c>
      <c r="O803">
        <f t="shared" si="764"/>
        <v>963.57</v>
      </c>
      <c r="P803">
        <f t="shared" si="765"/>
        <v>0</v>
      </c>
      <c r="Q803">
        <f t="shared" si="766"/>
        <v>0</v>
      </c>
      <c r="R803">
        <f t="shared" si="767"/>
        <v>0</v>
      </c>
      <c r="S803">
        <f t="shared" si="768"/>
        <v>963.57</v>
      </c>
      <c r="T803">
        <f t="shared" si="769"/>
        <v>0</v>
      </c>
      <c r="U803">
        <f t="shared" si="770"/>
        <v>1.8</v>
      </c>
      <c r="V803">
        <f t="shared" si="771"/>
        <v>0</v>
      </c>
      <c r="W803">
        <f t="shared" si="772"/>
        <v>0</v>
      </c>
      <c r="X803">
        <f t="shared" si="773"/>
        <v>674.5</v>
      </c>
      <c r="Y803">
        <f t="shared" si="774"/>
        <v>96.36</v>
      </c>
      <c r="AA803">
        <v>-1</v>
      </c>
      <c r="AB803">
        <f t="shared" si="775"/>
        <v>1927.13</v>
      </c>
      <c r="AC803">
        <f>ROUND((ES803),6)</f>
        <v>0</v>
      </c>
      <c r="AD803">
        <f>ROUND((((ET803)-(EU803))+AE803),6)</f>
        <v>0</v>
      </c>
      <c r="AE803">
        <f>ROUND((EU803),6)</f>
        <v>0</v>
      </c>
      <c r="AF803">
        <f>ROUND((EV803),6)</f>
        <v>1927.13</v>
      </c>
      <c r="AG803">
        <f t="shared" si="776"/>
        <v>0</v>
      </c>
      <c r="AH803">
        <f>(EW803)</f>
        <v>3.6</v>
      </c>
      <c r="AI803">
        <f>(EX803)</f>
        <v>0</v>
      </c>
      <c r="AJ803">
        <f t="shared" si="777"/>
        <v>0</v>
      </c>
      <c r="AK803">
        <v>1927.13</v>
      </c>
      <c r="AL803">
        <v>0</v>
      </c>
      <c r="AM803">
        <v>0</v>
      </c>
      <c r="AN803">
        <v>0</v>
      </c>
      <c r="AO803">
        <v>1927.13</v>
      </c>
      <c r="AP803">
        <v>0</v>
      </c>
      <c r="AQ803">
        <v>3.6</v>
      </c>
      <c r="AR803">
        <v>0</v>
      </c>
      <c r="AS803">
        <v>0</v>
      </c>
      <c r="AT803">
        <v>70</v>
      </c>
      <c r="AU803">
        <v>10</v>
      </c>
      <c r="AV803">
        <v>1</v>
      </c>
      <c r="AW803">
        <v>1</v>
      </c>
      <c r="AZ803">
        <v>1</v>
      </c>
      <c r="BA803">
        <v>1</v>
      </c>
      <c r="BB803">
        <v>1</v>
      </c>
      <c r="BC803">
        <v>1</v>
      </c>
      <c r="BD803" t="s">
        <v>3</v>
      </c>
      <c r="BE803" t="s">
        <v>3</v>
      </c>
      <c r="BF803" t="s">
        <v>3</v>
      </c>
      <c r="BG803" t="s">
        <v>3</v>
      </c>
      <c r="BH803">
        <v>0</v>
      </c>
      <c r="BI803">
        <v>4</v>
      </c>
      <c r="BJ803" t="s">
        <v>618</v>
      </c>
      <c r="BM803">
        <v>0</v>
      </c>
      <c r="BN803">
        <v>0</v>
      </c>
      <c r="BO803" t="s">
        <v>3</v>
      </c>
      <c r="BP803">
        <v>0</v>
      </c>
      <c r="BQ803">
        <v>1</v>
      </c>
      <c r="BR803">
        <v>0</v>
      </c>
      <c r="BS803">
        <v>1</v>
      </c>
      <c r="BT803">
        <v>1</v>
      </c>
      <c r="BU803">
        <v>1</v>
      </c>
      <c r="BV803">
        <v>1</v>
      </c>
      <c r="BW803">
        <v>1</v>
      </c>
      <c r="BX803">
        <v>1</v>
      </c>
      <c r="BY803" t="s">
        <v>3</v>
      </c>
      <c r="BZ803">
        <v>70</v>
      </c>
      <c r="CA803">
        <v>10</v>
      </c>
      <c r="CB803" t="s">
        <v>3</v>
      </c>
      <c r="CE803">
        <v>0</v>
      </c>
      <c r="CF803">
        <v>0</v>
      </c>
      <c r="CG803">
        <v>0</v>
      </c>
      <c r="CM803">
        <v>0</v>
      </c>
      <c r="CN803" t="s">
        <v>3</v>
      </c>
      <c r="CO803">
        <v>0</v>
      </c>
      <c r="CP803">
        <f t="shared" si="778"/>
        <v>963.57</v>
      </c>
      <c r="CQ803">
        <f t="shared" si="779"/>
        <v>0</v>
      </c>
      <c r="CR803">
        <f>((((ET803)*BB803-(EU803)*BS803)+AE803*BS803)*AV803)</f>
        <v>0</v>
      </c>
      <c r="CS803">
        <f t="shared" si="780"/>
        <v>0</v>
      </c>
      <c r="CT803">
        <f t="shared" si="781"/>
        <v>1927.13</v>
      </c>
      <c r="CU803">
        <f t="shared" si="782"/>
        <v>0</v>
      </c>
      <c r="CV803">
        <f t="shared" si="783"/>
        <v>3.6</v>
      </c>
      <c r="CW803">
        <f t="shared" si="784"/>
        <v>0</v>
      </c>
      <c r="CX803">
        <f t="shared" si="785"/>
        <v>0</v>
      </c>
      <c r="CY803">
        <f t="shared" si="786"/>
        <v>674.49900000000014</v>
      </c>
      <c r="CZ803">
        <f t="shared" si="787"/>
        <v>96.357000000000014</v>
      </c>
      <c r="DC803" t="s">
        <v>3</v>
      </c>
      <c r="DD803" t="s">
        <v>3</v>
      </c>
      <c r="DE803" t="s">
        <v>3</v>
      </c>
      <c r="DF803" t="s">
        <v>3</v>
      </c>
      <c r="DG803" t="s">
        <v>3</v>
      </c>
      <c r="DH803" t="s">
        <v>3</v>
      </c>
      <c r="DI803" t="s">
        <v>3</v>
      </c>
      <c r="DJ803" t="s">
        <v>3</v>
      </c>
      <c r="DK803" t="s">
        <v>3</v>
      </c>
      <c r="DL803" t="s">
        <v>3</v>
      </c>
      <c r="DM803" t="s">
        <v>3</v>
      </c>
      <c r="DN803">
        <v>0</v>
      </c>
      <c r="DO803">
        <v>0</v>
      </c>
      <c r="DP803">
        <v>1</v>
      </c>
      <c r="DQ803">
        <v>1</v>
      </c>
      <c r="DU803">
        <v>1003</v>
      </c>
      <c r="DV803" t="s">
        <v>617</v>
      </c>
      <c r="DW803" t="s">
        <v>617</v>
      </c>
      <c r="DX803">
        <v>10</v>
      </c>
      <c r="DZ803" t="s">
        <v>3</v>
      </c>
      <c r="EA803" t="s">
        <v>3</v>
      </c>
      <c r="EB803" t="s">
        <v>3</v>
      </c>
      <c r="EC803" t="s">
        <v>3</v>
      </c>
      <c r="EE803">
        <v>1441815344</v>
      </c>
      <c r="EF803">
        <v>1</v>
      </c>
      <c r="EG803" t="s">
        <v>22</v>
      </c>
      <c r="EH803">
        <v>0</v>
      </c>
      <c r="EI803" t="s">
        <v>3</v>
      </c>
      <c r="EJ803">
        <v>4</v>
      </c>
      <c r="EK803">
        <v>0</v>
      </c>
      <c r="EL803" t="s">
        <v>23</v>
      </c>
      <c r="EM803" t="s">
        <v>24</v>
      </c>
      <c r="EO803" t="s">
        <v>3</v>
      </c>
      <c r="EQ803">
        <v>1311744</v>
      </c>
      <c r="ER803">
        <v>1927.13</v>
      </c>
      <c r="ES803">
        <v>0</v>
      </c>
      <c r="ET803">
        <v>0</v>
      </c>
      <c r="EU803">
        <v>0</v>
      </c>
      <c r="EV803">
        <v>1927.13</v>
      </c>
      <c r="EW803">
        <v>3.6</v>
      </c>
      <c r="EX803">
        <v>0</v>
      </c>
      <c r="EY803">
        <v>0</v>
      </c>
      <c r="FQ803">
        <v>0</v>
      </c>
      <c r="FR803">
        <f t="shared" si="788"/>
        <v>0</v>
      </c>
      <c r="FS803">
        <v>0</v>
      </c>
      <c r="FX803">
        <v>70</v>
      </c>
      <c r="FY803">
        <v>10</v>
      </c>
      <c r="GA803" t="s">
        <v>3</v>
      </c>
      <c r="GD803">
        <v>0</v>
      </c>
      <c r="GF803">
        <v>1248554923</v>
      </c>
      <c r="GG803">
        <v>2</v>
      </c>
      <c r="GH803">
        <v>1</v>
      </c>
      <c r="GI803">
        <v>-2</v>
      </c>
      <c r="GJ803">
        <v>0</v>
      </c>
      <c r="GK803">
        <f>ROUND(R803*(R12)/100,2)</f>
        <v>0</v>
      </c>
      <c r="GL803">
        <f t="shared" si="789"/>
        <v>0</v>
      </c>
      <c r="GM803">
        <f t="shared" si="790"/>
        <v>1734.43</v>
      </c>
      <c r="GN803">
        <f t="shared" si="791"/>
        <v>0</v>
      </c>
      <c r="GO803">
        <f t="shared" si="792"/>
        <v>0</v>
      </c>
      <c r="GP803">
        <f t="shared" si="793"/>
        <v>1734.43</v>
      </c>
      <c r="GR803">
        <v>0</v>
      </c>
      <c r="GS803">
        <v>3</v>
      </c>
      <c r="GT803">
        <v>0</v>
      </c>
      <c r="GU803" t="s">
        <v>3</v>
      </c>
      <c r="GV803">
        <f t="shared" si="794"/>
        <v>0</v>
      </c>
      <c r="GW803">
        <v>1</v>
      </c>
      <c r="GX803">
        <f t="shared" si="795"/>
        <v>0</v>
      </c>
      <c r="HA803">
        <v>0</v>
      </c>
      <c r="HB803">
        <v>0</v>
      </c>
      <c r="HC803">
        <f t="shared" si="796"/>
        <v>0</v>
      </c>
      <c r="HE803" t="s">
        <v>3</v>
      </c>
      <c r="HF803" t="s">
        <v>3</v>
      </c>
      <c r="HM803" t="s">
        <v>3</v>
      </c>
      <c r="HN803" t="s">
        <v>3</v>
      </c>
      <c r="HO803" t="s">
        <v>3</v>
      </c>
      <c r="HP803" t="s">
        <v>3</v>
      </c>
      <c r="HQ803" t="s">
        <v>3</v>
      </c>
      <c r="IK803">
        <v>0</v>
      </c>
    </row>
    <row r="804" spans="1:245" x14ac:dyDescent="0.2">
      <c r="A804">
        <v>17</v>
      </c>
      <c r="B804">
        <v>1</v>
      </c>
      <c r="D804">
        <f>ROW(EtalonRes!A763)</f>
        <v>763</v>
      </c>
      <c r="E804" t="s">
        <v>3</v>
      </c>
      <c r="F804" t="s">
        <v>619</v>
      </c>
      <c r="G804" t="s">
        <v>620</v>
      </c>
      <c r="H804" t="s">
        <v>617</v>
      </c>
      <c r="I804">
        <f>ROUND(5/10,9)</f>
        <v>0.5</v>
      </c>
      <c r="J804">
        <v>0</v>
      </c>
      <c r="K804">
        <f>ROUND(5/10,9)</f>
        <v>0.5</v>
      </c>
      <c r="O804">
        <f t="shared" si="764"/>
        <v>128.47999999999999</v>
      </c>
      <c r="P804">
        <f t="shared" si="765"/>
        <v>0</v>
      </c>
      <c r="Q804">
        <f t="shared" si="766"/>
        <v>0</v>
      </c>
      <c r="R804">
        <f t="shared" si="767"/>
        <v>0</v>
      </c>
      <c r="S804">
        <f t="shared" si="768"/>
        <v>128.47999999999999</v>
      </c>
      <c r="T804">
        <f t="shared" si="769"/>
        <v>0</v>
      </c>
      <c r="U804">
        <f t="shared" si="770"/>
        <v>0.24</v>
      </c>
      <c r="V804">
        <f t="shared" si="771"/>
        <v>0</v>
      </c>
      <c r="W804">
        <f t="shared" si="772"/>
        <v>0</v>
      </c>
      <c r="X804">
        <f t="shared" si="773"/>
        <v>89.94</v>
      </c>
      <c r="Y804">
        <f t="shared" si="774"/>
        <v>12.85</v>
      </c>
      <c r="AA804">
        <v>-1</v>
      </c>
      <c r="AB804">
        <f t="shared" si="775"/>
        <v>256.95999999999998</v>
      </c>
      <c r="AC804">
        <f>ROUND((ES804),6)</f>
        <v>0</v>
      </c>
      <c r="AD804">
        <f>ROUND((((ET804)-(EU804))+AE804),6)</f>
        <v>0</v>
      </c>
      <c r="AE804">
        <f>ROUND((EU804),6)</f>
        <v>0</v>
      </c>
      <c r="AF804">
        <f>ROUND(((EV804*4)),6)</f>
        <v>256.95999999999998</v>
      </c>
      <c r="AG804">
        <f t="shared" si="776"/>
        <v>0</v>
      </c>
      <c r="AH804">
        <f>((EW804*4))</f>
        <v>0.48</v>
      </c>
      <c r="AI804">
        <f>(EX804)</f>
        <v>0</v>
      </c>
      <c r="AJ804">
        <f t="shared" si="777"/>
        <v>0</v>
      </c>
      <c r="AK804">
        <v>64.239999999999995</v>
      </c>
      <c r="AL804">
        <v>0</v>
      </c>
      <c r="AM804">
        <v>0</v>
      </c>
      <c r="AN804">
        <v>0</v>
      </c>
      <c r="AO804">
        <v>64.239999999999995</v>
      </c>
      <c r="AP804">
        <v>0</v>
      </c>
      <c r="AQ804">
        <v>0.12</v>
      </c>
      <c r="AR804">
        <v>0</v>
      </c>
      <c r="AS804">
        <v>0</v>
      </c>
      <c r="AT804">
        <v>70</v>
      </c>
      <c r="AU804">
        <v>10</v>
      </c>
      <c r="AV804">
        <v>1</v>
      </c>
      <c r="AW804">
        <v>1</v>
      </c>
      <c r="AZ804">
        <v>1</v>
      </c>
      <c r="BA804">
        <v>1</v>
      </c>
      <c r="BB804">
        <v>1</v>
      </c>
      <c r="BC804">
        <v>1</v>
      </c>
      <c r="BD804" t="s">
        <v>3</v>
      </c>
      <c r="BE804" t="s">
        <v>3</v>
      </c>
      <c r="BF804" t="s">
        <v>3</v>
      </c>
      <c r="BG804" t="s">
        <v>3</v>
      </c>
      <c r="BH804">
        <v>0</v>
      </c>
      <c r="BI804">
        <v>4</v>
      </c>
      <c r="BJ804" t="s">
        <v>621</v>
      </c>
      <c r="BM804">
        <v>0</v>
      </c>
      <c r="BN804">
        <v>0</v>
      </c>
      <c r="BO804" t="s">
        <v>3</v>
      </c>
      <c r="BP804">
        <v>0</v>
      </c>
      <c r="BQ804">
        <v>1</v>
      </c>
      <c r="BR804">
        <v>0</v>
      </c>
      <c r="BS804">
        <v>1</v>
      </c>
      <c r="BT804">
        <v>1</v>
      </c>
      <c r="BU804">
        <v>1</v>
      </c>
      <c r="BV804">
        <v>1</v>
      </c>
      <c r="BW804">
        <v>1</v>
      </c>
      <c r="BX804">
        <v>1</v>
      </c>
      <c r="BY804" t="s">
        <v>3</v>
      </c>
      <c r="BZ804">
        <v>70</v>
      </c>
      <c r="CA804">
        <v>10</v>
      </c>
      <c r="CB804" t="s">
        <v>3</v>
      </c>
      <c r="CE804">
        <v>0</v>
      </c>
      <c r="CF804">
        <v>0</v>
      </c>
      <c r="CG804">
        <v>0</v>
      </c>
      <c r="CM804">
        <v>0</v>
      </c>
      <c r="CN804" t="s">
        <v>3</v>
      </c>
      <c r="CO804">
        <v>0</v>
      </c>
      <c r="CP804">
        <f t="shared" si="778"/>
        <v>128.47999999999999</v>
      </c>
      <c r="CQ804">
        <f t="shared" si="779"/>
        <v>0</v>
      </c>
      <c r="CR804">
        <f>((((ET804)*BB804-(EU804)*BS804)+AE804*BS804)*AV804)</f>
        <v>0</v>
      </c>
      <c r="CS804">
        <f t="shared" si="780"/>
        <v>0</v>
      </c>
      <c r="CT804">
        <f t="shared" si="781"/>
        <v>256.95999999999998</v>
      </c>
      <c r="CU804">
        <f t="shared" si="782"/>
        <v>0</v>
      </c>
      <c r="CV804">
        <f t="shared" si="783"/>
        <v>0.48</v>
      </c>
      <c r="CW804">
        <f t="shared" si="784"/>
        <v>0</v>
      </c>
      <c r="CX804">
        <f t="shared" si="785"/>
        <v>0</v>
      </c>
      <c r="CY804">
        <f t="shared" si="786"/>
        <v>89.935999999999979</v>
      </c>
      <c r="CZ804">
        <f t="shared" si="787"/>
        <v>12.847999999999999</v>
      </c>
      <c r="DC804" t="s">
        <v>3</v>
      </c>
      <c r="DD804" t="s">
        <v>3</v>
      </c>
      <c r="DE804" t="s">
        <v>3</v>
      </c>
      <c r="DF804" t="s">
        <v>3</v>
      </c>
      <c r="DG804" t="s">
        <v>106</v>
      </c>
      <c r="DH804" t="s">
        <v>3</v>
      </c>
      <c r="DI804" t="s">
        <v>106</v>
      </c>
      <c r="DJ804" t="s">
        <v>3</v>
      </c>
      <c r="DK804" t="s">
        <v>3</v>
      </c>
      <c r="DL804" t="s">
        <v>3</v>
      </c>
      <c r="DM804" t="s">
        <v>3</v>
      </c>
      <c r="DN804">
        <v>0</v>
      </c>
      <c r="DO804">
        <v>0</v>
      </c>
      <c r="DP804">
        <v>1</v>
      </c>
      <c r="DQ804">
        <v>1</v>
      </c>
      <c r="DU804">
        <v>1003</v>
      </c>
      <c r="DV804" t="s">
        <v>617</v>
      </c>
      <c r="DW804" t="s">
        <v>617</v>
      </c>
      <c r="DX804">
        <v>10</v>
      </c>
      <c r="DZ804" t="s">
        <v>3</v>
      </c>
      <c r="EA804" t="s">
        <v>3</v>
      </c>
      <c r="EB804" t="s">
        <v>3</v>
      </c>
      <c r="EC804" t="s">
        <v>3</v>
      </c>
      <c r="EE804">
        <v>1441815344</v>
      </c>
      <c r="EF804">
        <v>1</v>
      </c>
      <c r="EG804" t="s">
        <v>22</v>
      </c>
      <c r="EH804">
        <v>0</v>
      </c>
      <c r="EI804" t="s">
        <v>3</v>
      </c>
      <c r="EJ804">
        <v>4</v>
      </c>
      <c r="EK804">
        <v>0</v>
      </c>
      <c r="EL804" t="s">
        <v>23</v>
      </c>
      <c r="EM804" t="s">
        <v>24</v>
      </c>
      <c r="EO804" t="s">
        <v>3</v>
      </c>
      <c r="EQ804">
        <v>1024</v>
      </c>
      <c r="ER804">
        <v>64.239999999999995</v>
      </c>
      <c r="ES804">
        <v>0</v>
      </c>
      <c r="ET804">
        <v>0</v>
      </c>
      <c r="EU804">
        <v>0</v>
      </c>
      <c r="EV804">
        <v>64.239999999999995</v>
      </c>
      <c r="EW804">
        <v>0.12</v>
      </c>
      <c r="EX804">
        <v>0</v>
      </c>
      <c r="EY804">
        <v>0</v>
      </c>
      <c r="FQ804">
        <v>0</v>
      </c>
      <c r="FR804">
        <f t="shared" si="788"/>
        <v>0</v>
      </c>
      <c r="FS804">
        <v>0</v>
      </c>
      <c r="FX804">
        <v>70</v>
      </c>
      <c r="FY804">
        <v>10</v>
      </c>
      <c r="GA804" t="s">
        <v>3</v>
      </c>
      <c r="GD804">
        <v>0</v>
      </c>
      <c r="GF804">
        <v>481267422</v>
      </c>
      <c r="GG804">
        <v>2</v>
      </c>
      <c r="GH804">
        <v>1</v>
      </c>
      <c r="GI804">
        <v>-2</v>
      </c>
      <c r="GJ804">
        <v>0</v>
      </c>
      <c r="GK804">
        <f>ROUND(R804*(R12)/100,2)</f>
        <v>0</v>
      </c>
      <c r="GL804">
        <f t="shared" si="789"/>
        <v>0</v>
      </c>
      <c r="GM804">
        <f t="shared" si="790"/>
        <v>231.27</v>
      </c>
      <c r="GN804">
        <f t="shared" si="791"/>
        <v>0</v>
      </c>
      <c r="GO804">
        <f t="shared" si="792"/>
        <v>0</v>
      </c>
      <c r="GP804">
        <f t="shared" si="793"/>
        <v>231.27</v>
      </c>
      <c r="GR804">
        <v>0</v>
      </c>
      <c r="GS804">
        <v>3</v>
      </c>
      <c r="GT804">
        <v>0</v>
      </c>
      <c r="GU804" t="s">
        <v>3</v>
      </c>
      <c r="GV804">
        <f t="shared" si="794"/>
        <v>0</v>
      </c>
      <c r="GW804">
        <v>1</v>
      </c>
      <c r="GX804">
        <f t="shared" si="795"/>
        <v>0</v>
      </c>
      <c r="HA804">
        <v>0</v>
      </c>
      <c r="HB804">
        <v>0</v>
      </c>
      <c r="HC804">
        <f t="shared" si="796"/>
        <v>0</v>
      </c>
      <c r="HE804" t="s">
        <v>3</v>
      </c>
      <c r="HF804" t="s">
        <v>3</v>
      </c>
      <c r="HM804" t="s">
        <v>3</v>
      </c>
      <c r="HN804" t="s">
        <v>3</v>
      </c>
      <c r="HO804" t="s">
        <v>3</v>
      </c>
      <c r="HP804" t="s">
        <v>3</v>
      </c>
      <c r="HQ804" t="s">
        <v>3</v>
      </c>
      <c r="IK804">
        <v>0</v>
      </c>
    </row>
    <row r="805" spans="1:245" x14ac:dyDescent="0.2">
      <c r="A805">
        <v>17</v>
      </c>
      <c r="B805">
        <v>1</v>
      </c>
      <c r="D805">
        <f>ROW(EtalonRes!A765)</f>
        <v>765</v>
      </c>
      <c r="E805" t="s">
        <v>685</v>
      </c>
      <c r="F805" t="s">
        <v>623</v>
      </c>
      <c r="G805" t="s">
        <v>673</v>
      </c>
      <c r="H805" t="s">
        <v>104</v>
      </c>
      <c r="I805">
        <f>ROUND(10*0.2*0.1/100,9)</f>
        <v>2E-3</v>
      </c>
      <c r="J805">
        <v>0</v>
      </c>
      <c r="K805">
        <f>ROUND(10*0.2*0.1/100,9)</f>
        <v>2E-3</v>
      </c>
      <c r="O805">
        <f t="shared" si="764"/>
        <v>12.04</v>
      </c>
      <c r="P805">
        <f t="shared" si="765"/>
        <v>0.03</v>
      </c>
      <c r="Q805">
        <f t="shared" si="766"/>
        <v>0</v>
      </c>
      <c r="R805">
        <f t="shared" si="767"/>
        <v>0</v>
      </c>
      <c r="S805">
        <f t="shared" si="768"/>
        <v>12.01</v>
      </c>
      <c r="T805">
        <f t="shared" si="769"/>
        <v>0</v>
      </c>
      <c r="U805">
        <f t="shared" si="770"/>
        <v>2.2440000000000002E-2</v>
      </c>
      <c r="V805">
        <f t="shared" si="771"/>
        <v>0</v>
      </c>
      <c r="W805">
        <f t="shared" si="772"/>
        <v>0</v>
      </c>
      <c r="X805">
        <f t="shared" si="773"/>
        <v>8.41</v>
      </c>
      <c r="Y805">
        <f t="shared" si="774"/>
        <v>1.2</v>
      </c>
      <c r="AA805">
        <v>1472506909</v>
      </c>
      <c r="AB805">
        <f t="shared" si="775"/>
        <v>6020.87</v>
      </c>
      <c r="AC805">
        <f>ROUND((ES805),6)</f>
        <v>14.63</v>
      </c>
      <c r="AD805">
        <f>ROUND((((ET805)-(EU805))+AE805),6)</f>
        <v>0</v>
      </c>
      <c r="AE805">
        <f>ROUND((EU805),6)</f>
        <v>0</v>
      </c>
      <c r="AF805">
        <f>ROUND((EV805),6)</f>
        <v>6006.24</v>
      </c>
      <c r="AG805">
        <f t="shared" si="776"/>
        <v>0</v>
      </c>
      <c r="AH805">
        <f>(EW805)</f>
        <v>11.22</v>
      </c>
      <c r="AI805">
        <f>(EX805)</f>
        <v>0</v>
      </c>
      <c r="AJ805">
        <f t="shared" si="777"/>
        <v>0</v>
      </c>
      <c r="AK805">
        <v>6020.87</v>
      </c>
      <c r="AL805">
        <v>14.63</v>
      </c>
      <c r="AM805">
        <v>0</v>
      </c>
      <c r="AN805">
        <v>0</v>
      </c>
      <c r="AO805">
        <v>6006.24</v>
      </c>
      <c r="AP805">
        <v>0</v>
      </c>
      <c r="AQ805">
        <v>11.22</v>
      </c>
      <c r="AR805">
        <v>0</v>
      </c>
      <c r="AS805">
        <v>0</v>
      </c>
      <c r="AT805">
        <v>70</v>
      </c>
      <c r="AU805">
        <v>10</v>
      </c>
      <c r="AV805">
        <v>1</v>
      </c>
      <c r="AW805">
        <v>1</v>
      </c>
      <c r="AZ805">
        <v>1</v>
      </c>
      <c r="BA805">
        <v>1</v>
      </c>
      <c r="BB805">
        <v>1</v>
      </c>
      <c r="BC805">
        <v>1</v>
      </c>
      <c r="BD805" t="s">
        <v>3</v>
      </c>
      <c r="BE805" t="s">
        <v>3</v>
      </c>
      <c r="BF805" t="s">
        <v>3</v>
      </c>
      <c r="BG805" t="s">
        <v>3</v>
      </c>
      <c r="BH805">
        <v>0</v>
      </c>
      <c r="BI805">
        <v>4</v>
      </c>
      <c r="BJ805" t="s">
        <v>625</v>
      </c>
      <c r="BM805">
        <v>0</v>
      </c>
      <c r="BN805">
        <v>0</v>
      </c>
      <c r="BO805" t="s">
        <v>3</v>
      </c>
      <c r="BP805">
        <v>0</v>
      </c>
      <c r="BQ805">
        <v>1</v>
      </c>
      <c r="BR805">
        <v>0</v>
      </c>
      <c r="BS805">
        <v>1</v>
      </c>
      <c r="BT805">
        <v>1</v>
      </c>
      <c r="BU805">
        <v>1</v>
      </c>
      <c r="BV805">
        <v>1</v>
      </c>
      <c r="BW805">
        <v>1</v>
      </c>
      <c r="BX805">
        <v>1</v>
      </c>
      <c r="BY805" t="s">
        <v>3</v>
      </c>
      <c r="BZ805">
        <v>70</v>
      </c>
      <c r="CA805">
        <v>10</v>
      </c>
      <c r="CB805" t="s">
        <v>3</v>
      </c>
      <c r="CE805">
        <v>0</v>
      </c>
      <c r="CF805">
        <v>0</v>
      </c>
      <c r="CG805">
        <v>0</v>
      </c>
      <c r="CM805">
        <v>0</v>
      </c>
      <c r="CN805" t="s">
        <v>3</v>
      </c>
      <c r="CO805">
        <v>0</v>
      </c>
      <c r="CP805">
        <f t="shared" si="778"/>
        <v>12.04</v>
      </c>
      <c r="CQ805">
        <f t="shared" si="779"/>
        <v>14.63</v>
      </c>
      <c r="CR805">
        <f>((((ET805)*BB805-(EU805)*BS805)+AE805*BS805)*AV805)</f>
        <v>0</v>
      </c>
      <c r="CS805">
        <f t="shared" si="780"/>
        <v>0</v>
      </c>
      <c r="CT805">
        <f t="shared" si="781"/>
        <v>6006.24</v>
      </c>
      <c r="CU805">
        <f t="shared" si="782"/>
        <v>0</v>
      </c>
      <c r="CV805">
        <f t="shared" si="783"/>
        <v>11.22</v>
      </c>
      <c r="CW805">
        <f t="shared" si="784"/>
        <v>0</v>
      </c>
      <c r="CX805">
        <f t="shared" si="785"/>
        <v>0</v>
      </c>
      <c r="CY805">
        <f t="shared" si="786"/>
        <v>8.407</v>
      </c>
      <c r="CZ805">
        <f t="shared" si="787"/>
        <v>1.2009999999999998</v>
      </c>
      <c r="DC805" t="s">
        <v>3</v>
      </c>
      <c r="DD805" t="s">
        <v>3</v>
      </c>
      <c r="DE805" t="s">
        <v>3</v>
      </c>
      <c r="DF805" t="s">
        <v>3</v>
      </c>
      <c r="DG805" t="s">
        <v>3</v>
      </c>
      <c r="DH805" t="s">
        <v>3</v>
      </c>
      <c r="DI805" t="s">
        <v>3</v>
      </c>
      <c r="DJ805" t="s">
        <v>3</v>
      </c>
      <c r="DK805" t="s">
        <v>3</v>
      </c>
      <c r="DL805" t="s">
        <v>3</v>
      </c>
      <c r="DM805" t="s">
        <v>3</v>
      </c>
      <c r="DN805">
        <v>0</v>
      </c>
      <c r="DO805">
        <v>0</v>
      </c>
      <c r="DP805">
        <v>1</v>
      </c>
      <c r="DQ805">
        <v>1</v>
      </c>
      <c r="DU805">
        <v>1003</v>
      </c>
      <c r="DV805" t="s">
        <v>104</v>
      </c>
      <c r="DW805" t="s">
        <v>104</v>
      </c>
      <c r="DX805">
        <v>100</v>
      </c>
      <c r="DZ805" t="s">
        <v>3</v>
      </c>
      <c r="EA805" t="s">
        <v>3</v>
      </c>
      <c r="EB805" t="s">
        <v>3</v>
      </c>
      <c r="EC805" t="s">
        <v>3</v>
      </c>
      <c r="EE805">
        <v>1441815344</v>
      </c>
      <c r="EF805">
        <v>1</v>
      </c>
      <c r="EG805" t="s">
        <v>22</v>
      </c>
      <c r="EH805">
        <v>0</v>
      </c>
      <c r="EI805" t="s">
        <v>3</v>
      </c>
      <c r="EJ805">
        <v>4</v>
      </c>
      <c r="EK805">
        <v>0</v>
      </c>
      <c r="EL805" t="s">
        <v>23</v>
      </c>
      <c r="EM805" t="s">
        <v>24</v>
      </c>
      <c r="EO805" t="s">
        <v>3</v>
      </c>
      <c r="EQ805">
        <v>0</v>
      </c>
      <c r="ER805">
        <v>6020.87</v>
      </c>
      <c r="ES805">
        <v>14.63</v>
      </c>
      <c r="ET805">
        <v>0</v>
      </c>
      <c r="EU805">
        <v>0</v>
      </c>
      <c r="EV805">
        <v>6006.24</v>
      </c>
      <c r="EW805">
        <v>11.22</v>
      </c>
      <c r="EX805">
        <v>0</v>
      </c>
      <c r="EY805">
        <v>0</v>
      </c>
      <c r="FQ805">
        <v>0</v>
      </c>
      <c r="FR805">
        <f t="shared" si="788"/>
        <v>0</v>
      </c>
      <c r="FS805">
        <v>0</v>
      </c>
      <c r="FX805">
        <v>70</v>
      </c>
      <c r="FY805">
        <v>10</v>
      </c>
      <c r="GA805" t="s">
        <v>3</v>
      </c>
      <c r="GD805">
        <v>0</v>
      </c>
      <c r="GF805">
        <v>-1866895989</v>
      </c>
      <c r="GG805">
        <v>2</v>
      </c>
      <c r="GH805">
        <v>1</v>
      </c>
      <c r="GI805">
        <v>-2</v>
      </c>
      <c r="GJ805">
        <v>0</v>
      </c>
      <c r="GK805">
        <f>ROUND(R805*(R12)/100,2)</f>
        <v>0</v>
      </c>
      <c r="GL805">
        <f t="shared" si="789"/>
        <v>0</v>
      </c>
      <c r="GM805">
        <f t="shared" si="790"/>
        <v>21.65</v>
      </c>
      <c r="GN805">
        <f t="shared" si="791"/>
        <v>0</v>
      </c>
      <c r="GO805">
        <f t="shared" si="792"/>
        <v>0</v>
      </c>
      <c r="GP805">
        <f t="shared" si="793"/>
        <v>21.65</v>
      </c>
      <c r="GR805">
        <v>0</v>
      </c>
      <c r="GS805">
        <v>3</v>
      </c>
      <c r="GT805">
        <v>0</v>
      </c>
      <c r="GU805" t="s">
        <v>3</v>
      </c>
      <c r="GV805">
        <f t="shared" si="794"/>
        <v>0</v>
      </c>
      <c r="GW805">
        <v>1</v>
      </c>
      <c r="GX805">
        <f t="shared" si="795"/>
        <v>0</v>
      </c>
      <c r="HA805">
        <v>0</v>
      </c>
      <c r="HB805">
        <v>0</v>
      </c>
      <c r="HC805">
        <f t="shared" si="796"/>
        <v>0</v>
      </c>
      <c r="HE805" t="s">
        <v>3</v>
      </c>
      <c r="HF805" t="s">
        <v>3</v>
      </c>
      <c r="HM805" t="s">
        <v>3</v>
      </c>
      <c r="HN805" t="s">
        <v>3</v>
      </c>
      <c r="HO805" t="s">
        <v>3</v>
      </c>
      <c r="HP805" t="s">
        <v>3</v>
      </c>
      <c r="HQ805" t="s">
        <v>3</v>
      </c>
      <c r="IK805">
        <v>0</v>
      </c>
    </row>
    <row r="806" spans="1:245" x14ac:dyDescent="0.2">
      <c r="A806">
        <v>17</v>
      </c>
      <c r="B806">
        <v>1</v>
      </c>
      <c r="D806">
        <f>ROW(EtalonRes!A766)</f>
        <v>766</v>
      </c>
      <c r="E806" t="s">
        <v>686</v>
      </c>
      <c r="F806" t="s">
        <v>627</v>
      </c>
      <c r="G806" t="s">
        <v>628</v>
      </c>
      <c r="H806" t="s">
        <v>104</v>
      </c>
      <c r="I806">
        <f>ROUND(10*0.2*0.1/100,9)</f>
        <v>2E-3</v>
      </c>
      <c r="J806">
        <v>0</v>
      </c>
      <c r="K806">
        <f>ROUND(10*0.2*0.1/100,9)</f>
        <v>2E-3</v>
      </c>
      <c r="O806">
        <f t="shared" si="764"/>
        <v>2.1800000000000002</v>
      </c>
      <c r="P806">
        <f t="shared" si="765"/>
        <v>0</v>
      </c>
      <c r="Q806">
        <f t="shared" si="766"/>
        <v>0</v>
      </c>
      <c r="R806">
        <f t="shared" si="767"/>
        <v>0</v>
      </c>
      <c r="S806">
        <f t="shared" si="768"/>
        <v>2.1800000000000002</v>
      </c>
      <c r="T806">
        <f t="shared" si="769"/>
        <v>0</v>
      </c>
      <c r="U806">
        <f t="shared" si="770"/>
        <v>4.0800000000000003E-3</v>
      </c>
      <c r="V806">
        <f t="shared" si="771"/>
        <v>0</v>
      </c>
      <c r="W806">
        <f t="shared" si="772"/>
        <v>0</v>
      </c>
      <c r="X806">
        <f t="shared" si="773"/>
        <v>1.53</v>
      </c>
      <c r="Y806">
        <f t="shared" si="774"/>
        <v>0.22</v>
      </c>
      <c r="AA806">
        <v>1472506909</v>
      </c>
      <c r="AB806">
        <f t="shared" si="775"/>
        <v>1092.04</v>
      </c>
      <c r="AC806">
        <f>ROUND((ES806),6)</f>
        <v>0</v>
      </c>
      <c r="AD806">
        <f>ROUND((((ET806)-(EU806))+AE806),6)</f>
        <v>0</v>
      </c>
      <c r="AE806">
        <f>ROUND((EU806),6)</f>
        <v>0</v>
      </c>
      <c r="AF806">
        <f>ROUND((EV806),6)</f>
        <v>1092.04</v>
      </c>
      <c r="AG806">
        <f t="shared" si="776"/>
        <v>0</v>
      </c>
      <c r="AH806">
        <f>(EW806)</f>
        <v>2.04</v>
      </c>
      <c r="AI806">
        <f>(EX806)</f>
        <v>0</v>
      </c>
      <c r="AJ806">
        <f t="shared" si="777"/>
        <v>0</v>
      </c>
      <c r="AK806">
        <v>1092.04</v>
      </c>
      <c r="AL806">
        <v>0</v>
      </c>
      <c r="AM806">
        <v>0</v>
      </c>
      <c r="AN806">
        <v>0</v>
      </c>
      <c r="AO806">
        <v>1092.04</v>
      </c>
      <c r="AP806">
        <v>0</v>
      </c>
      <c r="AQ806">
        <v>2.04</v>
      </c>
      <c r="AR806">
        <v>0</v>
      </c>
      <c r="AS806">
        <v>0</v>
      </c>
      <c r="AT806">
        <v>70</v>
      </c>
      <c r="AU806">
        <v>10</v>
      </c>
      <c r="AV806">
        <v>1</v>
      </c>
      <c r="AW806">
        <v>1</v>
      </c>
      <c r="AZ806">
        <v>1</v>
      </c>
      <c r="BA806">
        <v>1</v>
      </c>
      <c r="BB806">
        <v>1</v>
      </c>
      <c r="BC806">
        <v>1</v>
      </c>
      <c r="BD806" t="s">
        <v>3</v>
      </c>
      <c r="BE806" t="s">
        <v>3</v>
      </c>
      <c r="BF806" t="s">
        <v>3</v>
      </c>
      <c r="BG806" t="s">
        <v>3</v>
      </c>
      <c r="BH806">
        <v>0</v>
      </c>
      <c r="BI806">
        <v>4</v>
      </c>
      <c r="BJ806" t="s">
        <v>629</v>
      </c>
      <c r="BM806">
        <v>0</v>
      </c>
      <c r="BN806">
        <v>0</v>
      </c>
      <c r="BO806" t="s">
        <v>3</v>
      </c>
      <c r="BP806">
        <v>0</v>
      </c>
      <c r="BQ806">
        <v>1</v>
      </c>
      <c r="BR806">
        <v>0</v>
      </c>
      <c r="BS806">
        <v>1</v>
      </c>
      <c r="BT806">
        <v>1</v>
      </c>
      <c r="BU806">
        <v>1</v>
      </c>
      <c r="BV806">
        <v>1</v>
      </c>
      <c r="BW806">
        <v>1</v>
      </c>
      <c r="BX806">
        <v>1</v>
      </c>
      <c r="BY806" t="s">
        <v>3</v>
      </c>
      <c r="BZ806">
        <v>70</v>
      </c>
      <c r="CA806">
        <v>10</v>
      </c>
      <c r="CB806" t="s">
        <v>3</v>
      </c>
      <c r="CE806">
        <v>0</v>
      </c>
      <c r="CF806">
        <v>0</v>
      </c>
      <c r="CG806">
        <v>0</v>
      </c>
      <c r="CM806">
        <v>0</v>
      </c>
      <c r="CN806" t="s">
        <v>3</v>
      </c>
      <c r="CO806">
        <v>0</v>
      </c>
      <c r="CP806">
        <f t="shared" si="778"/>
        <v>2.1800000000000002</v>
      </c>
      <c r="CQ806">
        <f t="shared" si="779"/>
        <v>0</v>
      </c>
      <c r="CR806">
        <f>((((ET806)*BB806-(EU806)*BS806)+AE806*BS806)*AV806)</f>
        <v>0</v>
      </c>
      <c r="CS806">
        <f t="shared" si="780"/>
        <v>0</v>
      </c>
      <c r="CT806">
        <f t="shared" si="781"/>
        <v>1092.04</v>
      </c>
      <c r="CU806">
        <f t="shared" si="782"/>
        <v>0</v>
      </c>
      <c r="CV806">
        <f t="shared" si="783"/>
        <v>2.04</v>
      </c>
      <c r="CW806">
        <f t="shared" si="784"/>
        <v>0</v>
      </c>
      <c r="CX806">
        <f t="shared" si="785"/>
        <v>0</v>
      </c>
      <c r="CY806">
        <f t="shared" si="786"/>
        <v>1.5260000000000002</v>
      </c>
      <c r="CZ806">
        <f t="shared" si="787"/>
        <v>0.218</v>
      </c>
      <c r="DC806" t="s">
        <v>3</v>
      </c>
      <c r="DD806" t="s">
        <v>3</v>
      </c>
      <c r="DE806" t="s">
        <v>3</v>
      </c>
      <c r="DF806" t="s">
        <v>3</v>
      </c>
      <c r="DG806" t="s">
        <v>3</v>
      </c>
      <c r="DH806" t="s">
        <v>3</v>
      </c>
      <c r="DI806" t="s">
        <v>3</v>
      </c>
      <c r="DJ806" t="s">
        <v>3</v>
      </c>
      <c r="DK806" t="s">
        <v>3</v>
      </c>
      <c r="DL806" t="s">
        <v>3</v>
      </c>
      <c r="DM806" t="s">
        <v>3</v>
      </c>
      <c r="DN806">
        <v>0</v>
      </c>
      <c r="DO806">
        <v>0</v>
      </c>
      <c r="DP806">
        <v>1</v>
      </c>
      <c r="DQ806">
        <v>1</v>
      </c>
      <c r="DU806">
        <v>1003</v>
      </c>
      <c r="DV806" t="s">
        <v>104</v>
      </c>
      <c r="DW806" t="s">
        <v>104</v>
      </c>
      <c r="DX806">
        <v>100</v>
      </c>
      <c r="DZ806" t="s">
        <v>3</v>
      </c>
      <c r="EA806" t="s">
        <v>3</v>
      </c>
      <c r="EB806" t="s">
        <v>3</v>
      </c>
      <c r="EC806" t="s">
        <v>3</v>
      </c>
      <c r="EE806">
        <v>1441815344</v>
      </c>
      <c r="EF806">
        <v>1</v>
      </c>
      <c r="EG806" t="s">
        <v>22</v>
      </c>
      <c r="EH806">
        <v>0</v>
      </c>
      <c r="EI806" t="s">
        <v>3</v>
      </c>
      <c r="EJ806">
        <v>4</v>
      </c>
      <c r="EK806">
        <v>0</v>
      </c>
      <c r="EL806" t="s">
        <v>23</v>
      </c>
      <c r="EM806" t="s">
        <v>24</v>
      </c>
      <c r="EO806" t="s">
        <v>3</v>
      </c>
      <c r="EQ806">
        <v>0</v>
      </c>
      <c r="ER806">
        <v>1092.04</v>
      </c>
      <c r="ES806">
        <v>0</v>
      </c>
      <c r="ET806">
        <v>0</v>
      </c>
      <c r="EU806">
        <v>0</v>
      </c>
      <c r="EV806">
        <v>1092.04</v>
      </c>
      <c r="EW806">
        <v>2.04</v>
      </c>
      <c r="EX806">
        <v>0</v>
      </c>
      <c r="EY806">
        <v>0</v>
      </c>
      <c r="FQ806">
        <v>0</v>
      </c>
      <c r="FR806">
        <f t="shared" si="788"/>
        <v>0</v>
      </c>
      <c r="FS806">
        <v>0</v>
      </c>
      <c r="FX806">
        <v>70</v>
      </c>
      <c r="FY806">
        <v>10</v>
      </c>
      <c r="GA806" t="s">
        <v>3</v>
      </c>
      <c r="GD806">
        <v>0</v>
      </c>
      <c r="GF806">
        <v>-969674239</v>
      </c>
      <c r="GG806">
        <v>2</v>
      </c>
      <c r="GH806">
        <v>1</v>
      </c>
      <c r="GI806">
        <v>-2</v>
      </c>
      <c r="GJ806">
        <v>0</v>
      </c>
      <c r="GK806">
        <f>ROUND(R806*(R12)/100,2)</f>
        <v>0</v>
      </c>
      <c r="GL806">
        <f t="shared" si="789"/>
        <v>0</v>
      </c>
      <c r="GM806">
        <f t="shared" si="790"/>
        <v>3.93</v>
      </c>
      <c r="GN806">
        <f t="shared" si="791"/>
        <v>0</v>
      </c>
      <c r="GO806">
        <f t="shared" si="792"/>
        <v>0</v>
      </c>
      <c r="GP806">
        <f t="shared" si="793"/>
        <v>3.93</v>
      </c>
      <c r="GR806">
        <v>0</v>
      </c>
      <c r="GS806">
        <v>3</v>
      </c>
      <c r="GT806">
        <v>0</v>
      </c>
      <c r="GU806" t="s">
        <v>3</v>
      </c>
      <c r="GV806">
        <f t="shared" si="794"/>
        <v>0</v>
      </c>
      <c r="GW806">
        <v>1</v>
      </c>
      <c r="GX806">
        <f t="shared" si="795"/>
        <v>0</v>
      </c>
      <c r="HA806">
        <v>0</v>
      </c>
      <c r="HB806">
        <v>0</v>
      </c>
      <c r="HC806">
        <f t="shared" si="796"/>
        <v>0</v>
      </c>
      <c r="HE806" t="s">
        <v>3</v>
      </c>
      <c r="HF806" t="s">
        <v>3</v>
      </c>
      <c r="HM806" t="s">
        <v>3</v>
      </c>
      <c r="HN806" t="s">
        <v>3</v>
      </c>
      <c r="HO806" t="s">
        <v>3</v>
      </c>
      <c r="HP806" t="s">
        <v>3</v>
      </c>
      <c r="HQ806" t="s">
        <v>3</v>
      </c>
      <c r="IK806">
        <v>0</v>
      </c>
    </row>
    <row r="807" spans="1:245" x14ac:dyDescent="0.2">
      <c r="A807">
        <v>17</v>
      </c>
      <c r="B807">
        <v>1</v>
      </c>
      <c r="D807">
        <f>ROW(EtalonRes!A768)</f>
        <v>768</v>
      </c>
      <c r="E807" t="s">
        <v>687</v>
      </c>
      <c r="F807" t="s">
        <v>631</v>
      </c>
      <c r="G807" t="s">
        <v>632</v>
      </c>
      <c r="H807" t="s">
        <v>20</v>
      </c>
      <c r="I807">
        <v>1</v>
      </c>
      <c r="J807">
        <v>0</v>
      </c>
      <c r="K807">
        <v>1</v>
      </c>
      <c r="O807">
        <f t="shared" si="764"/>
        <v>338.88</v>
      </c>
      <c r="P807">
        <f t="shared" si="765"/>
        <v>1.57</v>
      </c>
      <c r="Q807">
        <f t="shared" si="766"/>
        <v>0</v>
      </c>
      <c r="R807">
        <f t="shared" si="767"/>
        <v>0</v>
      </c>
      <c r="S807">
        <f t="shared" si="768"/>
        <v>337.31</v>
      </c>
      <c r="T807">
        <f t="shared" si="769"/>
        <v>0</v>
      </c>
      <c r="U807">
        <f t="shared" si="770"/>
        <v>0.6</v>
      </c>
      <c r="V807">
        <f t="shared" si="771"/>
        <v>0</v>
      </c>
      <c r="W807">
        <f t="shared" si="772"/>
        <v>0</v>
      </c>
      <c r="X807">
        <f t="shared" si="773"/>
        <v>236.12</v>
      </c>
      <c r="Y807">
        <f t="shared" si="774"/>
        <v>33.729999999999997</v>
      </c>
      <c r="AA807">
        <v>1472506909</v>
      </c>
      <c r="AB807">
        <f t="shared" si="775"/>
        <v>338.88</v>
      </c>
      <c r="AC807">
        <f>ROUND((ES807),6)</f>
        <v>1.57</v>
      </c>
      <c r="AD807">
        <f>ROUND((((ET807)-(EU807))+AE807),6)</f>
        <v>0</v>
      </c>
      <c r="AE807">
        <f>ROUND((EU807),6)</f>
        <v>0</v>
      </c>
      <c r="AF807">
        <f>ROUND((EV807),6)</f>
        <v>337.31</v>
      </c>
      <c r="AG807">
        <f t="shared" si="776"/>
        <v>0</v>
      </c>
      <c r="AH807">
        <f>(EW807)</f>
        <v>0.6</v>
      </c>
      <c r="AI807">
        <f>(EX807)</f>
        <v>0</v>
      </c>
      <c r="AJ807">
        <f t="shared" si="777"/>
        <v>0</v>
      </c>
      <c r="AK807">
        <v>338.88</v>
      </c>
      <c r="AL807">
        <v>1.57</v>
      </c>
      <c r="AM807">
        <v>0</v>
      </c>
      <c r="AN807">
        <v>0</v>
      </c>
      <c r="AO807">
        <v>337.31</v>
      </c>
      <c r="AP807">
        <v>0</v>
      </c>
      <c r="AQ807">
        <v>0.6</v>
      </c>
      <c r="AR807">
        <v>0</v>
      </c>
      <c r="AS807">
        <v>0</v>
      </c>
      <c r="AT807">
        <v>70</v>
      </c>
      <c r="AU807">
        <v>10</v>
      </c>
      <c r="AV807">
        <v>1</v>
      </c>
      <c r="AW807">
        <v>1</v>
      </c>
      <c r="AZ807">
        <v>1</v>
      </c>
      <c r="BA807">
        <v>1</v>
      </c>
      <c r="BB807">
        <v>1</v>
      </c>
      <c r="BC807">
        <v>1</v>
      </c>
      <c r="BD807" t="s">
        <v>3</v>
      </c>
      <c r="BE807" t="s">
        <v>3</v>
      </c>
      <c r="BF807" t="s">
        <v>3</v>
      </c>
      <c r="BG807" t="s">
        <v>3</v>
      </c>
      <c r="BH807">
        <v>0</v>
      </c>
      <c r="BI807">
        <v>4</v>
      </c>
      <c r="BJ807" t="s">
        <v>633</v>
      </c>
      <c r="BM807">
        <v>0</v>
      </c>
      <c r="BN807">
        <v>0</v>
      </c>
      <c r="BO807" t="s">
        <v>3</v>
      </c>
      <c r="BP807">
        <v>0</v>
      </c>
      <c r="BQ807">
        <v>1</v>
      </c>
      <c r="BR807">
        <v>0</v>
      </c>
      <c r="BS807">
        <v>1</v>
      </c>
      <c r="BT807">
        <v>1</v>
      </c>
      <c r="BU807">
        <v>1</v>
      </c>
      <c r="BV807">
        <v>1</v>
      </c>
      <c r="BW807">
        <v>1</v>
      </c>
      <c r="BX807">
        <v>1</v>
      </c>
      <c r="BY807" t="s">
        <v>3</v>
      </c>
      <c r="BZ807">
        <v>70</v>
      </c>
      <c r="CA807">
        <v>10</v>
      </c>
      <c r="CB807" t="s">
        <v>3</v>
      </c>
      <c r="CE807">
        <v>0</v>
      </c>
      <c r="CF807">
        <v>0</v>
      </c>
      <c r="CG807">
        <v>0</v>
      </c>
      <c r="CM807">
        <v>0</v>
      </c>
      <c r="CN807" t="s">
        <v>3</v>
      </c>
      <c r="CO807">
        <v>0</v>
      </c>
      <c r="CP807">
        <f t="shared" si="778"/>
        <v>338.88</v>
      </c>
      <c r="CQ807">
        <f t="shared" si="779"/>
        <v>1.57</v>
      </c>
      <c r="CR807">
        <f>((((ET807)*BB807-(EU807)*BS807)+AE807*BS807)*AV807)</f>
        <v>0</v>
      </c>
      <c r="CS807">
        <f t="shared" si="780"/>
        <v>0</v>
      </c>
      <c r="CT807">
        <f t="shared" si="781"/>
        <v>337.31</v>
      </c>
      <c r="CU807">
        <f t="shared" si="782"/>
        <v>0</v>
      </c>
      <c r="CV807">
        <f t="shared" si="783"/>
        <v>0.6</v>
      </c>
      <c r="CW807">
        <f t="shared" si="784"/>
        <v>0</v>
      </c>
      <c r="CX807">
        <f t="shared" si="785"/>
        <v>0</v>
      </c>
      <c r="CY807">
        <f t="shared" si="786"/>
        <v>236.11700000000002</v>
      </c>
      <c r="CZ807">
        <f t="shared" si="787"/>
        <v>33.731000000000002</v>
      </c>
      <c r="DC807" t="s">
        <v>3</v>
      </c>
      <c r="DD807" t="s">
        <v>3</v>
      </c>
      <c r="DE807" t="s">
        <v>3</v>
      </c>
      <c r="DF807" t="s">
        <v>3</v>
      </c>
      <c r="DG807" t="s">
        <v>3</v>
      </c>
      <c r="DH807" t="s">
        <v>3</v>
      </c>
      <c r="DI807" t="s">
        <v>3</v>
      </c>
      <c r="DJ807" t="s">
        <v>3</v>
      </c>
      <c r="DK807" t="s">
        <v>3</v>
      </c>
      <c r="DL807" t="s">
        <v>3</v>
      </c>
      <c r="DM807" t="s">
        <v>3</v>
      </c>
      <c r="DN807">
        <v>0</v>
      </c>
      <c r="DO807">
        <v>0</v>
      </c>
      <c r="DP807">
        <v>1</v>
      </c>
      <c r="DQ807">
        <v>1</v>
      </c>
      <c r="DU807">
        <v>16987630</v>
      </c>
      <c r="DV807" t="s">
        <v>20</v>
      </c>
      <c r="DW807" t="s">
        <v>20</v>
      </c>
      <c r="DX807">
        <v>1</v>
      </c>
      <c r="DZ807" t="s">
        <v>3</v>
      </c>
      <c r="EA807" t="s">
        <v>3</v>
      </c>
      <c r="EB807" t="s">
        <v>3</v>
      </c>
      <c r="EC807" t="s">
        <v>3</v>
      </c>
      <c r="EE807">
        <v>1441815344</v>
      </c>
      <c r="EF807">
        <v>1</v>
      </c>
      <c r="EG807" t="s">
        <v>22</v>
      </c>
      <c r="EH807">
        <v>0</v>
      </c>
      <c r="EI807" t="s">
        <v>3</v>
      </c>
      <c r="EJ807">
        <v>4</v>
      </c>
      <c r="EK807">
        <v>0</v>
      </c>
      <c r="EL807" t="s">
        <v>23</v>
      </c>
      <c r="EM807" t="s">
        <v>24</v>
      </c>
      <c r="EO807" t="s">
        <v>3</v>
      </c>
      <c r="EQ807">
        <v>0</v>
      </c>
      <c r="ER807">
        <v>338.88</v>
      </c>
      <c r="ES807">
        <v>1.57</v>
      </c>
      <c r="ET807">
        <v>0</v>
      </c>
      <c r="EU807">
        <v>0</v>
      </c>
      <c r="EV807">
        <v>337.31</v>
      </c>
      <c r="EW807">
        <v>0.6</v>
      </c>
      <c r="EX807">
        <v>0</v>
      </c>
      <c r="EY807">
        <v>0</v>
      </c>
      <c r="FQ807">
        <v>0</v>
      </c>
      <c r="FR807">
        <f t="shared" si="788"/>
        <v>0</v>
      </c>
      <c r="FS807">
        <v>0</v>
      </c>
      <c r="FX807">
        <v>70</v>
      </c>
      <c r="FY807">
        <v>10</v>
      </c>
      <c r="GA807" t="s">
        <v>3</v>
      </c>
      <c r="GD807">
        <v>0</v>
      </c>
      <c r="GF807">
        <v>595984218</v>
      </c>
      <c r="GG807">
        <v>2</v>
      </c>
      <c r="GH807">
        <v>1</v>
      </c>
      <c r="GI807">
        <v>-2</v>
      </c>
      <c r="GJ807">
        <v>0</v>
      </c>
      <c r="GK807">
        <f>ROUND(R807*(R12)/100,2)</f>
        <v>0</v>
      </c>
      <c r="GL807">
        <f t="shared" si="789"/>
        <v>0</v>
      </c>
      <c r="GM807">
        <f t="shared" si="790"/>
        <v>608.73</v>
      </c>
      <c r="GN807">
        <f t="shared" si="791"/>
        <v>0</v>
      </c>
      <c r="GO807">
        <f t="shared" si="792"/>
        <v>0</v>
      </c>
      <c r="GP807">
        <f t="shared" si="793"/>
        <v>608.73</v>
      </c>
      <c r="GR807">
        <v>0</v>
      </c>
      <c r="GS807">
        <v>3</v>
      </c>
      <c r="GT807">
        <v>0</v>
      </c>
      <c r="GU807" t="s">
        <v>3</v>
      </c>
      <c r="GV807">
        <f t="shared" si="794"/>
        <v>0</v>
      </c>
      <c r="GW807">
        <v>1</v>
      </c>
      <c r="GX807">
        <f t="shared" si="795"/>
        <v>0</v>
      </c>
      <c r="HA807">
        <v>0</v>
      </c>
      <c r="HB807">
        <v>0</v>
      </c>
      <c r="HC807">
        <f t="shared" si="796"/>
        <v>0</v>
      </c>
      <c r="HE807" t="s">
        <v>3</v>
      </c>
      <c r="HF807" t="s">
        <v>3</v>
      </c>
      <c r="HM807" t="s">
        <v>3</v>
      </c>
      <c r="HN807" t="s">
        <v>3</v>
      </c>
      <c r="HO807" t="s">
        <v>3</v>
      </c>
      <c r="HP807" t="s">
        <v>3</v>
      </c>
      <c r="HQ807" t="s">
        <v>3</v>
      </c>
      <c r="IK807">
        <v>0</v>
      </c>
    </row>
    <row r="808" spans="1:245" x14ac:dyDescent="0.2">
      <c r="A808">
        <v>17</v>
      </c>
      <c r="B808">
        <v>1</v>
      </c>
      <c r="D808">
        <f>ROW(EtalonRes!A769)</f>
        <v>769</v>
      </c>
      <c r="E808" t="s">
        <v>3</v>
      </c>
      <c r="F808" t="s">
        <v>634</v>
      </c>
      <c r="G808" t="s">
        <v>635</v>
      </c>
      <c r="H808" t="s">
        <v>20</v>
      </c>
      <c r="I808">
        <v>1</v>
      </c>
      <c r="J808">
        <v>0</v>
      </c>
      <c r="K808">
        <v>1</v>
      </c>
      <c r="O808">
        <f t="shared" si="764"/>
        <v>283.83999999999997</v>
      </c>
      <c r="P808">
        <f t="shared" si="765"/>
        <v>0</v>
      </c>
      <c r="Q808">
        <f t="shared" si="766"/>
        <v>0</v>
      </c>
      <c r="R808">
        <f t="shared" si="767"/>
        <v>0</v>
      </c>
      <c r="S808">
        <f t="shared" si="768"/>
        <v>283.83999999999997</v>
      </c>
      <c r="T808">
        <f t="shared" si="769"/>
        <v>0</v>
      </c>
      <c r="U808">
        <f t="shared" si="770"/>
        <v>0.56000000000000005</v>
      </c>
      <c r="V808">
        <f t="shared" si="771"/>
        <v>0</v>
      </c>
      <c r="W808">
        <f t="shared" si="772"/>
        <v>0</v>
      </c>
      <c r="X808">
        <f t="shared" si="773"/>
        <v>198.69</v>
      </c>
      <c r="Y808">
        <f t="shared" si="774"/>
        <v>28.38</v>
      </c>
      <c r="AA808">
        <v>-1</v>
      </c>
      <c r="AB808">
        <f t="shared" si="775"/>
        <v>283.83999999999997</v>
      </c>
      <c r="AC808">
        <f>ROUND(((ES808*4)),6)</f>
        <v>0</v>
      </c>
      <c r="AD808">
        <f>ROUND(((((ET808*4))-((EU808*4)))+AE808),6)</f>
        <v>0</v>
      </c>
      <c r="AE808">
        <f>ROUND(((EU808*4)),6)</f>
        <v>0</v>
      </c>
      <c r="AF808">
        <f>ROUND(((EV808*4)),6)</f>
        <v>283.83999999999997</v>
      </c>
      <c r="AG808">
        <f t="shared" si="776"/>
        <v>0</v>
      </c>
      <c r="AH808">
        <f>((EW808*4))</f>
        <v>0.56000000000000005</v>
      </c>
      <c r="AI808">
        <f>((EX808*4))</f>
        <v>0</v>
      </c>
      <c r="AJ808">
        <f t="shared" si="777"/>
        <v>0</v>
      </c>
      <c r="AK808">
        <v>70.959999999999994</v>
      </c>
      <c r="AL808">
        <v>0</v>
      </c>
      <c r="AM808">
        <v>0</v>
      </c>
      <c r="AN808">
        <v>0</v>
      </c>
      <c r="AO808">
        <v>70.959999999999994</v>
      </c>
      <c r="AP808">
        <v>0</v>
      </c>
      <c r="AQ808">
        <v>0.14000000000000001</v>
      </c>
      <c r="AR808">
        <v>0</v>
      </c>
      <c r="AS808">
        <v>0</v>
      </c>
      <c r="AT808">
        <v>70</v>
      </c>
      <c r="AU808">
        <v>10</v>
      </c>
      <c r="AV808">
        <v>1</v>
      </c>
      <c r="AW808">
        <v>1</v>
      </c>
      <c r="AZ808">
        <v>1</v>
      </c>
      <c r="BA808">
        <v>1</v>
      </c>
      <c r="BB808">
        <v>1</v>
      </c>
      <c r="BC808">
        <v>1</v>
      </c>
      <c r="BD808" t="s">
        <v>3</v>
      </c>
      <c r="BE808" t="s">
        <v>3</v>
      </c>
      <c r="BF808" t="s">
        <v>3</v>
      </c>
      <c r="BG808" t="s">
        <v>3</v>
      </c>
      <c r="BH808">
        <v>0</v>
      </c>
      <c r="BI808">
        <v>4</v>
      </c>
      <c r="BJ808" t="s">
        <v>636</v>
      </c>
      <c r="BM808">
        <v>0</v>
      </c>
      <c r="BN808">
        <v>0</v>
      </c>
      <c r="BO808" t="s">
        <v>3</v>
      </c>
      <c r="BP808">
        <v>0</v>
      </c>
      <c r="BQ808">
        <v>1</v>
      </c>
      <c r="BR808">
        <v>0</v>
      </c>
      <c r="BS808">
        <v>1</v>
      </c>
      <c r="BT808">
        <v>1</v>
      </c>
      <c r="BU808">
        <v>1</v>
      </c>
      <c r="BV808">
        <v>1</v>
      </c>
      <c r="BW808">
        <v>1</v>
      </c>
      <c r="BX808">
        <v>1</v>
      </c>
      <c r="BY808" t="s">
        <v>3</v>
      </c>
      <c r="BZ808">
        <v>70</v>
      </c>
      <c r="CA808">
        <v>10</v>
      </c>
      <c r="CB808" t="s">
        <v>3</v>
      </c>
      <c r="CE808">
        <v>0</v>
      </c>
      <c r="CF808">
        <v>0</v>
      </c>
      <c r="CG808">
        <v>0</v>
      </c>
      <c r="CM808">
        <v>0</v>
      </c>
      <c r="CN808" t="s">
        <v>3</v>
      </c>
      <c r="CO808">
        <v>0</v>
      </c>
      <c r="CP808">
        <f t="shared" si="778"/>
        <v>283.83999999999997</v>
      </c>
      <c r="CQ808">
        <f t="shared" si="779"/>
        <v>0</v>
      </c>
      <c r="CR808">
        <f>(((((ET808*4))*BB808-((EU808*4))*BS808)+AE808*BS808)*AV808)</f>
        <v>0</v>
      </c>
      <c r="CS808">
        <f t="shared" si="780"/>
        <v>0</v>
      </c>
      <c r="CT808">
        <f t="shared" si="781"/>
        <v>283.83999999999997</v>
      </c>
      <c r="CU808">
        <f t="shared" si="782"/>
        <v>0</v>
      </c>
      <c r="CV808">
        <f t="shared" si="783"/>
        <v>0.56000000000000005</v>
      </c>
      <c r="CW808">
        <f t="shared" si="784"/>
        <v>0</v>
      </c>
      <c r="CX808">
        <f t="shared" si="785"/>
        <v>0</v>
      </c>
      <c r="CY808">
        <f t="shared" si="786"/>
        <v>198.68799999999999</v>
      </c>
      <c r="CZ808">
        <f t="shared" si="787"/>
        <v>28.383999999999997</v>
      </c>
      <c r="DC808" t="s">
        <v>3</v>
      </c>
      <c r="DD808" t="s">
        <v>584</v>
      </c>
      <c r="DE808" t="s">
        <v>584</v>
      </c>
      <c r="DF808" t="s">
        <v>584</v>
      </c>
      <c r="DG808" t="s">
        <v>584</v>
      </c>
      <c r="DH808" t="s">
        <v>3</v>
      </c>
      <c r="DI808" t="s">
        <v>584</v>
      </c>
      <c r="DJ808" t="s">
        <v>584</v>
      </c>
      <c r="DK808" t="s">
        <v>3</v>
      </c>
      <c r="DL808" t="s">
        <v>3</v>
      </c>
      <c r="DM808" t="s">
        <v>3</v>
      </c>
      <c r="DN808">
        <v>0</v>
      </c>
      <c r="DO808">
        <v>0</v>
      </c>
      <c r="DP808">
        <v>1</v>
      </c>
      <c r="DQ808">
        <v>1</v>
      </c>
      <c r="DU808">
        <v>16987630</v>
      </c>
      <c r="DV808" t="s">
        <v>20</v>
      </c>
      <c r="DW808" t="s">
        <v>20</v>
      </c>
      <c r="DX808">
        <v>1</v>
      </c>
      <c r="DZ808" t="s">
        <v>3</v>
      </c>
      <c r="EA808" t="s">
        <v>3</v>
      </c>
      <c r="EB808" t="s">
        <v>3</v>
      </c>
      <c r="EC808" t="s">
        <v>3</v>
      </c>
      <c r="EE808">
        <v>1441815344</v>
      </c>
      <c r="EF808">
        <v>1</v>
      </c>
      <c r="EG808" t="s">
        <v>22</v>
      </c>
      <c r="EH808">
        <v>0</v>
      </c>
      <c r="EI808" t="s">
        <v>3</v>
      </c>
      <c r="EJ808">
        <v>4</v>
      </c>
      <c r="EK808">
        <v>0</v>
      </c>
      <c r="EL808" t="s">
        <v>23</v>
      </c>
      <c r="EM808" t="s">
        <v>24</v>
      </c>
      <c r="EO808" t="s">
        <v>3</v>
      </c>
      <c r="EQ808">
        <v>1024</v>
      </c>
      <c r="ER808">
        <v>70.959999999999994</v>
      </c>
      <c r="ES808">
        <v>0</v>
      </c>
      <c r="ET808">
        <v>0</v>
      </c>
      <c r="EU808">
        <v>0</v>
      </c>
      <c r="EV808">
        <v>70.959999999999994</v>
      </c>
      <c r="EW808">
        <v>0.14000000000000001</v>
      </c>
      <c r="EX808">
        <v>0</v>
      </c>
      <c r="EY808">
        <v>0</v>
      </c>
      <c r="FQ808">
        <v>0</v>
      </c>
      <c r="FR808">
        <f t="shared" si="788"/>
        <v>0</v>
      </c>
      <c r="FS808">
        <v>0</v>
      </c>
      <c r="FX808">
        <v>70</v>
      </c>
      <c r="FY808">
        <v>10</v>
      </c>
      <c r="GA808" t="s">
        <v>3</v>
      </c>
      <c r="GD808">
        <v>0</v>
      </c>
      <c r="GF808">
        <v>-1648066009</v>
      </c>
      <c r="GG808">
        <v>2</v>
      </c>
      <c r="GH808">
        <v>1</v>
      </c>
      <c r="GI808">
        <v>-2</v>
      </c>
      <c r="GJ808">
        <v>0</v>
      </c>
      <c r="GK808">
        <f>ROUND(R808*(R12)/100,2)</f>
        <v>0</v>
      </c>
      <c r="GL808">
        <f t="shared" si="789"/>
        <v>0</v>
      </c>
      <c r="GM808">
        <f t="shared" si="790"/>
        <v>510.91</v>
      </c>
      <c r="GN808">
        <f t="shared" si="791"/>
        <v>0</v>
      </c>
      <c r="GO808">
        <f t="shared" si="792"/>
        <v>0</v>
      </c>
      <c r="GP808">
        <f t="shared" si="793"/>
        <v>510.91</v>
      </c>
      <c r="GR808">
        <v>0</v>
      </c>
      <c r="GS808">
        <v>3</v>
      </c>
      <c r="GT808">
        <v>0</v>
      </c>
      <c r="GU808" t="s">
        <v>3</v>
      </c>
      <c r="GV808">
        <f t="shared" si="794"/>
        <v>0</v>
      </c>
      <c r="GW808">
        <v>1</v>
      </c>
      <c r="GX808">
        <f t="shared" si="795"/>
        <v>0</v>
      </c>
      <c r="HA808">
        <v>0</v>
      </c>
      <c r="HB808">
        <v>0</v>
      </c>
      <c r="HC808">
        <f t="shared" si="796"/>
        <v>0</v>
      </c>
      <c r="HE808" t="s">
        <v>3</v>
      </c>
      <c r="HF808" t="s">
        <v>3</v>
      </c>
      <c r="HM808" t="s">
        <v>3</v>
      </c>
      <c r="HN808" t="s">
        <v>3</v>
      </c>
      <c r="HO808" t="s">
        <v>3</v>
      </c>
      <c r="HP808" t="s">
        <v>3</v>
      </c>
      <c r="HQ808" t="s">
        <v>3</v>
      </c>
      <c r="IK808">
        <v>0</v>
      </c>
    </row>
    <row r="809" spans="1:245" x14ac:dyDescent="0.2">
      <c r="A809">
        <v>17</v>
      </c>
      <c r="B809">
        <v>1</v>
      </c>
      <c r="D809">
        <f>ROW(EtalonRes!A770)</f>
        <v>770</v>
      </c>
      <c r="E809" t="s">
        <v>3</v>
      </c>
      <c r="F809" t="s">
        <v>637</v>
      </c>
      <c r="G809" t="s">
        <v>638</v>
      </c>
      <c r="H809" t="s">
        <v>20</v>
      </c>
      <c r="I809">
        <v>1</v>
      </c>
      <c r="J809">
        <v>0</v>
      </c>
      <c r="K809">
        <v>1</v>
      </c>
      <c r="O809">
        <f t="shared" si="764"/>
        <v>4784.8999999999996</v>
      </c>
      <c r="P809">
        <f t="shared" si="765"/>
        <v>0</v>
      </c>
      <c r="Q809">
        <f t="shared" si="766"/>
        <v>0</v>
      </c>
      <c r="R809">
        <f t="shared" si="767"/>
        <v>0</v>
      </c>
      <c r="S809">
        <f t="shared" si="768"/>
        <v>4784.8999999999996</v>
      </c>
      <c r="T809">
        <f t="shared" si="769"/>
        <v>0</v>
      </c>
      <c r="U809">
        <f t="shared" si="770"/>
        <v>9.44</v>
      </c>
      <c r="V809">
        <f t="shared" si="771"/>
        <v>0</v>
      </c>
      <c r="W809">
        <f t="shared" si="772"/>
        <v>0</v>
      </c>
      <c r="X809">
        <f t="shared" si="773"/>
        <v>3349.43</v>
      </c>
      <c r="Y809">
        <f t="shared" si="774"/>
        <v>478.49</v>
      </c>
      <c r="AA809">
        <v>-1</v>
      </c>
      <c r="AB809">
        <f t="shared" si="775"/>
        <v>4784.8999999999996</v>
      </c>
      <c r="AC809">
        <f>ROUND(((ES809*118)),6)</f>
        <v>0</v>
      </c>
      <c r="AD809">
        <f>ROUND(((((ET809*118))-((EU809*118)))+AE809),6)</f>
        <v>0</v>
      </c>
      <c r="AE809">
        <f>ROUND(((EU809*118)),6)</f>
        <v>0</v>
      </c>
      <c r="AF809">
        <f>ROUND(((EV809*118)),6)</f>
        <v>4784.8999999999996</v>
      </c>
      <c r="AG809">
        <f t="shared" si="776"/>
        <v>0</v>
      </c>
      <c r="AH809">
        <f>((EW809*118))</f>
        <v>9.44</v>
      </c>
      <c r="AI809">
        <f>((EX809*118))</f>
        <v>0</v>
      </c>
      <c r="AJ809">
        <f t="shared" si="777"/>
        <v>0</v>
      </c>
      <c r="AK809">
        <v>40.549999999999997</v>
      </c>
      <c r="AL809">
        <v>0</v>
      </c>
      <c r="AM809">
        <v>0</v>
      </c>
      <c r="AN809">
        <v>0</v>
      </c>
      <c r="AO809">
        <v>40.549999999999997</v>
      </c>
      <c r="AP809">
        <v>0</v>
      </c>
      <c r="AQ809">
        <v>0.08</v>
      </c>
      <c r="AR809">
        <v>0</v>
      </c>
      <c r="AS809">
        <v>0</v>
      </c>
      <c r="AT809">
        <v>70</v>
      </c>
      <c r="AU809">
        <v>10</v>
      </c>
      <c r="AV809">
        <v>1</v>
      </c>
      <c r="AW809">
        <v>1</v>
      </c>
      <c r="AZ809">
        <v>1</v>
      </c>
      <c r="BA809">
        <v>1</v>
      </c>
      <c r="BB809">
        <v>1</v>
      </c>
      <c r="BC809">
        <v>1</v>
      </c>
      <c r="BD809" t="s">
        <v>3</v>
      </c>
      <c r="BE809" t="s">
        <v>3</v>
      </c>
      <c r="BF809" t="s">
        <v>3</v>
      </c>
      <c r="BG809" t="s">
        <v>3</v>
      </c>
      <c r="BH809">
        <v>0</v>
      </c>
      <c r="BI809">
        <v>4</v>
      </c>
      <c r="BJ809" t="s">
        <v>639</v>
      </c>
      <c r="BM809">
        <v>0</v>
      </c>
      <c r="BN809">
        <v>0</v>
      </c>
      <c r="BO809" t="s">
        <v>3</v>
      </c>
      <c r="BP809">
        <v>0</v>
      </c>
      <c r="BQ809">
        <v>1</v>
      </c>
      <c r="BR809">
        <v>0</v>
      </c>
      <c r="BS809">
        <v>1</v>
      </c>
      <c r="BT809">
        <v>1</v>
      </c>
      <c r="BU809">
        <v>1</v>
      </c>
      <c r="BV809">
        <v>1</v>
      </c>
      <c r="BW809">
        <v>1</v>
      </c>
      <c r="BX809">
        <v>1</v>
      </c>
      <c r="BY809" t="s">
        <v>3</v>
      </c>
      <c r="BZ809">
        <v>70</v>
      </c>
      <c r="CA809">
        <v>10</v>
      </c>
      <c r="CB809" t="s">
        <v>3</v>
      </c>
      <c r="CE809">
        <v>0</v>
      </c>
      <c r="CF809">
        <v>0</v>
      </c>
      <c r="CG809">
        <v>0</v>
      </c>
      <c r="CM809">
        <v>0</v>
      </c>
      <c r="CN809" t="s">
        <v>3</v>
      </c>
      <c r="CO809">
        <v>0</v>
      </c>
      <c r="CP809">
        <f t="shared" si="778"/>
        <v>4784.8999999999996</v>
      </c>
      <c r="CQ809">
        <f t="shared" si="779"/>
        <v>0</v>
      </c>
      <c r="CR809">
        <f>(((((ET809*118))*BB809-((EU809*118))*BS809)+AE809*BS809)*AV809)</f>
        <v>0</v>
      </c>
      <c r="CS809">
        <f t="shared" si="780"/>
        <v>0</v>
      </c>
      <c r="CT809">
        <f t="shared" si="781"/>
        <v>4784.8999999999996</v>
      </c>
      <c r="CU809">
        <f t="shared" si="782"/>
        <v>0</v>
      </c>
      <c r="CV809">
        <f t="shared" si="783"/>
        <v>9.44</v>
      </c>
      <c r="CW809">
        <f t="shared" si="784"/>
        <v>0</v>
      </c>
      <c r="CX809">
        <f t="shared" si="785"/>
        <v>0</v>
      </c>
      <c r="CY809">
        <f t="shared" si="786"/>
        <v>3349.43</v>
      </c>
      <c r="CZ809">
        <f t="shared" si="787"/>
        <v>478.49</v>
      </c>
      <c r="DC809" t="s">
        <v>3</v>
      </c>
      <c r="DD809" t="s">
        <v>640</v>
      </c>
      <c r="DE809" t="s">
        <v>640</v>
      </c>
      <c r="DF809" t="s">
        <v>640</v>
      </c>
      <c r="DG809" t="s">
        <v>640</v>
      </c>
      <c r="DH809" t="s">
        <v>3</v>
      </c>
      <c r="DI809" t="s">
        <v>640</v>
      </c>
      <c r="DJ809" t="s">
        <v>640</v>
      </c>
      <c r="DK809" t="s">
        <v>3</v>
      </c>
      <c r="DL809" t="s">
        <v>3</v>
      </c>
      <c r="DM809" t="s">
        <v>3</v>
      </c>
      <c r="DN809">
        <v>0</v>
      </c>
      <c r="DO809">
        <v>0</v>
      </c>
      <c r="DP809">
        <v>1</v>
      </c>
      <c r="DQ809">
        <v>1</v>
      </c>
      <c r="DU809">
        <v>16987630</v>
      </c>
      <c r="DV809" t="s">
        <v>20</v>
      </c>
      <c r="DW809" t="s">
        <v>20</v>
      </c>
      <c r="DX809">
        <v>1</v>
      </c>
      <c r="DZ809" t="s">
        <v>3</v>
      </c>
      <c r="EA809" t="s">
        <v>3</v>
      </c>
      <c r="EB809" t="s">
        <v>3</v>
      </c>
      <c r="EC809" t="s">
        <v>3</v>
      </c>
      <c r="EE809">
        <v>1441815344</v>
      </c>
      <c r="EF809">
        <v>1</v>
      </c>
      <c r="EG809" t="s">
        <v>22</v>
      </c>
      <c r="EH809">
        <v>0</v>
      </c>
      <c r="EI809" t="s">
        <v>3</v>
      </c>
      <c r="EJ809">
        <v>4</v>
      </c>
      <c r="EK809">
        <v>0</v>
      </c>
      <c r="EL809" t="s">
        <v>23</v>
      </c>
      <c r="EM809" t="s">
        <v>24</v>
      </c>
      <c r="EO809" t="s">
        <v>3</v>
      </c>
      <c r="EQ809">
        <v>1311744</v>
      </c>
      <c r="ER809">
        <v>40.549999999999997</v>
      </c>
      <c r="ES809">
        <v>0</v>
      </c>
      <c r="ET809">
        <v>0</v>
      </c>
      <c r="EU809">
        <v>0</v>
      </c>
      <c r="EV809">
        <v>40.549999999999997</v>
      </c>
      <c r="EW809">
        <v>0.08</v>
      </c>
      <c r="EX809">
        <v>0</v>
      </c>
      <c r="EY809">
        <v>0</v>
      </c>
      <c r="FQ809">
        <v>0</v>
      </c>
      <c r="FR809">
        <f t="shared" si="788"/>
        <v>0</v>
      </c>
      <c r="FS809">
        <v>0</v>
      </c>
      <c r="FX809">
        <v>70</v>
      </c>
      <c r="FY809">
        <v>10</v>
      </c>
      <c r="GA809" t="s">
        <v>3</v>
      </c>
      <c r="GD809">
        <v>0</v>
      </c>
      <c r="GF809">
        <v>-760003618</v>
      </c>
      <c r="GG809">
        <v>2</v>
      </c>
      <c r="GH809">
        <v>1</v>
      </c>
      <c r="GI809">
        <v>-2</v>
      </c>
      <c r="GJ809">
        <v>0</v>
      </c>
      <c r="GK809">
        <f>ROUND(R809*(R12)/100,2)</f>
        <v>0</v>
      </c>
      <c r="GL809">
        <f t="shared" si="789"/>
        <v>0</v>
      </c>
      <c r="GM809">
        <f t="shared" si="790"/>
        <v>8612.82</v>
      </c>
      <c r="GN809">
        <f t="shared" si="791"/>
        <v>0</v>
      </c>
      <c r="GO809">
        <f t="shared" si="792"/>
        <v>0</v>
      </c>
      <c r="GP809">
        <f t="shared" si="793"/>
        <v>8612.82</v>
      </c>
      <c r="GR809">
        <v>0</v>
      </c>
      <c r="GS809">
        <v>3</v>
      </c>
      <c r="GT809">
        <v>0</v>
      </c>
      <c r="GU809" t="s">
        <v>3</v>
      </c>
      <c r="GV809">
        <f t="shared" si="794"/>
        <v>0</v>
      </c>
      <c r="GW809">
        <v>1</v>
      </c>
      <c r="GX809">
        <f t="shared" si="795"/>
        <v>0</v>
      </c>
      <c r="HA809">
        <v>0</v>
      </c>
      <c r="HB809">
        <v>0</v>
      </c>
      <c r="HC809">
        <f t="shared" si="796"/>
        <v>0</v>
      </c>
      <c r="HE809" t="s">
        <v>3</v>
      </c>
      <c r="HF809" t="s">
        <v>3</v>
      </c>
      <c r="HM809" t="s">
        <v>3</v>
      </c>
      <c r="HN809" t="s">
        <v>3</v>
      </c>
      <c r="HO809" t="s">
        <v>3</v>
      </c>
      <c r="HP809" t="s">
        <v>3</v>
      </c>
      <c r="HQ809" t="s">
        <v>3</v>
      </c>
      <c r="IK809">
        <v>0</v>
      </c>
    </row>
    <row r="810" spans="1:245" x14ac:dyDescent="0.2">
      <c r="A810">
        <v>17</v>
      </c>
      <c r="B810">
        <v>1</v>
      </c>
      <c r="D810">
        <f>ROW(EtalonRes!A773)</f>
        <v>773</v>
      </c>
      <c r="E810" t="s">
        <v>688</v>
      </c>
      <c r="F810" t="s">
        <v>677</v>
      </c>
      <c r="G810" t="s">
        <v>643</v>
      </c>
      <c r="H810" t="s">
        <v>20</v>
      </c>
      <c r="I810">
        <v>1</v>
      </c>
      <c r="J810">
        <v>0</v>
      </c>
      <c r="K810">
        <v>1</v>
      </c>
      <c r="O810">
        <f t="shared" si="764"/>
        <v>150.01</v>
      </c>
      <c r="P810">
        <f t="shared" si="765"/>
        <v>0.06</v>
      </c>
      <c r="Q810">
        <f t="shared" si="766"/>
        <v>16.940000000000001</v>
      </c>
      <c r="R810">
        <f t="shared" si="767"/>
        <v>10.74</v>
      </c>
      <c r="S810">
        <f t="shared" si="768"/>
        <v>133.01</v>
      </c>
      <c r="T810">
        <f t="shared" si="769"/>
        <v>0</v>
      </c>
      <c r="U810">
        <f t="shared" si="770"/>
        <v>0.25</v>
      </c>
      <c r="V810">
        <f t="shared" si="771"/>
        <v>0</v>
      </c>
      <c r="W810">
        <f t="shared" si="772"/>
        <v>0</v>
      </c>
      <c r="X810">
        <f t="shared" si="773"/>
        <v>93.11</v>
      </c>
      <c r="Y810">
        <f t="shared" si="774"/>
        <v>13.3</v>
      </c>
      <c r="AA810">
        <v>1472506909</v>
      </c>
      <c r="AB810">
        <f t="shared" si="775"/>
        <v>150.01</v>
      </c>
      <c r="AC810">
        <f>ROUND((ES810),6)</f>
        <v>0.06</v>
      </c>
      <c r="AD810">
        <f>ROUND((((ET810)-(EU810))+AE810),6)</f>
        <v>16.940000000000001</v>
      </c>
      <c r="AE810">
        <f>ROUND((EU810),6)</f>
        <v>10.74</v>
      </c>
      <c r="AF810">
        <f>ROUND((EV810),6)</f>
        <v>133.01</v>
      </c>
      <c r="AG810">
        <f t="shared" si="776"/>
        <v>0</v>
      </c>
      <c r="AH810">
        <f>(EW810)</f>
        <v>0.25</v>
      </c>
      <c r="AI810">
        <f>(EX810)</f>
        <v>0</v>
      </c>
      <c r="AJ810">
        <f t="shared" si="777"/>
        <v>0</v>
      </c>
      <c r="AK810">
        <v>150.01</v>
      </c>
      <c r="AL810">
        <v>0.06</v>
      </c>
      <c r="AM810">
        <v>16.940000000000001</v>
      </c>
      <c r="AN810">
        <v>10.74</v>
      </c>
      <c r="AO810">
        <v>133.01</v>
      </c>
      <c r="AP810">
        <v>0</v>
      </c>
      <c r="AQ810">
        <v>0.25</v>
      </c>
      <c r="AR810">
        <v>0</v>
      </c>
      <c r="AS810">
        <v>0</v>
      </c>
      <c r="AT810">
        <v>70</v>
      </c>
      <c r="AU810">
        <v>10</v>
      </c>
      <c r="AV810">
        <v>1</v>
      </c>
      <c r="AW810">
        <v>1</v>
      </c>
      <c r="AZ810">
        <v>1</v>
      </c>
      <c r="BA810">
        <v>1</v>
      </c>
      <c r="BB810">
        <v>1</v>
      </c>
      <c r="BC810">
        <v>1</v>
      </c>
      <c r="BD810" t="s">
        <v>3</v>
      </c>
      <c r="BE810" t="s">
        <v>3</v>
      </c>
      <c r="BF810" t="s">
        <v>3</v>
      </c>
      <c r="BG810" t="s">
        <v>3</v>
      </c>
      <c r="BH810">
        <v>0</v>
      </c>
      <c r="BI810">
        <v>4</v>
      </c>
      <c r="BJ810" t="s">
        <v>679</v>
      </c>
      <c r="BM810">
        <v>0</v>
      </c>
      <c r="BN810">
        <v>0</v>
      </c>
      <c r="BO810" t="s">
        <v>3</v>
      </c>
      <c r="BP810">
        <v>0</v>
      </c>
      <c r="BQ810">
        <v>1</v>
      </c>
      <c r="BR810">
        <v>0</v>
      </c>
      <c r="BS810">
        <v>1</v>
      </c>
      <c r="BT810">
        <v>1</v>
      </c>
      <c r="BU810">
        <v>1</v>
      </c>
      <c r="BV810">
        <v>1</v>
      </c>
      <c r="BW810">
        <v>1</v>
      </c>
      <c r="BX810">
        <v>1</v>
      </c>
      <c r="BY810" t="s">
        <v>3</v>
      </c>
      <c r="BZ810">
        <v>70</v>
      </c>
      <c r="CA810">
        <v>10</v>
      </c>
      <c r="CB810" t="s">
        <v>3</v>
      </c>
      <c r="CE810">
        <v>0</v>
      </c>
      <c r="CF810">
        <v>0</v>
      </c>
      <c r="CG810">
        <v>0</v>
      </c>
      <c r="CM810">
        <v>0</v>
      </c>
      <c r="CN810" t="s">
        <v>3</v>
      </c>
      <c r="CO810">
        <v>0</v>
      </c>
      <c r="CP810">
        <f t="shared" si="778"/>
        <v>150.01</v>
      </c>
      <c r="CQ810">
        <f t="shared" si="779"/>
        <v>0.06</v>
      </c>
      <c r="CR810">
        <f>((((ET810)*BB810-(EU810)*BS810)+AE810*BS810)*AV810)</f>
        <v>16.940000000000001</v>
      </c>
      <c r="CS810">
        <f t="shared" si="780"/>
        <v>10.74</v>
      </c>
      <c r="CT810">
        <f t="shared" si="781"/>
        <v>133.01</v>
      </c>
      <c r="CU810">
        <f t="shared" si="782"/>
        <v>0</v>
      </c>
      <c r="CV810">
        <f t="shared" si="783"/>
        <v>0.25</v>
      </c>
      <c r="CW810">
        <f t="shared" si="784"/>
        <v>0</v>
      </c>
      <c r="CX810">
        <f t="shared" si="785"/>
        <v>0</v>
      </c>
      <c r="CY810">
        <f t="shared" si="786"/>
        <v>93.106999999999985</v>
      </c>
      <c r="CZ810">
        <f t="shared" si="787"/>
        <v>13.300999999999998</v>
      </c>
      <c r="DC810" t="s">
        <v>3</v>
      </c>
      <c r="DD810" t="s">
        <v>3</v>
      </c>
      <c r="DE810" t="s">
        <v>3</v>
      </c>
      <c r="DF810" t="s">
        <v>3</v>
      </c>
      <c r="DG810" t="s">
        <v>3</v>
      </c>
      <c r="DH810" t="s">
        <v>3</v>
      </c>
      <c r="DI810" t="s">
        <v>3</v>
      </c>
      <c r="DJ810" t="s">
        <v>3</v>
      </c>
      <c r="DK810" t="s">
        <v>3</v>
      </c>
      <c r="DL810" t="s">
        <v>3</v>
      </c>
      <c r="DM810" t="s">
        <v>3</v>
      </c>
      <c r="DN810">
        <v>0</v>
      </c>
      <c r="DO810">
        <v>0</v>
      </c>
      <c r="DP810">
        <v>1</v>
      </c>
      <c r="DQ810">
        <v>1</v>
      </c>
      <c r="DU810">
        <v>16987630</v>
      </c>
      <c r="DV810" t="s">
        <v>20</v>
      </c>
      <c r="DW810" t="s">
        <v>20</v>
      </c>
      <c r="DX810">
        <v>1</v>
      </c>
      <c r="DZ810" t="s">
        <v>3</v>
      </c>
      <c r="EA810" t="s">
        <v>3</v>
      </c>
      <c r="EB810" t="s">
        <v>3</v>
      </c>
      <c r="EC810" t="s">
        <v>3</v>
      </c>
      <c r="EE810">
        <v>1441815344</v>
      </c>
      <c r="EF810">
        <v>1</v>
      </c>
      <c r="EG810" t="s">
        <v>22</v>
      </c>
      <c r="EH810">
        <v>0</v>
      </c>
      <c r="EI810" t="s">
        <v>3</v>
      </c>
      <c r="EJ810">
        <v>4</v>
      </c>
      <c r="EK810">
        <v>0</v>
      </c>
      <c r="EL810" t="s">
        <v>23</v>
      </c>
      <c r="EM810" t="s">
        <v>24</v>
      </c>
      <c r="EO810" t="s">
        <v>3</v>
      </c>
      <c r="EQ810">
        <v>0</v>
      </c>
      <c r="ER810">
        <v>150.01</v>
      </c>
      <c r="ES810">
        <v>0.06</v>
      </c>
      <c r="ET810">
        <v>16.940000000000001</v>
      </c>
      <c r="EU810">
        <v>10.74</v>
      </c>
      <c r="EV810">
        <v>133.01</v>
      </c>
      <c r="EW810">
        <v>0.25</v>
      </c>
      <c r="EX810">
        <v>0</v>
      </c>
      <c r="EY810">
        <v>0</v>
      </c>
      <c r="FQ810">
        <v>0</v>
      </c>
      <c r="FR810">
        <f t="shared" si="788"/>
        <v>0</v>
      </c>
      <c r="FS810">
        <v>0</v>
      </c>
      <c r="FX810">
        <v>70</v>
      </c>
      <c r="FY810">
        <v>10</v>
      </c>
      <c r="GA810" t="s">
        <v>3</v>
      </c>
      <c r="GD810">
        <v>0</v>
      </c>
      <c r="GF810">
        <v>1068391067</v>
      </c>
      <c r="GG810">
        <v>2</v>
      </c>
      <c r="GH810">
        <v>1</v>
      </c>
      <c r="GI810">
        <v>-2</v>
      </c>
      <c r="GJ810">
        <v>0</v>
      </c>
      <c r="GK810">
        <f>ROUND(R810*(R12)/100,2)</f>
        <v>11.6</v>
      </c>
      <c r="GL810">
        <f t="shared" si="789"/>
        <v>0</v>
      </c>
      <c r="GM810">
        <f t="shared" si="790"/>
        <v>268.02</v>
      </c>
      <c r="GN810">
        <f t="shared" si="791"/>
        <v>0</v>
      </c>
      <c r="GO810">
        <f t="shared" si="792"/>
        <v>0</v>
      </c>
      <c r="GP810">
        <f t="shared" si="793"/>
        <v>268.02</v>
      </c>
      <c r="GR810">
        <v>0</v>
      </c>
      <c r="GS810">
        <v>3</v>
      </c>
      <c r="GT810">
        <v>0</v>
      </c>
      <c r="GU810" t="s">
        <v>3</v>
      </c>
      <c r="GV810">
        <f t="shared" si="794"/>
        <v>0</v>
      </c>
      <c r="GW810">
        <v>1</v>
      </c>
      <c r="GX810">
        <f t="shared" si="795"/>
        <v>0</v>
      </c>
      <c r="HA810">
        <v>0</v>
      </c>
      <c r="HB810">
        <v>0</v>
      </c>
      <c r="HC810">
        <f t="shared" si="796"/>
        <v>0</v>
      </c>
      <c r="HE810" t="s">
        <v>3</v>
      </c>
      <c r="HF810" t="s">
        <v>3</v>
      </c>
      <c r="HM810" t="s">
        <v>3</v>
      </c>
      <c r="HN810" t="s">
        <v>3</v>
      </c>
      <c r="HO810" t="s">
        <v>3</v>
      </c>
      <c r="HP810" t="s">
        <v>3</v>
      </c>
      <c r="HQ810" t="s">
        <v>3</v>
      </c>
      <c r="IK810">
        <v>0</v>
      </c>
    </row>
    <row r="811" spans="1:245" x14ac:dyDescent="0.2">
      <c r="A811">
        <v>19</v>
      </c>
      <c r="B811">
        <v>1</v>
      </c>
      <c r="F811" t="s">
        <v>3</v>
      </c>
      <c r="G811" t="s">
        <v>689</v>
      </c>
      <c r="H811" t="s">
        <v>3</v>
      </c>
      <c r="AA811">
        <v>1</v>
      </c>
      <c r="IK811">
        <v>0</v>
      </c>
    </row>
    <row r="812" spans="1:245" x14ac:dyDescent="0.2">
      <c r="A812">
        <v>17</v>
      </c>
      <c r="B812">
        <v>1</v>
      </c>
      <c r="D812">
        <f>ROW(EtalonRes!A778)</f>
        <v>778</v>
      </c>
      <c r="E812" t="s">
        <v>690</v>
      </c>
      <c r="F812" t="s">
        <v>691</v>
      </c>
      <c r="G812" t="s">
        <v>692</v>
      </c>
      <c r="H812" t="s">
        <v>20</v>
      </c>
      <c r="I812">
        <v>1</v>
      </c>
      <c r="J812">
        <v>0</v>
      </c>
      <c r="K812">
        <v>1</v>
      </c>
      <c r="O812">
        <f t="shared" ref="O812:O835" si="797">ROUND(CP812,2)</f>
        <v>1880.38</v>
      </c>
      <c r="P812">
        <f t="shared" ref="P812:P835" si="798">ROUND(CQ812*I812,2)</f>
        <v>27.91</v>
      </c>
      <c r="Q812">
        <f t="shared" ref="Q812:Q835" si="799">ROUND(CR812*I812,2)</f>
        <v>0</v>
      </c>
      <c r="R812">
        <f t="shared" ref="R812:R835" si="800">ROUND(CS812*I812,2)</f>
        <v>0</v>
      </c>
      <c r="S812">
        <f t="shared" ref="S812:S835" si="801">ROUND(CT812*I812,2)</f>
        <v>1852.47</v>
      </c>
      <c r="T812">
        <f t="shared" ref="T812:T835" si="802">ROUND(CU812*I812,2)</f>
        <v>0</v>
      </c>
      <c r="U812">
        <f t="shared" ref="U812:U835" si="803">CV812*I812</f>
        <v>3</v>
      </c>
      <c r="V812">
        <f t="shared" ref="V812:V835" si="804">CW812*I812</f>
        <v>0</v>
      </c>
      <c r="W812">
        <f t="shared" ref="W812:W835" si="805">ROUND(CX812*I812,2)</f>
        <v>0</v>
      </c>
      <c r="X812">
        <f t="shared" ref="X812:X835" si="806">ROUND(CY812,2)</f>
        <v>1296.73</v>
      </c>
      <c r="Y812">
        <f t="shared" ref="Y812:Y835" si="807">ROUND(CZ812,2)</f>
        <v>185.25</v>
      </c>
      <c r="AA812">
        <v>1472506909</v>
      </c>
      <c r="AB812">
        <f t="shared" ref="AB812:AB835" si="808">ROUND((AC812+AD812+AF812),6)</f>
        <v>1880.38</v>
      </c>
      <c r="AC812">
        <f>ROUND((ES812),6)</f>
        <v>27.91</v>
      </c>
      <c r="AD812">
        <f t="shared" ref="AD812:AD824" si="809">ROUND((((ET812)-(EU812))+AE812),6)</f>
        <v>0</v>
      </c>
      <c r="AE812">
        <f>ROUND((EU812),6)</f>
        <v>0</v>
      </c>
      <c r="AF812">
        <f>ROUND((EV812),6)</f>
        <v>1852.47</v>
      </c>
      <c r="AG812">
        <f t="shared" ref="AG812:AG835" si="810">ROUND((AP812),6)</f>
        <v>0</v>
      </c>
      <c r="AH812">
        <f>(EW812)</f>
        <v>3</v>
      </c>
      <c r="AI812">
        <f>(EX812)</f>
        <v>0</v>
      </c>
      <c r="AJ812">
        <f t="shared" ref="AJ812:AJ835" si="811">(AS812)</f>
        <v>0</v>
      </c>
      <c r="AK812">
        <v>1880.38</v>
      </c>
      <c r="AL812">
        <v>27.91</v>
      </c>
      <c r="AM812">
        <v>0</v>
      </c>
      <c r="AN812">
        <v>0</v>
      </c>
      <c r="AO812">
        <v>1852.47</v>
      </c>
      <c r="AP812">
        <v>0</v>
      </c>
      <c r="AQ812">
        <v>3</v>
      </c>
      <c r="AR812">
        <v>0</v>
      </c>
      <c r="AS812">
        <v>0</v>
      </c>
      <c r="AT812">
        <v>70</v>
      </c>
      <c r="AU812">
        <v>10</v>
      </c>
      <c r="AV812">
        <v>1</v>
      </c>
      <c r="AW812">
        <v>1</v>
      </c>
      <c r="AZ812">
        <v>1</v>
      </c>
      <c r="BA812">
        <v>1</v>
      </c>
      <c r="BB812">
        <v>1</v>
      </c>
      <c r="BC812">
        <v>1</v>
      </c>
      <c r="BD812" t="s">
        <v>3</v>
      </c>
      <c r="BE812" t="s">
        <v>3</v>
      </c>
      <c r="BF812" t="s">
        <v>3</v>
      </c>
      <c r="BG812" t="s">
        <v>3</v>
      </c>
      <c r="BH812">
        <v>0</v>
      </c>
      <c r="BI812">
        <v>4</v>
      </c>
      <c r="BJ812" t="s">
        <v>693</v>
      </c>
      <c r="BM812">
        <v>0</v>
      </c>
      <c r="BN812">
        <v>0</v>
      </c>
      <c r="BO812" t="s">
        <v>3</v>
      </c>
      <c r="BP812">
        <v>0</v>
      </c>
      <c r="BQ812">
        <v>1</v>
      </c>
      <c r="BR812">
        <v>0</v>
      </c>
      <c r="BS812">
        <v>1</v>
      </c>
      <c r="BT812">
        <v>1</v>
      </c>
      <c r="BU812">
        <v>1</v>
      </c>
      <c r="BV812">
        <v>1</v>
      </c>
      <c r="BW812">
        <v>1</v>
      </c>
      <c r="BX812">
        <v>1</v>
      </c>
      <c r="BY812" t="s">
        <v>3</v>
      </c>
      <c r="BZ812">
        <v>70</v>
      </c>
      <c r="CA812">
        <v>10</v>
      </c>
      <c r="CB812" t="s">
        <v>3</v>
      </c>
      <c r="CE812">
        <v>0</v>
      </c>
      <c r="CF812">
        <v>0</v>
      </c>
      <c r="CG812">
        <v>0</v>
      </c>
      <c r="CM812">
        <v>0</v>
      </c>
      <c r="CN812" t="s">
        <v>3</v>
      </c>
      <c r="CO812">
        <v>0</v>
      </c>
      <c r="CP812">
        <f t="shared" ref="CP812:CP835" si="812">(P812+Q812+S812)</f>
        <v>1880.38</v>
      </c>
      <c r="CQ812">
        <f t="shared" ref="CQ812:CQ835" si="813">(AC812*BC812*AW812)</f>
        <v>27.91</v>
      </c>
      <c r="CR812">
        <f t="shared" ref="CR812:CR824" si="814">((((ET812)*BB812-(EU812)*BS812)+AE812*BS812)*AV812)</f>
        <v>0</v>
      </c>
      <c r="CS812">
        <f t="shared" ref="CS812:CS835" si="815">(AE812*BS812*AV812)</f>
        <v>0</v>
      </c>
      <c r="CT812">
        <f t="shared" ref="CT812:CT835" si="816">(AF812*BA812*AV812)</f>
        <v>1852.47</v>
      </c>
      <c r="CU812">
        <f t="shared" ref="CU812:CU835" si="817">AG812</f>
        <v>0</v>
      </c>
      <c r="CV812">
        <f t="shared" ref="CV812:CV835" si="818">(AH812*AV812)</f>
        <v>3</v>
      </c>
      <c r="CW812">
        <f t="shared" ref="CW812:CW835" si="819">AI812</f>
        <v>0</v>
      </c>
      <c r="CX812">
        <f t="shared" ref="CX812:CX835" si="820">AJ812</f>
        <v>0</v>
      </c>
      <c r="CY812">
        <f t="shared" ref="CY812:CY835" si="821">((S812*BZ812)/100)</f>
        <v>1296.729</v>
      </c>
      <c r="CZ812">
        <f t="shared" ref="CZ812:CZ835" si="822">((S812*CA812)/100)</f>
        <v>185.24700000000001</v>
      </c>
      <c r="DC812" t="s">
        <v>3</v>
      </c>
      <c r="DD812" t="s">
        <v>3</v>
      </c>
      <c r="DE812" t="s">
        <v>3</v>
      </c>
      <c r="DF812" t="s">
        <v>3</v>
      </c>
      <c r="DG812" t="s">
        <v>3</v>
      </c>
      <c r="DH812" t="s">
        <v>3</v>
      </c>
      <c r="DI812" t="s">
        <v>3</v>
      </c>
      <c r="DJ812" t="s">
        <v>3</v>
      </c>
      <c r="DK812" t="s">
        <v>3</v>
      </c>
      <c r="DL812" t="s">
        <v>3</v>
      </c>
      <c r="DM812" t="s">
        <v>3</v>
      </c>
      <c r="DN812">
        <v>0</v>
      </c>
      <c r="DO812">
        <v>0</v>
      </c>
      <c r="DP812">
        <v>1</v>
      </c>
      <c r="DQ812">
        <v>1</v>
      </c>
      <c r="DU812">
        <v>16987630</v>
      </c>
      <c r="DV812" t="s">
        <v>20</v>
      </c>
      <c r="DW812" t="s">
        <v>20</v>
      </c>
      <c r="DX812">
        <v>1</v>
      </c>
      <c r="DZ812" t="s">
        <v>3</v>
      </c>
      <c r="EA812" t="s">
        <v>3</v>
      </c>
      <c r="EB812" t="s">
        <v>3</v>
      </c>
      <c r="EC812" t="s">
        <v>3</v>
      </c>
      <c r="EE812">
        <v>1441815344</v>
      </c>
      <c r="EF812">
        <v>1</v>
      </c>
      <c r="EG812" t="s">
        <v>22</v>
      </c>
      <c r="EH812">
        <v>0</v>
      </c>
      <c r="EI812" t="s">
        <v>3</v>
      </c>
      <c r="EJ812">
        <v>4</v>
      </c>
      <c r="EK812">
        <v>0</v>
      </c>
      <c r="EL812" t="s">
        <v>23</v>
      </c>
      <c r="EM812" t="s">
        <v>24</v>
      </c>
      <c r="EO812" t="s">
        <v>3</v>
      </c>
      <c r="EQ812">
        <v>0</v>
      </c>
      <c r="ER812">
        <v>1880.38</v>
      </c>
      <c r="ES812">
        <v>27.91</v>
      </c>
      <c r="ET812">
        <v>0</v>
      </c>
      <c r="EU812">
        <v>0</v>
      </c>
      <c r="EV812">
        <v>1852.47</v>
      </c>
      <c r="EW812">
        <v>3</v>
      </c>
      <c r="EX812">
        <v>0</v>
      </c>
      <c r="EY812">
        <v>0</v>
      </c>
      <c r="FQ812">
        <v>0</v>
      </c>
      <c r="FR812">
        <f t="shared" ref="FR812:FR835" si="823">ROUND(IF(BI812=3,GM812,0),2)</f>
        <v>0</v>
      </c>
      <c r="FS812">
        <v>0</v>
      </c>
      <c r="FX812">
        <v>70</v>
      </c>
      <c r="FY812">
        <v>10</v>
      </c>
      <c r="GA812" t="s">
        <v>3</v>
      </c>
      <c r="GD812">
        <v>0</v>
      </c>
      <c r="GF812">
        <v>-629584778</v>
      </c>
      <c r="GG812">
        <v>2</v>
      </c>
      <c r="GH812">
        <v>1</v>
      </c>
      <c r="GI812">
        <v>-2</v>
      </c>
      <c r="GJ812">
        <v>0</v>
      </c>
      <c r="GK812">
        <f>ROUND(R812*(R12)/100,2)</f>
        <v>0</v>
      </c>
      <c r="GL812">
        <f t="shared" ref="GL812:GL835" si="824">ROUND(IF(AND(BH812=3,BI812=3,FS812&lt;&gt;0),P812,0),2)</f>
        <v>0</v>
      </c>
      <c r="GM812">
        <f t="shared" ref="GM812:GM835" si="825">ROUND(O812+X812+Y812+GK812,2)+GX812</f>
        <v>3362.36</v>
      </c>
      <c r="GN812">
        <f t="shared" ref="GN812:GN835" si="826">IF(OR(BI812=0,BI812=1),GM812-GX812,0)</f>
        <v>0</v>
      </c>
      <c r="GO812">
        <f t="shared" ref="GO812:GO835" si="827">IF(BI812=2,GM812-GX812,0)</f>
        <v>0</v>
      </c>
      <c r="GP812">
        <f t="shared" ref="GP812:GP835" si="828">IF(BI812=4,GM812-GX812,0)</f>
        <v>3362.36</v>
      </c>
      <c r="GR812">
        <v>0</v>
      </c>
      <c r="GS812">
        <v>3</v>
      </c>
      <c r="GT812">
        <v>0</v>
      </c>
      <c r="GU812" t="s">
        <v>3</v>
      </c>
      <c r="GV812">
        <f t="shared" ref="GV812:GV835" si="829">ROUND((GT812),6)</f>
        <v>0</v>
      </c>
      <c r="GW812">
        <v>1</v>
      </c>
      <c r="GX812">
        <f t="shared" ref="GX812:GX835" si="830">ROUND(HC812*I812,2)</f>
        <v>0</v>
      </c>
      <c r="HA812">
        <v>0</v>
      </c>
      <c r="HB812">
        <v>0</v>
      </c>
      <c r="HC812">
        <f t="shared" ref="HC812:HC835" si="831">GV812*GW812</f>
        <v>0</v>
      </c>
      <c r="HE812" t="s">
        <v>3</v>
      </c>
      <c r="HF812" t="s">
        <v>3</v>
      </c>
      <c r="HM812" t="s">
        <v>3</v>
      </c>
      <c r="HN812" t="s">
        <v>3</v>
      </c>
      <c r="HO812" t="s">
        <v>3</v>
      </c>
      <c r="HP812" t="s">
        <v>3</v>
      </c>
      <c r="HQ812" t="s">
        <v>3</v>
      </c>
      <c r="IK812">
        <v>0</v>
      </c>
    </row>
    <row r="813" spans="1:245" x14ac:dyDescent="0.2">
      <c r="A813">
        <v>17</v>
      </c>
      <c r="B813">
        <v>1</v>
      </c>
      <c r="D813">
        <f>ROW(EtalonRes!A781)</f>
        <v>781</v>
      </c>
      <c r="E813" t="s">
        <v>3</v>
      </c>
      <c r="F813" t="s">
        <v>694</v>
      </c>
      <c r="G813" t="s">
        <v>695</v>
      </c>
      <c r="H813" t="s">
        <v>20</v>
      </c>
      <c r="I813">
        <v>1</v>
      </c>
      <c r="J813">
        <v>0</v>
      </c>
      <c r="K813">
        <v>1</v>
      </c>
      <c r="O813">
        <f t="shared" si="797"/>
        <v>1004.8</v>
      </c>
      <c r="P813">
        <f t="shared" si="798"/>
        <v>16.8</v>
      </c>
      <c r="Q813">
        <f t="shared" si="799"/>
        <v>0</v>
      </c>
      <c r="R813">
        <f t="shared" si="800"/>
        <v>0</v>
      </c>
      <c r="S813">
        <f t="shared" si="801"/>
        <v>988</v>
      </c>
      <c r="T813">
        <f t="shared" si="802"/>
        <v>0</v>
      </c>
      <c r="U813">
        <f t="shared" si="803"/>
        <v>1.6</v>
      </c>
      <c r="V813">
        <f t="shared" si="804"/>
        <v>0</v>
      </c>
      <c r="W813">
        <f t="shared" si="805"/>
        <v>0</v>
      </c>
      <c r="X813">
        <f t="shared" si="806"/>
        <v>691.6</v>
      </c>
      <c r="Y813">
        <f t="shared" si="807"/>
        <v>98.8</v>
      </c>
      <c r="AA813">
        <v>-1</v>
      </c>
      <c r="AB813">
        <f t="shared" si="808"/>
        <v>1004.8</v>
      </c>
      <c r="AC813">
        <f>ROUND(((ES813*16)),6)</f>
        <v>16.8</v>
      </c>
      <c r="AD813">
        <f t="shared" si="809"/>
        <v>0</v>
      </c>
      <c r="AE813">
        <f t="shared" ref="AE813:AE824" si="832">ROUND((EU813),6)</f>
        <v>0</v>
      </c>
      <c r="AF813">
        <f>ROUND(((EV813*16)),6)</f>
        <v>988</v>
      </c>
      <c r="AG813">
        <f t="shared" si="810"/>
        <v>0</v>
      </c>
      <c r="AH813">
        <f>((EW813*16))</f>
        <v>1.6</v>
      </c>
      <c r="AI813">
        <f t="shared" ref="AI813:AI824" si="833">(EX813)</f>
        <v>0</v>
      </c>
      <c r="AJ813">
        <f t="shared" si="811"/>
        <v>0</v>
      </c>
      <c r="AK813">
        <v>62.8</v>
      </c>
      <c r="AL813">
        <v>1.05</v>
      </c>
      <c r="AM813">
        <v>0</v>
      </c>
      <c r="AN813">
        <v>0</v>
      </c>
      <c r="AO813">
        <v>61.75</v>
      </c>
      <c r="AP813">
        <v>0</v>
      </c>
      <c r="AQ813">
        <v>0.1</v>
      </c>
      <c r="AR813">
        <v>0</v>
      </c>
      <c r="AS813">
        <v>0</v>
      </c>
      <c r="AT813">
        <v>70</v>
      </c>
      <c r="AU813">
        <v>10</v>
      </c>
      <c r="AV813">
        <v>1</v>
      </c>
      <c r="AW813">
        <v>1</v>
      </c>
      <c r="AZ813">
        <v>1</v>
      </c>
      <c r="BA813">
        <v>1</v>
      </c>
      <c r="BB813">
        <v>1</v>
      </c>
      <c r="BC813">
        <v>1</v>
      </c>
      <c r="BD813" t="s">
        <v>3</v>
      </c>
      <c r="BE813" t="s">
        <v>3</v>
      </c>
      <c r="BF813" t="s">
        <v>3</v>
      </c>
      <c r="BG813" t="s">
        <v>3</v>
      </c>
      <c r="BH813">
        <v>0</v>
      </c>
      <c r="BI813">
        <v>4</v>
      </c>
      <c r="BJ813" t="s">
        <v>696</v>
      </c>
      <c r="BM813">
        <v>0</v>
      </c>
      <c r="BN813">
        <v>0</v>
      </c>
      <c r="BO813" t="s">
        <v>3</v>
      </c>
      <c r="BP813">
        <v>0</v>
      </c>
      <c r="BQ813">
        <v>1</v>
      </c>
      <c r="BR813">
        <v>0</v>
      </c>
      <c r="BS813">
        <v>1</v>
      </c>
      <c r="BT813">
        <v>1</v>
      </c>
      <c r="BU813">
        <v>1</v>
      </c>
      <c r="BV813">
        <v>1</v>
      </c>
      <c r="BW813">
        <v>1</v>
      </c>
      <c r="BX813">
        <v>1</v>
      </c>
      <c r="BY813" t="s">
        <v>3</v>
      </c>
      <c r="BZ813">
        <v>70</v>
      </c>
      <c r="CA813">
        <v>10</v>
      </c>
      <c r="CB813" t="s">
        <v>3</v>
      </c>
      <c r="CE813">
        <v>0</v>
      </c>
      <c r="CF813">
        <v>0</v>
      </c>
      <c r="CG813">
        <v>0</v>
      </c>
      <c r="CM813">
        <v>0</v>
      </c>
      <c r="CN813" t="s">
        <v>3</v>
      </c>
      <c r="CO813">
        <v>0</v>
      </c>
      <c r="CP813">
        <f t="shared" si="812"/>
        <v>1004.8</v>
      </c>
      <c r="CQ813">
        <f t="shared" si="813"/>
        <v>16.8</v>
      </c>
      <c r="CR813">
        <f t="shared" si="814"/>
        <v>0</v>
      </c>
      <c r="CS813">
        <f t="shared" si="815"/>
        <v>0</v>
      </c>
      <c r="CT813">
        <f t="shared" si="816"/>
        <v>988</v>
      </c>
      <c r="CU813">
        <f t="shared" si="817"/>
        <v>0</v>
      </c>
      <c r="CV813">
        <f t="shared" si="818"/>
        <v>1.6</v>
      </c>
      <c r="CW813">
        <f t="shared" si="819"/>
        <v>0</v>
      </c>
      <c r="CX813">
        <f t="shared" si="820"/>
        <v>0</v>
      </c>
      <c r="CY813">
        <f t="shared" si="821"/>
        <v>691.6</v>
      </c>
      <c r="CZ813">
        <f t="shared" si="822"/>
        <v>98.8</v>
      </c>
      <c r="DC813" t="s">
        <v>3</v>
      </c>
      <c r="DD813" t="s">
        <v>697</v>
      </c>
      <c r="DE813" t="s">
        <v>3</v>
      </c>
      <c r="DF813" t="s">
        <v>3</v>
      </c>
      <c r="DG813" t="s">
        <v>697</v>
      </c>
      <c r="DH813" t="s">
        <v>3</v>
      </c>
      <c r="DI813" t="s">
        <v>697</v>
      </c>
      <c r="DJ813" t="s">
        <v>3</v>
      </c>
      <c r="DK813" t="s">
        <v>3</v>
      </c>
      <c r="DL813" t="s">
        <v>3</v>
      </c>
      <c r="DM813" t="s">
        <v>3</v>
      </c>
      <c r="DN813">
        <v>0</v>
      </c>
      <c r="DO813">
        <v>0</v>
      </c>
      <c r="DP813">
        <v>1</v>
      </c>
      <c r="DQ813">
        <v>1</v>
      </c>
      <c r="DU813">
        <v>16987630</v>
      </c>
      <c r="DV813" t="s">
        <v>20</v>
      </c>
      <c r="DW813" t="s">
        <v>20</v>
      </c>
      <c r="DX813">
        <v>1</v>
      </c>
      <c r="DZ813" t="s">
        <v>3</v>
      </c>
      <c r="EA813" t="s">
        <v>3</v>
      </c>
      <c r="EB813" t="s">
        <v>3</v>
      </c>
      <c r="EC813" t="s">
        <v>3</v>
      </c>
      <c r="EE813">
        <v>1441815344</v>
      </c>
      <c r="EF813">
        <v>1</v>
      </c>
      <c r="EG813" t="s">
        <v>22</v>
      </c>
      <c r="EH813">
        <v>0</v>
      </c>
      <c r="EI813" t="s">
        <v>3</v>
      </c>
      <c r="EJ813">
        <v>4</v>
      </c>
      <c r="EK813">
        <v>0</v>
      </c>
      <c r="EL813" t="s">
        <v>23</v>
      </c>
      <c r="EM813" t="s">
        <v>24</v>
      </c>
      <c r="EO813" t="s">
        <v>3</v>
      </c>
      <c r="EQ813">
        <v>1024</v>
      </c>
      <c r="ER813">
        <v>62.8</v>
      </c>
      <c r="ES813">
        <v>1.05</v>
      </c>
      <c r="ET813">
        <v>0</v>
      </c>
      <c r="EU813">
        <v>0</v>
      </c>
      <c r="EV813">
        <v>61.75</v>
      </c>
      <c r="EW813">
        <v>0.1</v>
      </c>
      <c r="EX813">
        <v>0</v>
      </c>
      <c r="EY813">
        <v>0</v>
      </c>
      <c r="FQ813">
        <v>0</v>
      </c>
      <c r="FR813">
        <f t="shared" si="823"/>
        <v>0</v>
      </c>
      <c r="FS813">
        <v>0</v>
      </c>
      <c r="FX813">
        <v>70</v>
      </c>
      <c r="FY813">
        <v>10</v>
      </c>
      <c r="GA813" t="s">
        <v>3</v>
      </c>
      <c r="GD813">
        <v>0</v>
      </c>
      <c r="GF813">
        <v>-549932540</v>
      </c>
      <c r="GG813">
        <v>2</v>
      </c>
      <c r="GH813">
        <v>1</v>
      </c>
      <c r="GI813">
        <v>-2</v>
      </c>
      <c r="GJ813">
        <v>0</v>
      </c>
      <c r="GK813">
        <f>ROUND(R813*(R12)/100,2)</f>
        <v>0</v>
      </c>
      <c r="GL813">
        <f t="shared" si="824"/>
        <v>0</v>
      </c>
      <c r="GM813">
        <f t="shared" si="825"/>
        <v>1795.2</v>
      </c>
      <c r="GN813">
        <f t="shared" si="826"/>
        <v>0</v>
      </c>
      <c r="GO813">
        <f t="shared" si="827"/>
        <v>0</v>
      </c>
      <c r="GP813">
        <f t="shared" si="828"/>
        <v>1795.2</v>
      </c>
      <c r="GR813">
        <v>0</v>
      </c>
      <c r="GS813">
        <v>3</v>
      </c>
      <c r="GT813">
        <v>0</v>
      </c>
      <c r="GU813" t="s">
        <v>3</v>
      </c>
      <c r="GV813">
        <f t="shared" si="829"/>
        <v>0</v>
      </c>
      <c r="GW813">
        <v>1</v>
      </c>
      <c r="GX813">
        <f t="shared" si="830"/>
        <v>0</v>
      </c>
      <c r="HA813">
        <v>0</v>
      </c>
      <c r="HB813">
        <v>0</v>
      </c>
      <c r="HC813">
        <f t="shared" si="831"/>
        <v>0</v>
      </c>
      <c r="HE813" t="s">
        <v>3</v>
      </c>
      <c r="HF813" t="s">
        <v>3</v>
      </c>
      <c r="HM813" t="s">
        <v>3</v>
      </c>
      <c r="HN813" t="s">
        <v>3</v>
      </c>
      <c r="HO813" t="s">
        <v>3</v>
      </c>
      <c r="HP813" t="s">
        <v>3</v>
      </c>
      <c r="HQ813" t="s">
        <v>3</v>
      </c>
      <c r="IK813">
        <v>0</v>
      </c>
    </row>
    <row r="814" spans="1:245" x14ac:dyDescent="0.2">
      <c r="A814">
        <v>17</v>
      </c>
      <c r="B814">
        <v>1</v>
      </c>
      <c r="D814">
        <f>ROW(EtalonRes!A786)</f>
        <v>786</v>
      </c>
      <c r="E814" t="s">
        <v>698</v>
      </c>
      <c r="F814" t="s">
        <v>699</v>
      </c>
      <c r="G814" t="s">
        <v>700</v>
      </c>
      <c r="H814" t="s">
        <v>20</v>
      </c>
      <c r="I814">
        <v>6</v>
      </c>
      <c r="J814">
        <v>0</v>
      </c>
      <c r="K814">
        <v>6</v>
      </c>
      <c r="O814">
        <f t="shared" si="797"/>
        <v>16924.32</v>
      </c>
      <c r="P814">
        <f t="shared" si="798"/>
        <v>252.12</v>
      </c>
      <c r="Q814">
        <f t="shared" si="799"/>
        <v>0</v>
      </c>
      <c r="R814">
        <f t="shared" si="800"/>
        <v>0</v>
      </c>
      <c r="S814">
        <f t="shared" si="801"/>
        <v>16672.2</v>
      </c>
      <c r="T814">
        <f t="shared" si="802"/>
        <v>0</v>
      </c>
      <c r="U814">
        <f t="shared" si="803"/>
        <v>27</v>
      </c>
      <c r="V814">
        <f t="shared" si="804"/>
        <v>0</v>
      </c>
      <c r="W814">
        <f t="shared" si="805"/>
        <v>0</v>
      </c>
      <c r="X814">
        <f t="shared" si="806"/>
        <v>11670.54</v>
      </c>
      <c r="Y814">
        <f t="shared" si="807"/>
        <v>1667.22</v>
      </c>
      <c r="AA814">
        <v>1472506909</v>
      </c>
      <c r="AB814">
        <f t="shared" si="808"/>
        <v>2820.72</v>
      </c>
      <c r="AC814">
        <f>ROUND((ES814),6)</f>
        <v>42.02</v>
      </c>
      <c r="AD814">
        <f t="shared" si="809"/>
        <v>0</v>
      </c>
      <c r="AE814">
        <f t="shared" si="832"/>
        <v>0</v>
      </c>
      <c r="AF814">
        <f>ROUND((EV814),6)</f>
        <v>2778.7</v>
      </c>
      <c r="AG814">
        <f t="shared" si="810"/>
        <v>0</v>
      </c>
      <c r="AH814">
        <f>(EW814)</f>
        <v>4.5</v>
      </c>
      <c r="AI814">
        <f t="shared" si="833"/>
        <v>0</v>
      </c>
      <c r="AJ814">
        <f t="shared" si="811"/>
        <v>0</v>
      </c>
      <c r="AK814">
        <v>2820.72</v>
      </c>
      <c r="AL814">
        <v>42.02</v>
      </c>
      <c r="AM814">
        <v>0</v>
      </c>
      <c r="AN814">
        <v>0</v>
      </c>
      <c r="AO814">
        <v>2778.7</v>
      </c>
      <c r="AP814">
        <v>0</v>
      </c>
      <c r="AQ814">
        <v>4.5</v>
      </c>
      <c r="AR814">
        <v>0</v>
      </c>
      <c r="AS814">
        <v>0</v>
      </c>
      <c r="AT814">
        <v>70</v>
      </c>
      <c r="AU814">
        <v>10</v>
      </c>
      <c r="AV814">
        <v>1</v>
      </c>
      <c r="AW814">
        <v>1</v>
      </c>
      <c r="AZ814">
        <v>1</v>
      </c>
      <c r="BA814">
        <v>1</v>
      </c>
      <c r="BB814">
        <v>1</v>
      </c>
      <c r="BC814">
        <v>1</v>
      </c>
      <c r="BD814" t="s">
        <v>3</v>
      </c>
      <c r="BE814" t="s">
        <v>3</v>
      </c>
      <c r="BF814" t="s">
        <v>3</v>
      </c>
      <c r="BG814" t="s">
        <v>3</v>
      </c>
      <c r="BH814">
        <v>0</v>
      </c>
      <c r="BI814">
        <v>4</v>
      </c>
      <c r="BJ814" t="s">
        <v>701</v>
      </c>
      <c r="BM814">
        <v>0</v>
      </c>
      <c r="BN814">
        <v>0</v>
      </c>
      <c r="BO814" t="s">
        <v>3</v>
      </c>
      <c r="BP814">
        <v>0</v>
      </c>
      <c r="BQ814">
        <v>1</v>
      </c>
      <c r="BR814">
        <v>0</v>
      </c>
      <c r="BS814">
        <v>1</v>
      </c>
      <c r="BT814">
        <v>1</v>
      </c>
      <c r="BU814">
        <v>1</v>
      </c>
      <c r="BV814">
        <v>1</v>
      </c>
      <c r="BW814">
        <v>1</v>
      </c>
      <c r="BX814">
        <v>1</v>
      </c>
      <c r="BY814" t="s">
        <v>3</v>
      </c>
      <c r="BZ814">
        <v>70</v>
      </c>
      <c r="CA814">
        <v>10</v>
      </c>
      <c r="CB814" t="s">
        <v>3</v>
      </c>
      <c r="CE814">
        <v>0</v>
      </c>
      <c r="CF814">
        <v>0</v>
      </c>
      <c r="CG814">
        <v>0</v>
      </c>
      <c r="CM814">
        <v>0</v>
      </c>
      <c r="CN814" t="s">
        <v>3</v>
      </c>
      <c r="CO814">
        <v>0</v>
      </c>
      <c r="CP814">
        <f t="shared" si="812"/>
        <v>16924.32</v>
      </c>
      <c r="CQ814">
        <f t="shared" si="813"/>
        <v>42.02</v>
      </c>
      <c r="CR814">
        <f t="shared" si="814"/>
        <v>0</v>
      </c>
      <c r="CS814">
        <f t="shared" si="815"/>
        <v>0</v>
      </c>
      <c r="CT814">
        <f t="shared" si="816"/>
        <v>2778.7</v>
      </c>
      <c r="CU814">
        <f t="shared" si="817"/>
        <v>0</v>
      </c>
      <c r="CV814">
        <f t="shared" si="818"/>
        <v>4.5</v>
      </c>
      <c r="CW814">
        <f t="shared" si="819"/>
        <v>0</v>
      </c>
      <c r="CX814">
        <f t="shared" si="820"/>
        <v>0</v>
      </c>
      <c r="CY814">
        <f t="shared" si="821"/>
        <v>11670.54</v>
      </c>
      <c r="CZ814">
        <f t="shared" si="822"/>
        <v>1667.22</v>
      </c>
      <c r="DC814" t="s">
        <v>3</v>
      </c>
      <c r="DD814" t="s">
        <v>3</v>
      </c>
      <c r="DE814" t="s">
        <v>3</v>
      </c>
      <c r="DF814" t="s">
        <v>3</v>
      </c>
      <c r="DG814" t="s">
        <v>3</v>
      </c>
      <c r="DH814" t="s">
        <v>3</v>
      </c>
      <c r="DI814" t="s">
        <v>3</v>
      </c>
      <c r="DJ814" t="s">
        <v>3</v>
      </c>
      <c r="DK814" t="s">
        <v>3</v>
      </c>
      <c r="DL814" t="s">
        <v>3</v>
      </c>
      <c r="DM814" t="s">
        <v>3</v>
      </c>
      <c r="DN814">
        <v>0</v>
      </c>
      <c r="DO814">
        <v>0</v>
      </c>
      <c r="DP814">
        <v>1</v>
      </c>
      <c r="DQ814">
        <v>1</v>
      </c>
      <c r="DU814">
        <v>16987630</v>
      </c>
      <c r="DV814" t="s">
        <v>20</v>
      </c>
      <c r="DW814" t="s">
        <v>20</v>
      </c>
      <c r="DX814">
        <v>1</v>
      </c>
      <c r="DZ814" t="s">
        <v>3</v>
      </c>
      <c r="EA814" t="s">
        <v>3</v>
      </c>
      <c r="EB814" t="s">
        <v>3</v>
      </c>
      <c r="EC814" t="s">
        <v>3</v>
      </c>
      <c r="EE814">
        <v>1441815344</v>
      </c>
      <c r="EF814">
        <v>1</v>
      </c>
      <c r="EG814" t="s">
        <v>22</v>
      </c>
      <c r="EH814">
        <v>0</v>
      </c>
      <c r="EI814" t="s">
        <v>3</v>
      </c>
      <c r="EJ814">
        <v>4</v>
      </c>
      <c r="EK814">
        <v>0</v>
      </c>
      <c r="EL814" t="s">
        <v>23</v>
      </c>
      <c r="EM814" t="s">
        <v>24</v>
      </c>
      <c r="EO814" t="s">
        <v>3</v>
      </c>
      <c r="EQ814">
        <v>0</v>
      </c>
      <c r="ER814">
        <v>2820.72</v>
      </c>
      <c r="ES814">
        <v>42.02</v>
      </c>
      <c r="ET814">
        <v>0</v>
      </c>
      <c r="EU814">
        <v>0</v>
      </c>
      <c r="EV814">
        <v>2778.7</v>
      </c>
      <c r="EW814">
        <v>4.5</v>
      </c>
      <c r="EX814">
        <v>0</v>
      </c>
      <c r="EY814">
        <v>0</v>
      </c>
      <c r="FQ814">
        <v>0</v>
      </c>
      <c r="FR814">
        <f t="shared" si="823"/>
        <v>0</v>
      </c>
      <c r="FS814">
        <v>0</v>
      </c>
      <c r="FX814">
        <v>70</v>
      </c>
      <c r="FY814">
        <v>10</v>
      </c>
      <c r="GA814" t="s">
        <v>3</v>
      </c>
      <c r="GD814">
        <v>0</v>
      </c>
      <c r="GF814">
        <v>-1055279037</v>
      </c>
      <c r="GG814">
        <v>2</v>
      </c>
      <c r="GH814">
        <v>1</v>
      </c>
      <c r="GI814">
        <v>-2</v>
      </c>
      <c r="GJ814">
        <v>0</v>
      </c>
      <c r="GK814">
        <f>ROUND(R814*(R12)/100,2)</f>
        <v>0</v>
      </c>
      <c r="GL814">
        <f t="shared" si="824"/>
        <v>0</v>
      </c>
      <c r="GM814">
        <f t="shared" si="825"/>
        <v>30262.080000000002</v>
      </c>
      <c r="GN814">
        <f t="shared" si="826"/>
        <v>0</v>
      </c>
      <c r="GO814">
        <f t="shared" si="827"/>
        <v>0</v>
      </c>
      <c r="GP814">
        <f t="shared" si="828"/>
        <v>30262.080000000002</v>
      </c>
      <c r="GR814">
        <v>0</v>
      </c>
      <c r="GS814">
        <v>3</v>
      </c>
      <c r="GT814">
        <v>0</v>
      </c>
      <c r="GU814" t="s">
        <v>3</v>
      </c>
      <c r="GV814">
        <f t="shared" si="829"/>
        <v>0</v>
      </c>
      <c r="GW814">
        <v>1</v>
      </c>
      <c r="GX814">
        <f t="shared" si="830"/>
        <v>0</v>
      </c>
      <c r="HA814">
        <v>0</v>
      </c>
      <c r="HB814">
        <v>0</v>
      </c>
      <c r="HC814">
        <f t="shared" si="831"/>
        <v>0</v>
      </c>
      <c r="HE814" t="s">
        <v>3</v>
      </c>
      <c r="HF814" t="s">
        <v>3</v>
      </c>
      <c r="HM814" t="s">
        <v>3</v>
      </c>
      <c r="HN814" t="s">
        <v>3</v>
      </c>
      <c r="HO814" t="s">
        <v>3</v>
      </c>
      <c r="HP814" t="s">
        <v>3</v>
      </c>
      <c r="HQ814" t="s">
        <v>3</v>
      </c>
      <c r="IK814">
        <v>0</v>
      </c>
    </row>
    <row r="815" spans="1:245" x14ac:dyDescent="0.2">
      <c r="A815">
        <v>17</v>
      </c>
      <c r="B815">
        <v>1</v>
      </c>
      <c r="D815">
        <f>ROW(EtalonRes!A789)</f>
        <v>789</v>
      </c>
      <c r="E815" t="s">
        <v>3</v>
      </c>
      <c r="F815" t="s">
        <v>702</v>
      </c>
      <c r="G815" t="s">
        <v>703</v>
      </c>
      <c r="H815" t="s">
        <v>20</v>
      </c>
      <c r="I815">
        <v>6</v>
      </c>
      <c r="J815">
        <v>0</v>
      </c>
      <c r="K815">
        <v>6</v>
      </c>
      <c r="O815">
        <f t="shared" si="797"/>
        <v>8992.32</v>
      </c>
      <c r="P815">
        <f t="shared" si="798"/>
        <v>100.8</v>
      </c>
      <c r="Q815">
        <f t="shared" si="799"/>
        <v>0</v>
      </c>
      <c r="R815">
        <f t="shared" si="800"/>
        <v>0</v>
      </c>
      <c r="S815">
        <f t="shared" si="801"/>
        <v>8891.52</v>
      </c>
      <c r="T815">
        <f t="shared" si="802"/>
        <v>0</v>
      </c>
      <c r="U815">
        <f t="shared" si="803"/>
        <v>14.399999999999999</v>
      </c>
      <c r="V815">
        <f t="shared" si="804"/>
        <v>0</v>
      </c>
      <c r="W815">
        <f t="shared" si="805"/>
        <v>0</v>
      </c>
      <c r="X815">
        <f t="shared" si="806"/>
        <v>6224.06</v>
      </c>
      <c r="Y815">
        <f t="shared" si="807"/>
        <v>889.15</v>
      </c>
      <c r="AA815">
        <v>-1</v>
      </c>
      <c r="AB815">
        <f t="shared" si="808"/>
        <v>1498.72</v>
      </c>
      <c r="AC815">
        <f>ROUND(((ES815*16)),6)</f>
        <v>16.8</v>
      </c>
      <c r="AD815">
        <f t="shared" si="809"/>
        <v>0</v>
      </c>
      <c r="AE815">
        <f t="shared" si="832"/>
        <v>0</v>
      </c>
      <c r="AF815">
        <f>ROUND(((EV815*16)),6)</f>
        <v>1481.92</v>
      </c>
      <c r="AG815">
        <f t="shared" si="810"/>
        <v>0</v>
      </c>
      <c r="AH815">
        <f>((EW815*16))</f>
        <v>2.4</v>
      </c>
      <c r="AI815">
        <f t="shared" si="833"/>
        <v>0</v>
      </c>
      <c r="AJ815">
        <f t="shared" si="811"/>
        <v>0</v>
      </c>
      <c r="AK815">
        <v>93.67</v>
      </c>
      <c r="AL815">
        <v>1.05</v>
      </c>
      <c r="AM815">
        <v>0</v>
      </c>
      <c r="AN815">
        <v>0</v>
      </c>
      <c r="AO815">
        <v>92.62</v>
      </c>
      <c r="AP815">
        <v>0</v>
      </c>
      <c r="AQ815">
        <v>0.15</v>
      </c>
      <c r="AR815">
        <v>0</v>
      </c>
      <c r="AS815">
        <v>0</v>
      </c>
      <c r="AT815">
        <v>70</v>
      </c>
      <c r="AU815">
        <v>10</v>
      </c>
      <c r="AV815">
        <v>1</v>
      </c>
      <c r="AW815">
        <v>1</v>
      </c>
      <c r="AZ815">
        <v>1</v>
      </c>
      <c r="BA815">
        <v>1</v>
      </c>
      <c r="BB815">
        <v>1</v>
      </c>
      <c r="BC815">
        <v>1</v>
      </c>
      <c r="BD815" t="s">
        <v>3</v>
      </c>
      <c r="BE815" t="s">
        <v>3</v>
      </c>
      <c r="BF815" t="s">
        <v>3</v>
      </c>
      <c r="BG815" t="s">
        <v>3</v>
      </c>
      <c r="BH815">
        <v>0</v>
      </c>
      <c r="BI815">
        <v>4</v>
      </c>
      <c r="BJ815" t="s">
        <v>704</v>
      </c>
      <c r="BM815">
        <v>0</v>
      </c>
      <c r="BN815">
        <v>0</v>
      </c>
      <c r="BO815" t="s">
        <v>3</v>
      </c>
      <c r="BP815">
        <v>0</v>
      </c>
      <c r="BQ815">
        <v>1</v>
      </c>
      <c r="BR815">
        <v>0</v>
      </c>
      <c r="BS815">
        <v>1</v>
      </c>
      <c r="BT815">
        <v>1</v>
      </c>
      <c r="BU815">
        <v>1</v>
      </c>
      <c r="BV815">
        <v>1</v>
      </c>
      <c r="BW815">
        <v>1</v>
      </c>
      <c r="BX815">
        <v>1</v>
      </c>
      <c r="BY815" t="s">
        <v>3</v>
      </c>
      <c r="BZ815">
        <v>70</v>
      </c>
      <c r="CA815">
        <v>10</v>
      </c>
      <c r="CB815" t="s">
        <v>3</v>
      </c>
      <c r="CE815">
        <v>0</v>
      </c>
      <c r="CF815">
        <v>0</v>
      </c>
      <c r="CG815">
        <v>0</v>
      </c>
      <c r="CM815">
        <v>0</v>
      </c>
      <c r="CN815" t="s">
        <v>3</v>
      </c>
      <c r="CO815">
        <v>0</v>
      </c>
      <c r="CP815">
        <f t="shared" si="812"/>
        <v>8992.32</v>
      </c>
      <c r="CQ815">
        <f t="shared" si="813"/>
        <v>16.8</v>
      </c>
      <c r="CR815">
        <f t="shared" si="814"/>
        <v>0</v>
      </c>
      <c r="CS815">
        <f t="shared" si="815"/>
        <v>0</v>
      </c>
      <c r="CT815">
        <f t="shared" si="816"/>
        <v>1481.92</v>
      </c>
      <c r="CU815">
        <f t="shared" si="817"/>
        <v>0</v>
      </c>
      <c r="CV815">
        <f t="shared" si="818"/>
        <v>2.4</v>
      </c>
      <c r="CW815">
        <f t="shared" si="819"/>
        <v>0</v>
      </c>
      <c r="CX815">
        <f t="shared" si="820"/>
        <v>0</v>
      </c>
      <c r="CY815">
        <f t="shared" si="821"/>
        <v>6224.0640000000003</v>
      </c>
      <c r="CZ815">
        <f t="shared" si="822"/>
        <v>889.15200000000016</v>
      </c>
      <c r="DC815" t="s">
        <v>3</v>
      </c>
      <c r="DD815" t="s">
        <v>697</v>
      </c>
      <c r="DE815" t="s">
        <v>3</v>
      </c>
      <c r="DF815" t="s">
        <v>3</v>
      </c>
      <c r="DG815" t="s">
        <v>697</v>
      </c>
      <c r="DH815" t="s">
        <v>3</v>
      </c>
      <c r="DI815" t="s">
        <v>697</v>
      </c>
      <c r="DJ815" t="s">
        <v>3</v>
      </c>
      <c r="DK815" t="s">
        <v>3</v>
      </c>
      <c r="DL815" t="s">
        <v>3</v>
      </c>
      <c r="DM815" t="s">
        <v>3</v>
      </c>
      <c r="DN815">
        <v>0</v>
      </c>
      <c r="DO815">
        <v>0</v>
      </c>
      <c r="DP815">
        <v>1</v>
      </c>
      <c r="DQ815">
        <v>1</v>
      </c>
      <c r="DU815">
        <v>16987630</v>
      </c>
      <c r="DV815" t="s">
        <v>20</v>
      </c>
      <c r="DW815" t="s">
        <v>20</v>
      </c>
      <c r="DX815">
        <v>1</v>
      </c>
      <c r="DZ815" t="s">
        <v>3</v>
      </c>
      <c r="EA815" t="s">
        <v>3</v>
      </c>
      <c r="EB815" t="s">
        <v>3</v>
      </c>
      <c r="EC815" t="s">
        <v>3</v>
      </c>
      <c r="EE815">
        <v>1441815344</v>
      </c>
      <c r="EF815">
        <v>1</v>
      </c>
      <c r="EG815" t="s">
        <v>22</v>
      </c>
      <c r="EH815">
        <v>0</v>
      </c>
      <c r="EI815" t="s">
        <v>3</v>
      </c>
      <c r="EJ815">
        <v>4</v>
      </c>
      <c r="EK815">
        <v>0</v>
      </c>
      <c r="EL815" t="s">
        <v>23</v>
      </c>
      <c r="EM815" t="s">
        <v>24</v>
      </c>
      <c r="EO815" t="s">
        <v>3</v>
      </c>
      <c r="EQ815">
        <v>1024</v>
      </c>
      <c r="ER815">
        <v>93.67</v>
      </c>
      <c r="ES815">
        <v>1.05</v>
      </c>
      <c r="ET815">
        <v>0</v>
      </c>
      <c r="EU815">
        <v>0</v>
      </c>
      <c r="EV815">
        <v>92.62</v>
      </c>
      <c r="EW815">
        <v>0.15</v>
      </c>
      <c r="EX815">
        <v>0</v>
      </c>
      <c r="EY815">
        <v>0</v>
      </c>
      <c r="FQ815">
        <v>0</v>
      </c>
      <c r="FR815">
        <f t="shared" si="823"/>
        <v>0</v>
      </c>
      <c r="FS815">
        <v>0</v>
      </c>
      <c r="FX815">
        <v>70</v>
      </c>
      <c r="FY815">
        <v>10</v>
      </c>
      <c r="GA815" t="s">
        <v>3</v>
      </c>
      <c r="GD815">
        <v>0</v>
      </c>
      <c r="GF815">
        <v>-866149042</v>
      </c>
      <c r="GG815">
        <v>2</v>
      </c>
      <c r="GH815">
        <v>1</v>
      </c>
      <c r="GI815">
        <v>-2</v>
      </c>
      <c r="GJ815">
        <v>0</v>
      </c>
      <c r="GK815">
        <f>ROUND(R815*(R12)/100,2)</f>
        <v>0</v>
      </c>
      <c r="GL815">
        <f t="shared" si="824"/>
        <v>0</v>
      </c>
      <c r="GM815">
        <f t="shared" si="825"/>
        <v>16105.53</v>
      </c>
      <c r="GN815">
        <f t="shared" si="826"/>
        <v>0</v>
      </c>
      <c r="GO815">
        <f t="shared" si="827"/>
        <v>0</v>
      </c>
      <c r="GP815">
        <f t="shared" si="828"/>
        <v>16105.53</v>
      </c>
      <c r="GR815">
        <v>0</v>
      </c>
      <c r="GS815">
        <v>3</v>
      </c>
      <c r="GT815">
        <v>0</v>
      </c>
      <c r="GU815" t="s">
        <v>3</v>
      </c>
      <c r="GV815">
        <f t="shared" si="829"/>
        <v>0</v>
      </c>
      <c r="GW815">
        <v>1</v>
      </c>
      <c r="GX815">
        <f t="shared" si="830"/>
        <v>0</v>
      </c>
      <c r="HA815">
        <v>0</v>
      </c>
      <c r="HB815">
        <v>0</v>
      </c>
      <c r="HC815">
        <f t="shared" si="831"/>
        <v>0</v>
      </c>
      <c r="HE815" t="s">
        <v>3</v>
      </c>
      <c r="HF815" t="s">
        <v>3</v>
      </c>
      <c r="HM815" t="s">
        <v>3</v>
      </c>
      <c r="HN815" t="s">
        <v>3</v>
      </c>
      <c r="HO815" t="s">
        <v>3</v>
      </c>
      <c r="HP815" t="s">
        <v>3</v>
      </c>
      <c r="HQ815" t="s">
        <v>3</v>
      </c>
      <c r="IK815">
        <v>0</v>
      </c>
    </row>
    <row r="816" spans="1:245" x14ac:dyDescent="0.2">
      <c r="A816">
        <v>17</v>
      </c>
      <c r="B816">
        <v>1</v>
      </c>
      <c r="D816">
        <f>ROW(EtalonRes!A794)</f>
        <v>794</v>
      </c>
      <c r="E816" t="s">
        <v>705</v>
      </c>
      <c r="F816" t="s">
        <v>706</v>
      </c>
      <c r="G816" t="s">
        <v>707</v>
      </c>
      <c r="H816" t="s">
        <v>20</v>
      </c>
      <c r="I816">
        <v>8</v>
      </c>
      <c r="J816">
        <v>0</v>
      </c>
      <c r="K816">
        <v>8</v>
      </c>
      <c r="O816">
        <f t="shared" si="797"/>
        <v>30080.080000000002</v>
      </c>
      <c r="P816">
        <f t="shared" si="798"/>
        <v>440.56</v>
      </c>
      <c r="Q816">
        <f t="shared" si="799"/>
        <v>0</v>
      </c>
      <c r="R816">
        <f t="shared" si="800"/>
        <v>0</v>
      </c>
      <c r="S816">
        <f t="shared" si="801"/>
        <v>29639.52</v>
      </c>
      <c r="T816">
        <f t="shared" si="802"/>
        <v>0</v>
      </c>
      <c r="U816">
        <f t="shared" si="803"/>
        <v>48</v>
      </c>
      <c r="V816">
        <f t="shared" si="804"/>
        <v>0</v>
      </c>
      <c r="W816">
        <f t="shared" si="805"/>
        <v>0</v>
      </c>
      <c r="X816">
        <f t="shared" si="806"/>
        <v>20747.66</v>
      </c>
      <c r="Y816">
        <f t="shared" si="807"/>
        <v>2963.95</v>
      </c>
      <c r="AA816">
        <v>1472506909</v>
      </c>
      <c r="AB816">
        <f t="shared" si="808"/>
        <v>3760.01</v>
      </c>
      <c r="AC816">
        <f>ROUND((ES816),6)</f>
        <v>55.07</v>
      </c>
      <c r="AD816">
        <f t="shared" si="809"/>
        <v>0</v>
      </c>
      <c r="AE816">
        <f t="shared" si="832"/>
        <v>0</v>
      </c>
      <c r="AF816">
        <f>ROUND((EV816),6)</f>
        <v>3704.94</v>
      </c>
      <c r="AG816">
        <f t="shared" si="810"/>
        <v>0</v>
      </c>
      <c r="AH816">
        <f>(EW816)</f>
        <v>6</v>
      </c>
      <c r="AI816">
        <f t="shared" si="833"/>
        <v>0</v>
      </c>
      <c r="AJ816">
        <f t="shared" si="811"/>
        <v>0</v>
      </c>
      <c r="AK816">
        <v>3760.01</v>
      </c>
      <c r="AL816">
        <v>55.07</v>
      </c>
      <c r="AM816">
        <v>0</v>
      </c>
      <c r="AN816">
        <v>0</v>
      </c>
      <c r="AO816">
        <v>3704.94</v>
      </c>
      <c r="AP816">
        <v>0</v>
      </c>
      <c r="AQ816">
        <v>6</v>
      </c>
      <c r="AR816">
        <v>0</v>
      </c>
      <c r="AS816">
        <v>0</v>
      </c>
      <c r="AT816">
        <v>70</v>
      </c>
      <c r="AU816">
        <v>10</v>
      </c>
      <c r="AV816">
        <v>1</v>
      </c>
      <c r="AW816">
        <v>1</v>
      </c>
      <c r="AZ816">
        <v>1</v>
      </c>
      <c r="BA816">
        <v>1</v>
      </c>
      <c r="BB816">
        <v>1</v>
      </c>
      <c r="BC816">
        <v>1</v>
      </c>
      <c r="BD816" t="s">
        <v>3</v>
      </c>
      <c r="BE816" t="s">
        <v>3</v>
      </c>
      <c r="BF816" t="s">
        <v>3</v>
      </c>
      <c r="BG816" t="s">
        <v>3</v>
      </c>
      <c r="BH816">
        <v>0</v>
      </c>
      <c r="BI816">
        <v>4</v>
      </c>
      <c r="BJ816" t="s">
        <v>708</v>
      </c>
      <c r="BM816">
        <v>0</v>
      </c>
      <c r="BN816">
        <v>0</v>
      </c>
      <c r="BO816" t="s">
        <v>3</v>
      </c>
      <c r="BP816">
        <v>0</v>
      </c>
      <c r="BQ816">
        <v>1</v>
      </c>
      <c r="BR816">
        <v>0</v>
      </c>
      <c r="BS816">
        <v>1</v>
      </c>
      <c r="BT816">
        <v>1</v>
      </c>
      <c r="BU816">
        <v>1</v>
      </c>
      <c r="BV816">
        <v>1</v>
      </c>
      <c r="BW816">
        <v>1</v>
      </c>
      <c r="BX816">
        <v>1</v>
      </c>
      <c r="BY816" t="s">
        <v>3</v>
      </c>
      <c r="BZ816">
        <v>70</v>
      </c>
      <c r="CA816">
        <v>10</v>
      </c>
      <c r="CB816" t="s">
        <v>3</v>
      </c>
      <c r="CE816">
        <v>0</v>
      </c>
      <c r="CF816">
        <v>0</v>
      </c>
      <c r="CG816">
        <v>0</v>
      </c>
      <c r="CM816">
        <v>0</v>
      </c>
      <c r="CN816" t="s">
        <v>3</v>
      </c>
      <c r="CO816">
        <v>0</v>
      </c>
      <c r="CP816">
        <f t="shared" si="812"/>
        <v>30080.080000000002</v>
      </c>
      <c r="CQ816">
        <f t="shared" si="813"/>
        <v>55.07</v>
      </c>
      <c r="CR816">
        <f t="shared" si="814"/>
        <v>0</v>
      </c>
      <c r="CS816">
        <f t="shared" si="815"/>
        <v>0</v>
      </c>
      <c r="CT816">
        <f t="shared" si="816"/>
        <v>3704.94</v>
      </c>
      <c r="CU816">
        <f t="shared" si="817"/>
        <v>0</v>
      </c>
      <c r="CV816">
        <f t="shared" si="818"/>
        <v>6</v>
      </c>
      <c r="CW816">
        <f t="shared" si="819"/>
        <v>0</v>
      </c>
      <c r="CX816">
        <f t="shared" si="820"/>
        <v>0</v>
      </c>
      <c r="CY816">
        <f t="shared" si="821"/>
        <v>20747.664000000001</v>
      </c>
      <c r="CZ816">
        <f t="shared" si="822"/>
        <v>2963.9520000000002</v>
      </c>
      <c r="DC816" t="s">
        <v>3</v>
      </c>
      <c r="DD816" t="s">
        <v>3</v>
      </c>
      <c r="DE816" t="s">
        <v>3</v>
      </c>
      <c r="DF816" t="s">
        <v>3</v>
      </c>
      <c r="DG816" t="s">
        <v>3</v>
      </c>
      <c r="DH816" t="s">
        <v>3</v>
      </c>
      <c r="DI816" t="s">
        <v>3</v>
      </c>
      <c r="DJ816" t="s">
        <v>3</v>
      </c>
      <c r="DK816" t="s">
        <v>3</v>
      </c>
      <c r="DL816" t="s">
        <v>3</v>
      </c>
      <c r="DM816" t="s">
        <v>3</v>
      </c>
      <c r="DN816">
        <v>0</v>
      </c>
      <c r="DO816">
        <v>0</v>
      </c>
      <c r="DP816">
        <v>1</v>
      </c>
      <c r="DQ816">
        <v>1</v>
      </c>
      <c r="DU816">
        <v>16987630</v>
      </c>
      <c r="DV816" t="s">
        <v>20</v>
      </c>
      <c r="DW816" t="s">
        <v>20</v>
      </c>
      <c r="DX816">
        <v>1</v>
      </c>
      <c r="DZ816" t="s">
        <v>3</v>
      </c>
      <c r="EA816" t="s">
        <v>3</v>
      </c>
      <c r="EB816" t="s">
        <v>3</v>
      </c>
      <c r="EC816" t="s">
        <v>3</v>
      </c>
      <c r="EE816">
        <v>1441815344</v>
      </c>
      <c r="EF816">
        <v>1</v>
      </c>
      <c r="EG816" t="s">
        <v>22</v>
      </c>
      <c r="EH816">
        <v>0</v>
      </c>
      <c r="EI816" t="s">
        <v>3</v>
      </c>
      <c r="EJ816">
        <v>4</v>
      </c>
      <c r="EK816">
        <v>0</v>
      </c>
      <c r="EL816" t="s">
        <v>23</v>
      </c>
      <c r="EM816" t="s">
        <v>24</v>
      </c>
      <c r="EO816" t="s">
        <v>3</v>
      </c>
      <c r="EQ816">
        <v>0</v>
      </c>
      <c r="ER816">
        <v>3760.01</v>
      </c>
      <c r="ES816">
        <v>55.07</v>
      </c>
      <c r="ET816">
        <v>0</v>
      </c>
      <c r="EU816">
        <v>0</v>
      </c>
      <c r="EV816">
        <v>3704.94</v>
      </c>
      <c r="EW816">
        <v>6</v>
      </c>
      <c r="EX816">
        <v>0</v>
      </c>
      <c r="EY816">
        <v>0</v>
      </c>
      <c r="FQ816">
        <v>0</v>
      </c>
      <c r="FR816">
        <f t="shared" si="823"/>
        <v>0</v>
      </c>
      <c r="FS816">
        <v>0</v>
      </c>
      <c r="FX816">
        <v>70</v>
      </c>
      <c r="FY816">
        <v>10</v>
      </c>
      <c r="GA816" t="s">
        <v>3</v>
      </c>
      <c r="GD816">
        <v>0</v>
      </c>
      <c r="GF816">
        <v>-39301724</v>
      </c>
      <c r="GG816">
        <v>2</v>
      </c>
      <c r="GH816">
        <v>1</v>
      </c>
      <c r="GI816">
        <v>-2</v>
      </c>
      <c r="GJ816">
        <v>0</v>
      </c>
      <c r="GK816">
        <f>ROUND(R816*(R12)/100,2)</f>
        <v>0</v>
      </c>
      <c r="GL816">
        <f t="shared" si="824"/>
        <v>0</v>
      </c>
      <c r="GM816">
        <f t="shared" si="825"/>
        <v>53791.69</v>
      </c>
      <c r="GN816">
        <f t="shared" si="826"/>
        <v>0</v>
      </c>
      <c r="GO816">
        <f t="shared" si="827"/>
        <v>0</v>
      </c>
      <c r="GP816">
        <f t="shared" si="828"/>
        <v>53791.69</v>
      </c>
      <c r="GR816">
        <v>0</v>
      </c>
      <c r="GS816">
        <v>3</v>
      </c>
      <c r="GT816">
        <v>0</v>
      </c>
      <c r="GU816" t="s">
        <v>3</v>
      </c>
      <c r="GV816">
        <f t="shared" si="829"/>
        <v>0</v>
      </c>
      <c r="GW816">
        <v>1</v>
      </c>
      <c r="GX816">
        <f t="shared" si="830"/>
        <v>0</v>
      </c>
      <c r="HA816">
        <v>0</v>
      </c>
      <c r="HB816">
        <v>0</v>
      </c>
      <c r="HC816">
        <f t="shared" si="831"/>
        <v>0</v>
      </c>
      <c r="HE816" t="s">
        <v>3</v>
      </c>
      <c r="HF816" t="s">
        <v>3</v>
      </c>
      <c r="HM816" t="s">
        <v>3</v>
      </c>
      <c r="HN816" t="s">
        <v>3</v>
      </c>
      <c r="HO816" t="s">
        <v>3</v>
      </c>
      <c r="HP816" t="s">
        <v>3</v>
      </c>
      <c r="HQ816" t="s">
        <v>3</v>
      </c>
      <c r="IK816">
        <v>0</v>
      </c>
    </row>
    <row r="817" spans="1:245" x14ac:dyDescent="0.2">
      <c r="A817">
        <v>17</v>
      </c>
      <c r="B817">
        <v>1</v>
      </c>
      <c r="D817">
        <f>ROW(EtalonRes!A797)</f>
        <v>797</v>
      </c>
      <c r="E817" t="s">
        <v>3</v>
      </c>
      <c r="F817" t="s">
        <v>709</v>
      </c>
      <c r="G817" t="s">
        <v>710</v>
      </c>
      <c r="H817" t="s">
        <v>20</v>
      </c>
      <c r="I817">
        <v>8</v>
      </c>
      <c r="J817">
        <v>0</v>
      </c>
      <c r="K817">
        <v>8</v>
      </c>
      <c r="O817">
        <f t="shared" si="797"/>
        <v>15942.4</v>
      </c>
      <c r="P817">
        <f t="shared" si="798"/>
        <v>134.4</v>
      </c>
      <c r="Q817">
        <f t="shared" si="799"/>
        <v>0</v>
      </c>
      <c r="R817">
        <f t="shared" si="800"/>
        <v>0</v>
      </c>
      <c r="S817">
        <f t="shared" si="801"/>
        <v>15808</v>
      </c>
      <c r="T817">
        <f t="shared" si="802"/>
        <v>0</v>
      </c>
      <c r="U817">
        <f t="shared" si="803"/>
        <v>25.6</v>
      </c>
      <c r="V817">
        <f t="shared" si="804"/>
        <v>0</v>
      </c>
      <c r="W817">
        <f t="shared" si="805"/>
        <v>0</v>
      </c>
      <c r="X817">
        <f t="shared" si="806"/>
        <v>11065.6</v>
      </c>
      <c r="Y817">
        <f t="shared" si="807"/>
        <v>1580.8</v>
      </c>
      <c r="AA817">
        <v>-1</v>
      </c>
      <c r="AB817">
        <f t="shared" si="808"/>
        <v>1992.8</v>
      </c>
      <c r="AC817">
        <f>ROUND(((ES817*16)),6)</f>
        <v>16.8</v>
      </c>
      <c r="AD817">
        <f t="shared" si="809"/>
        <v>0</v>
      </c>
      <c r="AE817">
        <f t="shared" si="832"/>
        <v>0</v>
      </c>
      <c r="AF817">
        <f>ROUND(((EV817*16)),6)</f>
        <v>1976</v>
      </c>
      <c r="AG817">
        <f t="shared" si="810"/>
        <v>0</v>
      </c>
      <c r="AH817">
        <f>((EW817*16))</f>
        <v>3.2</v>
      </c>
      <c r="AI817">
        <f t="shared" si="833"/>
        <v>0</v>
      </c>
      <c r="AJ817">
        <f t="shared" si="811"/>
        <v>0</v>
      </c>
      <c r="AK817">
        <v>124.55</v>
      </c>
      <c r="AL817">
        <v>1.05</v>
      </c>
      <c r="AM817">
        <v>0</v>
      </c>
      <c r="AN817">
        <v>0</v>
      </c>
      <c r="AO817">
        <v>123.5</v>
      </c>
      <c r="AP817">
        <v>0</v>
      </c>
      <c r="AQ817">
        <v>0.2</v>
      </c>
      <c r="AR817">
        <v>0</v>
      </c>
      <c r="AS817">
        <v>0</v>
      </c>
      <c r="AT817">
        <v>70</v>
      </c>
      <c r="AU817">
        <v>10</v>
      </c>
      <c r="AV817">
        <v>1</v>
      </c>
      <c r="AW817">
        <v>1</v>
      </c>
      <c r="AZ817">
        <v>1</v>
      </c>
      <c r="BA817">
        <v>1</v>
      </c>
      <c r="BB817">
        <v>1</v>
      </c>
      <c r="BC817">
        <v>1</v>
      </c>
      <c r="BD817" t="s">
        <v>3</v>
      </c>
      <c r="BE817" t="s">
        <v>3</v>
      </c>
      <c r="BF817" t="s">
        <v>3</v>
      </c>
      <c r="BG817" t="s">
        <v>3</v>
      </c>
      <c r="BH817">
        <v>0</v>
      </c>
      <c r="BI817">
        <v>4</v>
      </c>
      <c r="BJ817" t="s">
        <v>711</v>
      </c>
      <c r="BM817">
        <v>0</v>
      </c>
      <c r="BN817">
        <v>0</v>
      </c>
      <c r="BO817" t="s">
        <v>3</v>
      </c>
      <c r="BP817">
        <v>0</v>
      </c>
      <c r="BQ817">
        <v>1</v>
      </c>
      <c r="BR817">
        <v>0</v>
      </c>
      <c r="BS817">
        <v>1</v>
      </c>
      <c r="BT817">
        <v>1</v>
      </c>
      <c r="BU817">
        <v>1</v>
      </c>
      <c r="BV817">
        <v>1</v>
      </c>
      <c r="BW817">
        <v>1</v>
      </c>
      <c r="BX817">
        <v>1</v>
      </c>
      <c r="BY817" t="s">
        <v>3</v>
      </c>
      <c r="BZ817">
        <v>70</v>
      </c>
      <c r="CA817">
        <v>10</v>
      </c>
      <c r="CB817" t="s">
        <v>3</v>
      </c>
      <c r="CE817">
        <v>0</v>
      </c>
      <c r="CF817">
        <v>0</v>
      </c>
      <c r="CG817">
        <v>0</v>
      </c>
      <c r="CM817">
        <v>0</v>
      </c>
      <c r="CN817" t="s">
        <v>3</v>
      </c>
      <c r="CO817">
        <v>0</v>
      </c>
      <c r="CP817">
        <f t="shared" si="812"/>
        <v>15942.4</v>
      </c>
      <c r="CQ817">
        <f t="shared" si="813"/>
        <v>16.8</v>
      </c>
      <c r="CR817">
        <f t="shared" si="814"/>
        <v>0</v>
      </c>
      <c r="CS817">
        <f t="shared" si="815"/>
        <v>0</v>
      </c>
      <c r="CT817">
        <f t="shared" si="816"/>
        <v>1976</v>
      </c>
      <c r="CU817">
        <f t="shared" si="817"/>
        <v>0</v>
      </c>
      <c r="CV817">
        <f t="shared" si="818"/>
        <v>3.2</v>
      </c>
      <c r="CW817">
        <f t="shared" si="819"/>
        <v>0</v>
      </c>
      <c r="CX817">
        <f t="shared" si="820"/>
        <v>0</v>
      </c>
      <c r="CY817">
        <f t="shared" si="821"/>
        <v>11065.6</v>
      </c>
      <c r="CZ817">
        <f t="shared" si="822"/>
        <v>1580.8</v>
      </c>
      <c r="DC817" t="s">
        <v>3</v>
      </c>
      <c r="DD817" t="s">
        <v>697</v>
      </c>
      <c r="DE817" t="s">
        <v>3</v>
      </c>
      <c r="DF817" t="s">
        <v>3</v>
      </c>
      <c r="DG817" t="s">
        <v>697</v>
      </c>
      <c r="DH817" t="s">
        <v>3</v>
      </c>
      <c r="DI817" t="s">
        <v>697</v>
      </c>
      <c r="DJ817" t="s">
        <v>3</v>
      </c>
      <c r="DK817" t="s">
        <v>3</v>
      </c>
      <c r="DL817" t="s">
        <v>3</v>
      </c>
      <c r="DM817" t="s">
        <v>3</v>
      </c>
      <c r="DN817">
        <v>0</v>
      </c>
      <c r="DO817">
        <v>0</v>
      </c>
      <c r="DP817">
        <v>1</v>
      </c>
      <c r="DQ817">
        <v>1</v>
      </c>
      <c r="DU817">
        <v>16987630</v>
      </c>
      <c r="DV817" t="s">
        <v>20</v>
      </c>
      <c r="DW817" t="s">
        <v>20</v>
      </c>
      <c r="DX817">
        <v>1</v>
      </c>
      <c r="DZ817" t="s">
        <v>3</v>
      </c>
      <c r="EA817" t="s">
        <v>3</v>
      </c>
      <c r="EB817" t="s">
        <v>3</v>
      </c>
      <c r="EC817" t="s">
        <v>3</v>
      </c>
      <c r="EE817">
        <v>1441815344</v>
      </c>
      <c r="EF817">
        <v>1</v>
      </c>
      <c r="EG817" t="s">
        <v>22</v>
      </c>
      <c r="EH817">
        <v>0</v>
      </c>
      <c r="EI817" t="s">
        <v>3</v>
      </c>
      <c r="EJ817">
        <v>4</v>
      </c>
      <c r="EK817">
        <v>0</v>
      </c>
      <c r="EL817" t="s">
        <v>23</v>
      </c>
      <c r="EM817" t="s">
        <v>24</v>
      </c>
      <c r="EO817" t="s">
        <v>3</v>
      </c>
      <c r="EQ817">
        <v>1024</v>
      </c>
      <c r="ER817">
        <v>124.55</v>
      </c>
      <c r="ES817">
        <v>1.05</v>
      </c>
      <c r="ET817">
        <v>0</v>
      </c>
      <c r="EU817">
        <v>0</v>
      </c>
      <c r="EV817">
        <v>123.5</v>
      </c>
      <c r="EW817">
        <v>0.2</v>
      </c>
      <c r="EX817">
        <v>0</v>
      </c>
      <c r="EY817">
        <v>0</v>
      </c>
      <c r="FQ817">
        <v>0</v>
      </c>
      <c r="FR817">
        <f t="shared" si="823"/>
        <v>0</v>
      </c>
      <c r="FS817">
        <v>0</v>
      </c>
      <c r="FX817">
        <v>70</v>
      </c>
      <c r="FY817">
        <v>10</v>
      </c>
      <c r="GA817" t="s">
        <v>3</v>
      </c>
      <c r="GD817">
        <v>0</v>
      </c>
      <c r="GF817">
        <v>905480896</v>
      </c>
      <c r="GG817">
        <v>2</v>
      </c>
      <c r="GH817">
        <v>1</v>
      </c>
      <c r="GI817">
        <v>-2</v>
      </c>
      <c r="GJ817">
        <v>0</v>
      </c>
      <c r="GK817">
        <f>ROUND(R817*(R12)/100,2)</f>
        <v>0</v>
      </c>
      <c r="GL817">
        <f t="shared" si="824"/>
        <v>0</v>
      </c>
      <c r="GM817">
        <f t="shared" si="825"/>
        <v>28588.799999999999</v>
      </c>
      <c r="GN817">
        <f t="shared" si="826"/>
        <v>0</v>
      </c>
      <c r="GO817">
        <f t="shared" si="827"/>
        <v>0</v>
      </c>
      <c r="GP817">
        <f t="shared" si="828"/>
        <v>28588.799999999999</v>
      </c>
      <c r="GR817">
        <v>0</v>
      </c>
      <c r="GS817">
        <v>3</v>
      </c>
      <c r="GT817">
        <v>0</v>
      </c>
      <c r="GU817" t="s">
        <v>3</v>
      </c>
      <c r="GV817">
        <f t="shared" si="829"/>
        <v>0</v>
      </c>
      <c r="GW817">
        <v>1</v>
      </c>
      <c r="GX817">
        <f t="shared" si="830"/>
        <v>0</v>
      </c>
      <c r="HA817">
        <v>0</v>
      </c>
      <c r="HB817">
        <v>0</v>
      </c>
      <c r="HC817">
        <f t="shared" si="831"/>
        <v>0</v>
      </c>
      <c r="HE817" t="s">
        <v>3</v>
      </c>
      <c r="HF817" t="s">
        <v>3</v>
      </c>
      <c r="HM817" t="s">
        <v>3</v>
      </c>
      <c r="HN817" t="s">
        <v>3</v>
      </c>
      <c r="HO817" t="s">
        <v>3</v>
      </c>
      <c r="HP817" t="s">
        <v>3</v>
      </c>
      <c r="HQ817" t="s">
        <v>3</v>
      </c>
      <c r="IK817">
        <v>0</v>
      </c>
    </row>
    <row r="818" spans="1:245" x14ac:dyDescent="0.2">
      <c r="A818">
        <v>17</v>
      </c>
      <c r="B818">
        <v>1</v>
      </c>
      <c r="D818">
        <f>ROW(EtalonRes!A802)</f>
        <v>802</v>
      </c>
      <c r="E818" t="s">
        <v>712</v>
      </c>
      <c r="F818" t="s">
        <v>713</v>
      </c>
      <c r="G818" t="s">
        <v>714</v>
      </c>
      <c r="H818" t="s">
        <v>20</v>
      </c>
      <c r="I818">
        <v>2</v>
      </c>
      <c r="J818">
        <v>0</v>
      </c>
      <c r="K818">
        <v>2</v>
      </c>
      <c r="O818">
        <f t="shared" si="797"/>
        <v>9400.7199999999993</v>
      </c>
      <c r="P818">
        <f t="shared" si="798"/>
        <v>138.38</v>
      </c>
      <c r="Q818">
        <f t="shared" si="799"/>
        <v>0</v>
      </c>
      <c r="R818">
        <f t="shared" si="800"/>
        <v>0</v>
      </c>
      <c r="S818">
        <f t="shared" si="801"/>
        <v>9262.34</v>
      </c>
      <c r="T818">
        <f t="shared" si="802"/>
        <v>0</v>
      </c>
      <c r="U818">
        <f t="shared" si="803"/>
        <v>15</v>
      </c>
      <c r="V818">
        <f t="shared" si="804"/>
        <v>0</v>
      </c>
      <c r="W818">
        <f t="shared" si="805"/>
        <v>0</v>
      </c>
      <c r="X818">
        <f t="shared" si="806"/>
        <v>6483.64</v>
      </c>
      <c r="Y818">
        <f t="shared" si="807"/>
        <v>926.23</v>
      </c>
      <c r="AA818">
        <v>1472506909</v>
      </c>
      <c r="AB818">
        <f t="shared" si="808"/>
        <v>4700.3599999999997</v>
      </c>
      <c r="AC818">
        <f>ROUND((ES818),6)</f>
        <v>69.19</v>
      </c>
      <c r="AD818">
        <f t="shared" si="809"/>
        <v>0</v>
      </c>
      <c r="AE818">
        <f t="shared" si="832"/>
        <v>0</v>
      </c>
      <c r="AF818">
        <f>ROUND((EV818),6)</f>
        <v>4631.17</v>
      </c>
      <c r="AG818">
        <f t="shared" si="810"/>
        <v>0</v>
      </c>
      <c r="AH818">
        <f>(EW818)</f>
        <v>7.5</v>
      </c>
      <c r="AI818">
        <f t="shared" si="833"/>
        <v>0</v>
      </c>
      <c r="AJ818">
        <f t="shared" si="811"/>
        <v>0</v>
      </c>
      <c r="AK818">
        <v>4700.3599999999997</v>
      </c>
      <c r="AL818">
        <v>69.19</v>
      </c>
      <c r="AM818">
        <v>0</v>
      </c>
      <c r="AN818">
        <v>0</v>
      </c>
      <c r="AO818">
        <v>4631.17</v>
      </c>
      <c r="AP818">
        <v>0</v>
      </c>
      <c r="AQ818">
        <v>7.5</v>
      </c>
      <c r="AR818">
        <v>0</v>
      </c>
      <c r="AS818">
        <v>0</v>
      </c>
      <c r="AT818">
        <v>70</v>
      </c>
      <c r="AU818">
        <v>10</v>
      </c>
      <c r="AV818">
        <v>1</v>
      </c>
      <c r="AW818">
        <v>1</v>
      </c>
      <c r="AZ818">
        <v>1</v>
      </c>
      <c r="BA818">
        <v>1</v>
      </c>
      <c r="BB818">
        <v>1</v>
      </c>
      <c r="BC818">
        <v>1</v>
      </c>
      <c r="BD818" t="s">
        <v>3</v>
      </c>
      <c r="BE818" t="s">
        <v>3</v>
      </c>
      <c r="BF818" t="s">
        <v>3</v>
      </c>
      <c r="BG818" t="s">
        <v>3</v>
      </c>
      <c r="BH818">
        <v>0</v>
      </c>
      <c r="BI818">
        <v>4</v>
      </c>
      <c r="BJ818" t="s">
        <v>715</v>
      </c>
      <c r="BM818">
        <v>0</v>
      </c>
      <c r="BN818">
        <v>0</v>
      </c>
      <c r="BO818" t="s">
        <v>3</v>
      </c>
      <c r="BP818">
        <v>0</v>
      </c>
      <c r="BQ818">
        <v>1</v>
      </c>
      <c r="BR818">
        <v>0</v>
      </c>
      <c r="BS818">
        <v>1</v>
      </c>
      <c r="BT818">
        <v>1</v>
      </c>
      <c r="BU818">
        <v>1</v>
      </c>
      <c r="BV818">
        <v>1</v>
      </c>
      <c r="BW818">
        <v>1</v>
      </c>
      <c r="BX818">
        <v>1</v>
      </c>
      <c r="BY818" t="s">
        <v>3</v>
      </c>
      <c r="BZ818">
        <v>70</v>
      </c>
      <c r="CA818">
        <v>10</v>
      </c>
      <c r="CB818" t="s">
        <v>3</v>
      </c>
      <c r="CE818">
        <v>0</v>
      </c>
      <c r="CF818">
        <v>0</v>
      </c>
      <c r="CG818">
        <v>0</v>
      </c>
      <c r="CM818">
        <v>0</v>
      </c>
      <c r="CN818" t="s">
        <v>3</v>
      </c>
      <c r="CO818">
        <v>0</v>
      </c>
      <c r="CP818">
        <f t="shared" si="812"/>
        <v>9400.7199999999993</v>
      </c>
      <c r="CQ818">
        <f t="shared" si="813"/>
        <v>69.19</v>
      </c>
      <c r="CR818">
        <f t="shared" si="814"/>
        <v>0</v>
      </c>
      <c r="CS818">
        <f t="shared" si="815"/>
        <v>0</v>
      </c>
      <c r="CT818">
        <f t="shared" si="816"/>
        <v>4631.17</v>
      </c>
      <c r="CU818">
        <f t="shared" si="817"/>
        <v>0</v>
      </c>
      <c r="CV818">
        <f t="shared" si="818"/>
        <v>7.5</v>
      </c>
      <c r="CW818">
        <f t="shared" si="819"/>
        <v>0</v>
      </c>
      <c r="CX818">
        <f t="shared" si="820"/>
        <v>0</v>
      </c>
      <c r="CY818">
        <f t="shared" si="821"/>
        <v>6483.6380000000008</v>
      </c>
      <c r="CZ818">
        <f t="shared" si="822"/>
        <v>926.23399999999992</v>
      </c>
      <c r="DC818" t="s">
        <v>3</v>
      </c>
      <c r="DD818" t="s">
        <v>3</v>
      </c>
      <c r="DE818" t="s">
        <v>3</v>
      </c>
      <c r="DF818" t="s">
        <v>3</v>
      </c>
      <c r="DG818" t="s">
        <v>3</v>
      </c>
      <c r="DH818" t="s">
        <v>3</v>
      </c>
      <c r="DI818" t="s">
        <v>3</v>
      </c>
      <c r="DJ818" t="s">
        <v>3</v>
      </c>
      <c r="DK818" t="s">
        <v>3</v>
      </c>
      <c r="DL818" t="s">
        <v>3</v>
      </c>
      <c r="DM818" t="s">
        <v>3</v>
      </c>
      <c r="DN818">
        <v>0</v>
      </c>
      <c r="DO818">
        <v>0</v>
      </c>
      <c r="DP818">
        <v>1</v>
      </c>
      <c r="DQ818">
        <v>1</v>
      </c>
      <c r="DU818">
        <v>16987630</v>
      </c>
      <c r="DV818" t="s">
        <v>20</v>
      </c>
      <c r="DW818" t="s">
        <v>20</v>
      </c>
      <c r="DX818">
        <v>1</v>
      </c>
      <c r="DZ818" t="s">
        <v>3</v>
      </c>
      <c r="EA818" t="s">
        <v>3</v>
      </c>
      <c r="EB818" t="s">
        <v>3</v>
      </c>
      <c r="EC818" t="s">
        <v>3</v>
      </c>
      <c r="EE818">
        <v>1441815344</v>
      </c>
      <c r="EF818">
        <v>1</v>
      </c>
      <c r="EG818" t="s">
        <v>22</v>
      </c>
      <c r="EH818">
        <v>0</v>
      </c>
      <c r="EI818" t="s">
        <v>3</v>
      </c>
      <c r="EJ818">
        <v>4</v>
      </c>
      <c r="EK818">
        <v>0</v>
      </c>
      <c r="EL818" t="s">
        <v>23</v>
      </c>
      <c r="EM818" t="s">
        <v>24</v>
      </c>
      <c r="EO818" t="s">
        <v>3</v>
      </c>
      <c r="EQ818">
        <v>0</v>
      </c>
      <c r="ER818">
        <v>4700.3599999999997</v>
      </c>
      <c r="ES818">
        <v>69.19</v>
      </c>
      <c r="ET818">
        <v>0</v>
      </c>
      <c r="EU818">
        <v>0</v>
      </c>
      <c r="EV818">
        <v>4631.17</v>
      </c>
      <c r="EW818">
        <v>7.5</v>
      </c>
      <c r="EX818">
        <v>0</v>
      </c>
      <c r="EY818">
        <v>0</v>
      </c>
      <c r="FQ818">
        <v>0</v>
      </c>
      <c r="FR818">
        <f t="shared" si="823"/>
        <v>0</v>
      </c>
      <c r="FS818">
        <v>0</v>
      </c>
      <c r="FX818">
        <v>70</v>
      </c>
      <c r="FY818">
        <v>10</v>
      </c>
      <c r="GA818" t="s">
        <v>3</v>
      </c>
      <c r="GD818">
        <v>0</v>
      </c>
      <c r="GF818">
        <v>-1768490937</v>
      </c>
      <c r="GG818">
        <v>2</v>
      </c>
      <c r="GH818">
        <v>1</v>
      </c>
      <c r="GI818">
        <v>-2</v>
      </c>
      <c r="GJ818">
        <v>0</v>
      </c>
      <c r="GK818">
        <f>ROUND(R818*(R12)/100,2)</f>
        <v>0</v>
      </c>
      <c r="GL818">
        <f t="shared" si="824"/>
        <v>0</v>
      </c>
      <c r="GM818">
        <f t="shared" si="825"/>
        <v>16810.59</v>
      </c>
      <c r="GN818">
        <f t="shared" si="826"/>
        <v>0</v>
      </c>
      <c r="GO818">
        <f t="shared" si="827"/>
        <v>0</v>
      </c>
      <c r="GP818">
        <f t="shared" si="828"/>
        <v>16810.59</v>
      </c>
      <c r="GR818">
        <v>0</v>
      </c>
      <c r="GS818">
        <v>3</v>
      </c>
      <c r="GT818">
        <v>0</v>
      </c>
      <c r="GU818" t="s">
        <v>3</v>
      </c>
      <c r="GV818">
        <f t="shared" si="829"/>
        <v>0</v>
      </c>
      <c r="GW818">
        <v>1</v>
      </c>
      <c r="GX818">
        <f t="shared" si="830"/>
        <v>0</v>
      </c>
      <c r="HA818">
        <v>0</v>
      </c>
      <c r="HB818">
        <v>0</v>
      </c>
      <c r="HC818">
        <f t="shared" si="831"/>
        <v>0</v>
      </c>
      <c r="HE818" t="s">
        <v>3</v>
      </c>
      <c r="HF818" t="s">
        <v>3</v>
      </c>
      <c r="HM818" t="s">
        <v>3</v>
      </c>
      <c r="HN818" t="s">
        <v>3</v>
      </c>
      <c r="HO818" t="s">
        <v>3</v>
      </c>
      <c r="HP818" t="s">
        <v>3</v>
      </c>
      <c r="HQ818" t="s">
        <v>3</v>
      </c>
      <c r="IK818">
        <v>0</v>
      </c>
    </row>
    <row r="819" spans="1:245" x14ac:dyDescent="0.2">
      <c r="A819">
        <v>17</v>
      </c>
      <c r="B819">
        <v>1</v>
      </c>
      <c r="D819">
        <f>ROW(EtalonRes!A805)</f>
        <v>805</v>
      </c>
      <c r="E819" t="s">
        <v>3</v>
      </c>
      <c r="F819" t="s">
        <v>716</v>
      </c>
      <c r="G819" t="s">
        <v>717</v>
      </c>
      <c r="H819" t="s">
        <v>20</v>
      </c>
      <c r="I819">
        <v>2</v>
      </c>
      <c r="J819">
        <v>0</v>
      </c>
      <c r="K819">
        <v>2</v>
      </c>
      <c r="O819">
        <f t="shared" si="797"/>
        <v>4973.4399999999996</v>
      </c>
      <c r="P819">
        <f t="shared" si="798"/>
        <v>33.6</v>
      </c>
      <c r="Q819">
        <f t="shared" si="799"/>
        <v>0</v>
      </c>
      <c r="R819">
        <f t="shared" si="800"/>
        <v>0</v>
      </c>
      <c r="S819">
        <f t="shared" si="801"/>
        <v>4939.84</v>
      </c>
      <c r="T819">
        <f t="shared" si="802"/>
        <v>0</v>
      </c>
      <c r="U819">
        <f t="shared" si="803"/>
        <v>8</v>
      </c>
      <c r="V819">
        <f t="shared" si="804"/>
        <v>0</v>
      </c>
      <c r="W819">
        <f t="shared" si="805"/>
        <v>0</v>
      </c>
      <c r="X819">
        <f t="shared" si="806"/>
        <v>3457.89</v>
      </c>
      <c r="Y819">
        <f t="shared" si="807"/>
        <v>493.98</v>
      </c>
      <c r="AA819">
        <v>-1</v>
      </c>
      <c r="AB819">
        <f t="shared" si="808"/>
        <v>2486.7199999999998</v>
      </c>
      <c r="AC819">
        <f>ROUND(((ES819*16)),6)</f>
        <v>16.8</v>
      </c>
      <c r="AD819">
        <f t="shared" si="809"/>
        <v>0</v>
      </c>
      <c r="AE819">
        <f t="shared" si="832"/>
        <v>0</v>
      </c>
      <c r="AF819">
        <f>ROUND(((EV819*16)),6)</f>
        <v>2469.92</v>
      </c>
      <c r="AG819">
        <f t="shared" si="810"/>
        <v>0</v>
      </c>
      <c r="AH819">
        <f>((EW819*16))</f>
        <v>4</v>
      </c>
      <c r="AI819">
        <f t="shared" si="833"/>
        <v>0</v>
      </c>
      <c r="AJ819">
        <f t="shared" si="811"/>
        <v>0</v>
      </c>
      <c r="AK819">
        <v>155.41999999999999</v>
      </c>
      <c r="AL819">
        <v>1.05</v>
      </c>
      <c r="AM819">
        <v>0</v>
      </c>
      <c r="AN819">
        <v>0</v>
      </c>
      <c r="AO819">
        <v>154.37</v>
      </c>
      <c r="AP819">
        <v>0</v>
      </c>
      <c r="AQ819">
        <v>0.25</v>
      </c>
      <c r="AR819">
        <v>0</v>
      </c>
      <c r="AS819">
        <v>0</v>
      </c>
      <c r="AT819">
        <v>70</v>
      </c>
      <c r="AU819">
        <v>10</v>
      </c>
      <c r="AV819">
        <v>1</v>
      </c>
      <c r="AW819">
        <v>1</v>
      </c>
      <c r="AZ819">
        <v>1</v>
      </c>
      <c r="BA819">
        <v>1</v>
      </c>
      <c r="BB819">
        <v>1</v>
      </c>
      <c r="BC819">
        <v>1</v>
      </c>
      <c r="BD819" t="s">
        <v>3</v>
      </c>
      <c r="BE819" t="s">
        <v>3</v>
      </c>
      <c r="BF819" t="s">
        <v>3</v>
      </c>
      <c r="BG819" t="s">
        <v>3</v>
      </c>
      <c r="BH819">
        <v>0</v>
      </c>
      <c r="BI819">
        <v>4</v>
      </c>
      <c r="BJ819" t="s">
        <v>718</v>
      </c>
      <c r="BM819">
        <v>0</v>
      </c>
      <c r="BN819">
        <v>0</v>
      </c>
      <c r="BO819" t="s">
        <v>3</v>
      </c>
      <c r="BP819">
        <v>0</v>
      </c>
      <c r="BQ819">
        <v>1</v>
      </c>
      <c r="BR819">
        <v>0</v>
      </c>
      <c r="BS819">
        <v>1</v>
      </c>
      <c r="BT819">
        <v>1</v>
      </c>
      <c r="BU819">
        <v>1</v>
      </c>
      <c r="BV819">
        <v>1</v>
      </c>
      <c r="BW819">
        <v>1</v>
      </c>
      <c r="BX819">
        <v>1</v>
      </c>
      <c r="BY819" t="s">
        <v>3</v>
      </c>
      <c r="BZ819">
        <v>70</v>
      </c>
      <c r="CA819">
        <v>10</v>
      </c>
      <c r="CB819" t="s">
        <v>3</v>
      </c>
      <c r="CE819">
        <v>0</v>
      </c>
      <c r="CF819">
        <v>0</v>
      </c>
      <c r="CG819">
        <v>0</v>
      </c>
      <c r="CM819">
        <v>0</v>
      </c>
      <c r="CN819" t="s">
        <v>3</v>
      </c>
      <c r="CO819">
        <v>0</v>
      </c>
      <c r="CP819">
        <f t="shared" si="812"/>
        <v>4973.4400000000005</v>
      </c>
      <c r="CQ819">
        <f t="shared" si="813"/>
        <v>16.8</v>
      </c>
      <c r="CR819">
        <f t="shared" si="814"/>
        <v>0</v>
      </c>
      <c r="CS819">
        <f t="shared" si="815"/>
        <v>0</v>
      </c>
      <c r="CT819">
        <f t="shared" si="816"/>
        <v>2469.92</v>
      </c>
      <c r="CU819">
        <f t="shared" si="817"/>
        <v>0</v>
      </c>
      <c r="CV819">
        <f t="shared" si="818"/>
        <v>4</v>
      </c>
      <c r="CW819">
        <f t="shared" si="819"/>
        <v>0</v>
      </c>
      <c r="CX819">
        <f t="shared" si="820"/>
        <v>0</v>
      </c>
      <c r="CY819">
        <f t="shared" si="821"/>
        <v>3457.8879999999999</v>
      </c>
      <c r="CZ819">
        <f t="shared" si="822"/>
        <v>493.98400000000004</v>
      </c>
      <c r="DC819" t="s">
        <v>3</v>
      </c>
      <c r="DD819" t="s">
        <v>697</v>
      </c>
      <c r="DE819" t="s">
        <v>3</v>
      </c>
      <c r="DF819" t="s">
        <v>3</v>
      </c>
      <c r="DG819" t="s">
        <v>697</v>
      </c>
      <c r="DH819" t="s">
        <v>3</v>
      </c>
      <c r="DI819" t="s">
        <v>697</v>
      </c>
      <c r="DJ819" t="s">
        <v>3</v>
      </c>
      <c r="DK819" t="s">
        <v>3</v>
      </c>
      <c r="DL819" t="s">
        <v>3</v>
      </c>
      <c r="DM819" t="s">
        <v>3</v>
      </c>
      <c r="DN819">
        <v>0</v>
      </c>
      <c r="DO819">
        <v>0</v>
      </c>
      <c r="DP819">
        <v>1</v>
      </c>
      <c r="DQ819">
        <v>1</v>
      </c>
      <c r="DU819">
        <v>16987630</v>
      </c>
      <c r="DV819" t="s">
        <v>20</v>
      </c>
      <c r="DW819" t="s">
        <v>20</v>
      </c>
      <c r="DX819">
        <v>1</v>
      </c>
      <c r="DZ819" t="s">
        <v>3</v>
      </c>
      <c r="EA819" t="s">
        <v>3</v>
      </c>
      <c r="EB819" t="s">
        <v>3</v>
      </c>
      <c r="EC819" t="s">
        <v>3</v>
      </c>
      <c r="EE819">
        <v>1441815344</v>
      </c>
      <c r="EF819">
        <v>1</v>
      </c>
      <c r="EG819" t="s">
        <v>22</v>
      </c>
      <c r="EH819">
        <v>0</v>
      </c>
      <c r="EI819" t="s">
        <v>3</v>
      </c>
      <c r="EJ819">
        <v>4</v>
      </c>
      <c r="EK819">
        <v>0</v>
      </c>
      <c r="EL819" t="s">
        <v>23</v>
      </c>
      <c r="EM819" t="s">
        <v>24</v>
      </c>
      <c r="EO819" t="s">
        <v>3</v>
      </c>
      <c r="EQ819">
        <v>1024</v>
      </c>
      <c r="ER819">
        <v>155.41999999999999</v>
      </c>
      <c r="ES819">
        <v>1.05</v>
      </c>
      <c r="ET819">
        <v>0</v>
      </c>
      <c r="EU819">
        <v>0</v>
      </c>
      <c r="EV819">
        <v>154.37</v>
      </c>
      <c r="EW819">
        <v>0.25</v>
      </c>
      <c r="EX819">
        <v>0</v>
      </c>
      <c r="EY819">
        <v>0</v>
      </c>
      <c r="FQ819">
        <v>0</v>
      </c>
      <c r="FR819">
        <f t="shared" si="823"/>
        <v>0</v>
      </c>
      <c r="FS819">
        <v>0</v>
      </c>
      <c r="FX819">
        <v>70</v>
      </c>
      <c r="FY819">
        <v>10</v>
      </c>
      <c r="GA819" t="s">
        <v>3</v>
      </c>
      <c r="GD819">
        <v>0</v>
      </c>
      <c r="GF819">
        <v>735608737</v>
      </c>
      <c r="GG819">
        <v>2</v>
      </c>
      <c r="GH819">
        <v>1</v>
      </c>
      <c r="GI819">
        <v>-2</v>
      </c>
      <c r="GJ819">
        <v>0</v>
      </c>
      <c r="GK819">
        <f>ROUND(R819*(R12)/100,2)</f>
        <v>0</v>
      </c>
      <c r="GL819">
        <f t="shared" si="824"/>
        <v>0</v>
      </c>
      <c r="GM819">
        <f t="shared" si="825"/>
        <v>8925.31</v>
      </c>
      <c r="GN819">
        <f t="shared" si="826"/>
        <v>0</v>
      </c>
      <c r="GO819">
        <f t="shared" si="827"/>
        <v>0</v>
      </c>
      <c r="GP819">
        <f t="shared" si="828"/>
        <v>8925.31</v>
      </c>
      <c r="GR819">
        <v>0</v>
      </c>
      <c r="GS819">
        <v>3</v>
      </c>
      <c r="GT819">
        <v>0</v>
      </c>
      <c r="GU819" t="s">
        <v>3</v>
      </c>
      <c r="GV819">
        <f t="shared" si="829"/>
        <v>0</v>
      </c>
      <c r="GW819">
        <v>1</v>
      </c>
      <c r="GX819">
        <f t="shared" si="830"/>
        <v>0</v>
      </c>
      <c r="HA819">
        <v>0</v>
      </c>
      <c r="HB819">
        <v>0</v>
      </c>
      <c r="HC819">
        <f t="shared" si="831"/>
        <v>0</v>
      </c>
      <c r="HE819" t="s">
        <v>3</v>
      </c>
      <c r="HF819" t="s">
        <v>3</v>
      </c>
      <c r="HM819" t="s">
        <v>3</v>
      </c>
      <c r="HN819" t="s">
        <v>3</v>
      </c>
      <c r="HO819" t="s">
        <v>3</v>
      </c>
      <c r="HP819" t="s">
        <v>3</v>
      </c>
      <c r="HQ819" t="s">
        <v>3</v>
      </c>
      <c r="IK819">
        <v>0</v>
      </c>
    </row>
    <row r="820" spans="1:245" x14ac:dyDescent="0.2">
      <c r="A820">
        <v>17</v>
      </c>
      <c r="B820">
        <v>1</v>
      </c>
      <c r="D820">
        <f>ROW(EtalonRes!A810)</f>
        <v>810</v>
      </c>
      <c r="E820" t="s">
        <v>719</v>
      </c>
      <c r="F820" t="s">
        <v>720</v>
      </c>
      <c r="G820" t="s">
        <v>721</v>
      </c>
      <c r="H820" t="s">
        <v>20</v>
      </c>
      <c r="I820">
        <v>1</v>
      </c>
      <c r="J820">
        <v>0</v>
      </c>
      <c r="K820">
        <v>1</v>
      </c>
      <c r="O820">
        <f t="shared" si="797"/>
        <v>5641.14</v>
      </c>
      <c r="P820">
        <f t="shared" si="798"/>
        <v>83.73</v>
      </c>
      <c r="Q820">
        <f t="shared" si="799"/>
        <v>0</v>
      </c>
      <c r="R820">
        <f t="shared" si="800"/>
        <v>0</v>
      </c>
      <c r="S820">
        <f t="shared" si="801"/>
        <v>5557.41</v>
      </c>
      <c r="T820">
        <f t="shared" si="802"/>
        <v>0</v>
      </c>
      <c r="U820">
        <f t="shared" si="803"/>
        <v>9</v>
      </c>
      <c r="V820">
        <f t="shared" si="804"/>
        <v>0</v>
      </c>
      <c r="W820">
        <f t="shared" si="805"/>
        <v>0</v>
      </c>
      <c r="X820">
        <f t="shared" si="806"/>
        <v>3890.19</v>
      </c>
      <c r="Y820">
        <f t="shared" si="807"/>
        <v>555.74</v>
      </c>
      <c r="AA820">
        <v>1472506909</v>
      </c>
      <c r="AB820">
        <f t="shared" si="808"/>
        <v>5641.14</v>
      </c>
      <c r="AC820">
        <f>ROUND((ES820),6)</f>
        <v>83.73</v>
      </c>
      <c r="AD820">
        <f t="shared" si="809"/>
        <v>0</v>
      </c>
      <c r="AE820">
        <f t="shared" si="832"/>
        <v>0</v>
      </c>
      <c r="AF820">
        <f>ROUND((EV820),6)</f>
        <v>5557.41</v>
      </c>
      <c r="AG820">
        <f t="shared" si="810"/>
        <v>0</v>
      </c>
      <c r="AH820">
        <f>(EW820)</f>
        <v>9</v>
      </c>
      <c r="AI820">
        <f t="shared" si="833"/>
        <v>0</v>
      </c>
      <c r="AJ820">
        <f t="shared" si="811"/>
        <v>0</v>
      </c>
      <c r="AK820">
        <v>5641.14</v>
      </c>
      <c r="AL820">
        <v>83.73</v>
      </c>
      <c r="AM820">
        <v>0</v>
      </c>
      <c r="AN820">
        <v>0</v>
      </c>
      <c r="AO820">
        <v>5557.41</v>
      </c>
      <c r="AP820">
        <v>0</v>
      </c>
      <c r="AQ820">
        <v>9</v>
      </c>
      <c r="AR820">
        <v>0</v>
      </c>
      <c r="AS820">
        <v>0</v>
      </c>
      <c r="AT820">
        <v>70</v>
      </c>
      <c r="AU820">
        <v>10</v>
      </c>
      <c r="AV820">
        <v>1</v>
      </c>
      <c r="AW820">
        <v>1</v>
      </c>
      <c r="AZ820">
        <v>1</v>
      </c>
      <c r="BA820">
        <v>1</v>
      </c>
      <c r="BB820">
        <v>1</v>
      </c>
      <c r="BC820">
        <v>1</v>
      </c>
      <c r="BD820" t="s">
        <v>3</v>
      </c>
      <c r="BE820" t="s">
        <v>3</v>
      </c>
      <c r="BF820" t="s">
        <v>3</v>
      </c>
      <c r="BG820" t="s">
        <v>3</v>
      </c>
      <c r="BH820">
        <v>0</v>
      </c>
      <c r="BI820">
        <v>4</v>
      </c>
      <c r="BJ820" t="s">
        <v>722</v>
      </c>
      <c r="BM820">
        <v>0</v>
      </c>
      <c r="BN820">
        <v>0</v>
      </c>
      <c r="BO820" t="s">
        <v>3</v>
      </c>
      <c r="BP820">
        <v>0</v>
      </c>
      <c r="BQ820">
        <v>1</v>
      </c>
      <c r="BR820">
        <v>0</v>
      </c>
      <c r="BS820">
        <v>1</v>
      </c>
      <c r="BT820">
        <v>1</v>
      </c>
      <c r="BU820">
        <v>1</v>
      </c>
      <c r="BV820">
        <v>1</v>
      </c>
      <c r="BW820">
        <v>1</v>
      </c>
      <c r="BX820">
        <v>1</v>
      </c>
      <c r="BY820" t="s">
        <v>3</v>
      </c>
      <c r="BZ820">
        <v>70</v>
      </c>
      <c r="CA820">
        <v>10</v>
      </c>
      <c r="CB820" t="s">
        <v>3</v>
      </c>
      <c r="CE820">
        <v>0</v>
      </c>
      <c r="CF820">
        <v>0</v>
      </c>
      <c r="CG820">
        <v>0</v>
      </c>
      <c r="CM820">
        <v>0</v>
      </c>
      <c r="CN820" t="s">
        <v>3</v>
      </c>
      <c r="CO820">
        <v>0</v>
      </c>
      <c r="CP820">
        <f t="shared" si="812"/>
        <v>5641.1399999999994</v>
      </c>
      <c r="CQ820">
        <f t="shared" si="813"/>
        <v>83.73</v>
      </c>
      <c r="CR820">
        <f t="shared" si="814"/>
        <v>0</v>
      </c>
      <c r="CS820">
        <f t="shared" si="815"/>
        <v>0</v>
      </c>
      <c r="CT820">
        <f t="shared" si="816"/>
        <v>5557.41</v>
      </c>
      <c r="CU820">
        <f t="shared" si="817"/>
        <v>0</v>
      </c>
      <c r="CV820">
        <f t="shared" si="818"/>
        <v>9</v>
      </c>
      <c r="CW820">
        <f t="shared" si="819"/>
        <v>0</v>
      </c>
      <c r="CX820">
        <f t="shared" si="820"/>
        <v>0</v>
      </c>
      <c r="CY820">
        <f t="shared" si="821"/>
        <v>3890.1869999999999</v>
      </c>
      <c r="CZ820">
        <f t="shared" si="822"/>
        <v>555.74099999999999</v>
      </c>
      <c r="DC820" t="s">
        <v>3</v>
      </c>
      <c r="DD820" t="s">
        <v>3</v>
      </c>
      <c r="DE820" t="s">
        <v>3</v>
      </c>
      <c r="DF820" t="s">
        <v>3</v>
      </c>
      <c r="DG820" t="s">
        <v>3</v>
      </c>
      <c r="DH820" t="s">
        <v>3</v>
      </c>
      <c r="DI820" t="s">
        <v>3</v>
      </c>
      <c r="DJ820" t="s">
        <v>3</v>
      </c>
      <c r="DK820" t="s">
        <v>3</v>
      </c>
      <c r="DL820" t="s">
        <v>3</v>
      </c>
      <c r="DM820" t="s">
        <v>3</v>
      </c>
      <c r="DN820">
        <v>0</v>
      </c>
      <c r="DO820">
        <v>0</v>
      </c>
      <c r="DP820">
        <v>1</v>
      </c>
      <c r="DQ820">
        <v>1</v>
      </c>
      <c r="DU820">
        <v>16987630</v>
      </c>
      <c r="DV820" t="s">
        <v>20</v>
      </c>
      <c r="DW820" t="s">
        <v>20</v>
      </c>
      <c r="DX820">
        <v>1</v>
      </c>
      <c r="DZ820" t="s">
        <v>3</v>
      </c>
      <c r="EA820" t="s">
        <v>3</v>
      </c>
      <c r="EB820" t="s">
        <v>3</v>
      </c>
      <c r="EC820" t="s">
        <v>3</v>
      </c>
      <c r="EE820">
        <v>1441815344</v>
      </c>
      <c r="EF820">
        <v>1</v>
      </c>
      <c r="EG820" t="s">
        <v>22</v>
      </c>
      <c r="EH820">
        <v>0</v>
      </c>
      <c r="EI820" t="s">
        <v>3</v>
      </c>
      <c r="EJ820">
        <v>4</v>
      </c>
      <c r="EK820">
        <v>0</v>
      </c>
      <c r="EL820" t="s">
        <v>23</v>
      </c>
      <c r="EM820" t="s">
        <v>24</v>
      </c>
      <c r="EO820" t="s">
        <v>3</v>
      </c>
      <c r="EQ820">
        <v>0</v>
      </c>
      <c r="ER820">
        <v>5641.14</v>
      </c>
      <c r="ES820">
        <v>83.73</v>
      </c>
      <c r="ET820">
        <v>0</v>
      </c>
      <c r="EU820">
        <v>0</v>
      </c>
      <c r="EV820">
        <v>5557.41</v>
      </c>
      <c r="EW820">
        <v>9</v>
      </c>
      <c r="EX820">
        <v>0</v>
      </c>
      <c r="EY820">
        <v>0</v>
      </c>
      <c r="FQ820">
        <v>0</v>
      </c>
      <c r="FR820">
        <f t="shared" si="823"/>
        <v>0</v>
      </c>
      <c r="FS820">
        <v>0</v>
      </c>
      <c r="FX820">
        <v>70</v>
      </c>
      <c r="FY820">
        <v>10</v>
      </c>
      <c r="GA820" t="s">
        <v>3</v>
      </c>
      <c r="GD820">
        <v>0</v>
      </c>
      <c r="GF820">
        <v>2104927481</v>
      </c>
      <c r="GG820">
        <v>2</v>
      </c>
      <c r="GH820">
        <v>1</v>
      </c>
      <c r="GI820">
        <v>-2</v>
      </c>
      <c r="GJ820">
        <v>0</v>
      </c>
      <c r="GK820">
        <f>ROUND(R820*(R12)/100,2)</f>
        <v>0</v>
      </c>
      <c r="GL820">
        <f t="shared" si="824"/>
        <v>0</v>
      </c>
      <c r="GM820">
        <f t="shared" si="825"/>
        <v>10087.07</v>
      </c>
      <c r="GN820">
        <f t="shared" si="826"/>
        <v>0</v>
      </c>
      <c r="GO820">
        <f t="shared" si="827"/>
        <v>0</v>
      </c>
      <c r="GP820">
        <f t="shared" si="828"/>
        <v>10087.07</v>
      </c>
      <c r="GR820">
        <v>0</v>
      </c>
      <c r="GS820">
        <v>3</v>
      </c>
      <c r="GT820">
        <v>0</v>
      </c>
      <c r="GU820" t="s">
        <v>3</v>
      </c>
      <c r="GV820">
        <f t="shared" si="829"/>
        <v>0</v>
      </c>
      <c r="GW820">
        <v>1</v>
      </c>
      <c r="GX820">
        <f t="shared" si="830"/>
        <v>0</v>
      </c>
      <c r="HA820">
        <v>0</v>
      </c>
      <c r="HB820">
        <v>0</v>
      </c>
      <c r="HC820">
        <f t="shared" si="831"/>
        <v>0</v>
      </c>
      <c r="HE820" t="s">
        <v>3</v>
      </c>
      <c r="HF820" t="s">
        <v>3</v>
      </c>
      <c r="HM820" t="s">
        <v>3</v>
      </c>
      <c r="HN820" t="s">
        <v>3</v>
      </c>
      <c r="HO820" t="s">
        <v>3</v>
      </c>
      <c r="HP820" t="s">
        <v>3</v>
      </c>
      <c r="HQ820" t="s">
        <v>3</v>
      </c>
      <c r="IK820">
        <v>0</v>
      </c>
    </row>
    <row r="821" spans="1:245" x14ac:dyDescent="0.2">
      <c r="A821">
        <v>17</v>
      </c>
      <c r="B821">
        <v>1</v>
      </c>
      <c r="D821">
        <f>ROW(EtalonRes!A813)</f>
        <v>813</v>
      </c>
      <c r="E821" t="s">
        <v>3</v>
      </c>
      <c r="F821" t="s">
        <v>723</v>
      </c>
      <c r="G821" t="s">
        <v>724</v>
      </c>
      <c r="H821" t="s">
        <v>20</v>
      </c>
      <c r="I821">
        <v>1</v>
      </c>
      <c r="J821">
        <v>0</v>
      </c>
      <c r="K821">
        <v>1</v>
      </c>
      <c r="O821">
        <f t="shared" si="797"/>
        <v>2980.8</v>
      </c>
      <c r="P821">
        <f t="shared" si="798"/>
        <v>16.8</v>
      </c>
      <c r="Q821">
        <f t="shared" si="799"/>
        <v>0</v>
      </c>
      <c r="R821">
        <f t="shared" si="800"/>
        <v>0</v>
      </c>
      <c r="S821">
        <f t="shared" si="801"/>
        <v>2964</v>
      </c>
      <c r="T821">
        <f t="shared" si="802"/>
        <v>0</v>
      </c>
      <c r="U821">
        <f t="shared" si="803"/>
        <v>4.8</v>
      </c>
      <c r="V821">
        <f t="shared" si="804"/>
        <v>0</v>
      </c>
      <c r="W821">
        <f t="shared" si="805"/>
        <v>0</v>
      </c>
      <c r="X821">
        <f t="shared" si="806"/>
        <v>2074.8000000000002</v>
      </c>
      <c r="Y821">
        <f t="shared" si="807"/>
        <v>296.39999999999998</v>
      </c>
      <c r="AA821">
        <v>-1</v>
      </c>
      <c r="AB821">
        <f t="shared" si="808"/>
        <v>2980.8</v>
      </c>
      <c r="AC821">
        <f>ROUND(((ES821*16)),6)</f>
        <v>16.8</v>
      </c>
      <c r="AD821">
        <f t="shared" si="809"/>
        <v>0</v>
      </c>
      <c r="AE821">
        <f t="shared" si="832"/>
        <v>0</v>
      </c>
      <c r="AF821">
        <f>ROUND(((EV821*16)),6)</f>
        <v>2964</v>
      </c>
      <c r="AG821">
        <f t="shared" si="810"/>
        <v>0</v>
      </c>
      <c r="AH821">
        <f>((EW821*16))</f>
        <v>4.8</v>
      </c>
      <c r="AI821">
        <f t="shared" si="833"/>
        <v>0</v>
      </c>
      <c r="AJ821">
        <f t="shared" si="811"/>
        <v>0</v>
      </c>
      <c r="AK821">
        <v>186.3</v>
      </c>
      <c r="AL821">
        <v>1.05</v>
      </c>
      <c r="AM821">
        <v>0</v>
      </c>
      <c r="AN821">
        <v>0</v>
      </c>
      <c r="AO821">
        <v>185.25</v>
      </c>
      <c r="AP821">
        <v>0</v>
      </c>
      <c r="AQ821">
        <v>0.3</v>
      </c>
      <c r="AR821">
        <v>0</v>
      </c>
      <c r="AS821">
        <v>0</v>
      </c>
      <c r="AT821">
        <v>70</v>
      </c>
      <c r="AU821">
        <v>10</v>
      </c>
      <c r="AV821">
        <v>1</v>
      </c>
      <c r="AW821">
        <v>1</v>
      </c>
      <c r="AZ821">
        <v>1</v>
      </c>
      <c r="BA821">
        <v>1</v>
      </c>
      <c r="BB821">
        <v>1</v>
      </c>
      <c r="BC821">
        <v>1</v>
      </c>
      <c r="BD821" t="s">
        <v>3</v>
      </c>
      <c r="BE821" t="s">
        <v>3</v>
      </c>
      <c r="BF821" t="s">
        <v>3</v>
      </c>
      <c r="BG821" t="s">
        <v>3</v>
      </c>
      <c r="BH821">
        <v>0</v>
      </c>
      <c r="BI821">
        <v>4</v>
      </c>
      <c r="BJ821" t="s">
        <v>725</v>
      </c>
      <c r="BM821">
        <v>0</v>
      </c>
      <c r="BN821">
        <v>0</v>
      </c>
      <c r="BO821" t="s">
        <v>3</v>
      </c>
      <c r="BP821">
        <v>0</v>
      </c>
      <c r="BQ821">
        <v>1</v>
      </c>
      <c r="BR821">
        <v>0</v>
      </c>
      <c r="BS821">
        <v>1</v>
      </c>
      <c r="BT821">
        <v>1</v>
      </c>
      <c r="BU821">
        <v>1</v>
      </c>
      <c r="BV821">
        <v>1</v>
      </c>
      <c r="BW821">
        <v>1</v>
      </c>
      <c r="BX821">
        <v>1</v>
      </c>
      <c r="BY821" t="s">
        <v>3</v>
      </c>
      <c r="BZ821">
        <v>70</v>
      </c>
      <c r="CA821">
        <v>10</v>
      </c>
      <c r="CB821" t="s">
        <v>3</v>
      </c>
      <c r="CE821">
        <v>0</v>
      </c>
      <c r="CF821">
        <v>0</v>
      </c>
      <c r="CG821">
        <v>0</v>
      </c>
      <c r="CM821">
        <v>0</v>
      </c>
      <c r="CN821" t="s">
        <v>3</v>
      </c>
      <c r="CO821">
        <v>0</v>
      </c>
      <c r="CP821">
        <f t="shared" si="812"/>
        <v>2980.8</v>
      </c>
      <c r="CQ821">
        <f t="shared" si="813"/>
        <v>16.8</v>
      </c>
      <c r="CR821">
        <f t="shared" si="814"/>
        <v>0</v>
      </c>
      <c r="CS821">
        <f t="shared" si="815"/>
        <v>0</v>
      </c>
      <c r="CT821">
        <f t="shared" si="816"/>
        <v>2964</v>
      </c>
      <c r="CU821">
        <f t="shared" si="817"/>
        <v>0</v>
      </c>
      <c r="CV821">
        <f t="shared" si="818"/>
        <v>4.8</v>
      </c>
      <c r="CW821">
        <f t="shared" si="819"/>
        <v>0</v>
      </c>
      <c r="CX821">
        <f t="shared" si="820"/>
        <v>0</v>
      </c>
      <c r="CY821">
        <f t="shared" si="821"/>
        <v>2074.8000000000002</v>
      </c>
      <c r="CZ821">
        <f t="shared" si="822"/>
        <v>296.39999999999998</v>
      </c>
      <c r="DC821" t="s">
        <v>3</v>
      </c>
      <c r="DD821" t="s">
        <v>697</v>
      </c>
      <c r="DE821" t="s">
        <v>3</v>
      </c>
      <c r="DF821" t="s">
        <v>3</v>
      </c>
      <c r="DG821" t="s">
        <v>697</v>
      </c>
      <c r="DH821" t="s">
        <v>3</v>
      </c>
      <c r="DI821" t="s">
        <v>697</v>
      </c>
      <c r="DJ821" t="s">
        <v>3</v>
      </c>
      <c r="DK821" t="s">
        <v>3</v>
      </c>
      <c r="DL821" t="s">
        <v>3</v>
      </c>
      <c r="DM821" t="s">
        <v>3</v>
      </c>
      <c r="DN821">
        <v>0</v>
      </c>
      <c r="DO821">
        <v>0</v>
      </c>
      <c r="DP821">
        <v>1</v>
      </c>
      <c r="DQ821">
        <v>1</v>
      </c>
      <c r="DU821">
        <v>16987630</v>
      </c>
      <c r="DV821" t="s">
        <v>20</v>
      </c>
      <c r="DW821" t="s">
        <v>20</v>
      </c>
      <c r="DX821">
        <v>1</v>
      </c>
      <c r="DZ821" t="s">
        <v>3</v>
      </c>
      <c r="EA821" t="s">
        <v>3</v>
      </c>
      <c r="EB821" t="s">
        <v>3</v>
      </c>
      <c r="EC821" t="s">
        <v>3</v>
      </c>
      <c r="EE821">
        <v>1441815344</v>
      </c>
      <c r="EF821">
        <v>1</v>
      </c>
      <c r="EG821" t="s">
        <v>22</v>
      </c>
      <c r="EH821">
        <v>0</v>
      </c>
      <c r="EI821" t="s">
        <v>3</v>
      </c>
      <c r="EJ821">
        <v>4</v>
      </c>
      <c r="EK821">
        <v>0</v>
      </c>
      <c r="EL821" t="s">
        <v>23</v>
      </c>
      <c r="EM821" t="s">
        <v>24</v>
      </c>
      <c r="EO821" t="s">
        <v>3</v>
      </c>
      <c r="EQ821">
        <v>1024</v>
      </c>
      <c r="ER821">
        <v>186.3</v>
      </c>
      <c r="ES821">
        <v>1.05</v>
      </c>
      <c r="ET821">
        <v>0</v>
      </c>
      <c r="EU821">
        <v>0</v>
      </c>
      <c r="EV821">
        <v>185.25</v>
      </c>
      <c r="EW821">
        <v>0.3</v>
      </c>
      <c r="EX821">
        <v>0</v>
      </c>
      <c r="EY821">
        <v>0</v>
      </c>
      <c r="FQ821">
        <v>0</v>
      </c>
      <c r="FR821">
        <f t="shared" si="823"/>
        <v>0</v>
      </c>
      <c r="FS821">
        <v>0</v>
      </c>
      <c r="FX821">
        <v>70</v>
      </c>
      <c r="FY821">
        <v>10</v>
      </c>
      <c r="GA821" t="s">
        <v>3</v>
      </c>
      <c r="GD821">
        <v>0</v>
      </c>
      <c r="GF821">
        <v>861349214</v>
      </c>
      <c r="GG821">
        <v>2</v>
      </c>
      <c r="GH821">
        <v>1</v>
      </c>
      <c r="GI821">
        <v>-2</v>
      </c>
      <c r="GJ821">
        <v>0</v>
      </c>
      <c r="GK821">
        <f>ROUND(R821*(R12)/100,2)</f>
        <v>0</v>
      </c>
      <c r="GL821">
        <f t="shared" si="824"/>
        <v>0</v>
      </c>
      <c r="GM821">
        <f t="shared" si="825"/>
        <v>5352</v>
      </c>
      <c r="GN821">
        <f t="shared" si="826"/>
        <v>0</v>
      </c>
      <c r="GO821">
        <f t="shared" si="827"/>
        <v>0</v>
      </c>
      <c r="GP821">
        <f t="shared" si="828"/>
        <v>5352</v>
      </c>
      <c r="GR821">
        <v>0</v>
      </c>
      <c r="GS821">
        <v>3</v>
      </c>
      <c r="GT821">
        <v>0</v>
      </c>
      <c r="GU821" t="s">
        <v>3</v>
      </c>
      <c r="GV821">
        <f t="shared" si="829"/>
        <v>0</v>
      </c>
      <c r="GW821">
        <v>1</v>
      </c>
      <c r="GX821">
        <f t="shared" si="830"/>
        <v>0</v>
      </c>
      <c r="HA821">
        <v>0</v>
      </c>
      <c r="HB821">
        <v>0</v>
      </c>
      <c r="HC821">
        <f t="shared" si="831"/>
        <v>0</v>
      </c>
      <c r="HE821" t="s">
        <v>3</v>
      </c>
      <c r="HF821" t="s">
        <v>3</v>
      </c>
      <c r="HM821" t="s">
        <v>3</v>
      </c>
      <c r="HN821" t="s">
        <v>3</v>
      </c>
      <c r="HO821" t="s">
        <v>3</v>
      </c>
      <c r="HP821" t="s">
        <v>3</v>
      </c>
      <c r="HQ821" t="s">
        <v>3</v>
      </c>
      <c r="IK821">
        <v>0</v>
      </c>
    </row>
    <row r="822" spans="1:245" x14ac:dyDescent="0.2">
      <c r="A822">
        <v>17</v>
      </c>
      <c r="B822">
        <v>1</v>
      </c>
      <c r="D822">
        <f>ROW(EtalonRes!A818)</f>
        <v>818</v>
      </c>
      <c r="E822" t="s">
        <v>726</v>
      </c>
      <c r="F822" t="s">
        <v>727</v>
      </c>
      <c r="G822" t="s">
        <v>728</v>
      </c>
      <c r="H822" t="s">
        <v>20</v>
      </c>
      <c r="I822">
        <v>6</v>
      </c>
      <c r="J822">
        <v>0</v>
      </c>
      <c r="K822">
        <v>6</v>
      </c>
      <c r="O822">
        <f t="shared" si="797"/>
        <v>33806.94</v>
      </c>
      <c r="P822">
        <f t="shared" si="798"/>
        <v>462.48</v>
      </c>
      <c r="Q822">
        <f t="shared" si="799"/>
        <v>0</v>
      </c>
      <c r="R822">
        <f t="shared" si="800"/>
        <v>0</v>
      </c>
      <c r="S822">
        <f t="shared" si="801"/>
        <v>33344.46</v>
      </c>
      <c r="T822">
        <f t="shared" si="802"/>
        <v>0</v>
      </c>
      <c r="U822">
        <f t="shared" si="803"/>
        <v>54</v>
      </c>
      <c r="V822">
        <f t="shared" si="804"/>
        <v>0</v>
      </c>
      <c r="W822">
        <f t="shared" si="805"/>
        <v>0</v>
      </c>
      <c r="X822">
        <f t="shared" si="806"/>
        <v>23341.119999999999</v>
      </c>
      <c r="Y822">
        <f t="shared" si="807"/>
        <v>3334.45</v>
      </c>
      <c r="AA822">
        <v>1472506909</v>
      </c>
      <c r="AB822">
        <f t="shared" si="808"/>
        <v>5634.49</v>
      </c>
      <c r="AC822">
        <f>ROUND((ES822),6)</f>
        <v>77.08</v>
      </c>
      <c r="AD822">
        <f t="shared" si="809"/>
        <v>0</v>
      </c>
      <c r="AE822">
        <f t="shared" si="832"/>
        <v>0</v>
      </c>
      <c r="AF822">
        <f>ROUND((EV822),6)</f>
        <v>5557.41</v>
      </c>
      <c r="AG822">
        <f t="shared" si="810"/>
        <v>0</v>
      </c>
      <c r="AH822">
        <f>(EW822)</f>
        <v>9</v>
      </c>
      <c r="AI822">
        <f t="shared" si="833"/>
        <v>0</v>
      </c>
      <c r="AJ822">
        <f t="shared" si="811"/>
        <v>0</v>
      </c>
      <c r="AK822">
        <v>5634.49</v>
      </c>
      <c r="AL822">
        <v>77.08</v>
      </c>
      <c r="AM822">
        <v>0</v>
      </c>
      <c r="AN822">
        <v>0</v>
      </c>
      <c r="AO822">
        <v>5557.41</v>
      </c>
      <c r="AP822">
        <v>0</v>
      </c>
      <c r="AQ822">
        <v>9</v>
      </c>
      <c r="AR822">
        <v>0</v>
      </c>
      <c r="AS822">
        <v>0</v>
      </c>
      <c r="AT822">
        <v>70</v>
      </c>
      <c r="AU822">
        <v>10</v>
      </c>
      <c r="AV822">
        <v>1</v>
      </c>
      <c r="AW822">
        <v>1</v>
      </c>
      <c r="AZ822">
        <v>1</v>
      </c>
      <c r="BA822">
        <v>1</v>
      </c>
      <c r="BB822">
        <v>1</v>
      </c>
      <c r="BC822">
        <v>1</v>
      </c>
      <c r="BD822" t="s">
        <v>3</v>
      </c>
      <c r="BE822" t="s">
        <v>3</v>
      </c>
      <c r="BF822" t="s">
        <v>3</v>
      </c>
      <c r="BG822" t="s">
        <v>3</v>
      </c>
      <c r="BH822">
        <v>0</v>
      </c>
      <c r="BI822">
        <v>4</v>
      </c>
      <c r="BJ822" t="s">
        <v>729</v>
      </c>
      <c r="BM822">
        <v>0</v>
      </c>
      <c r="BN822">
        <v>0</v>
      </c>
      <c r="BO822" t="s">
        <v>3</v>
      </c>
      <c r="BP822">
        <v>0</v>
      </c>
      <c r="BQ822">
        <v>1</v>
      </c>
      <c r="BR822">
        <v>0</v>
      </c>
      <c r="BS822">
        <v>1</v>
      </c>
      <c r="BT822">
        <v>1</v>
      </c>
      <c r="BU822">
        <v>1</v>
      </c>
      <c r="BV822">
        <v>1</v>
      </c>
      <c r="BW822">
        <v>1</v>
      </c>
      <c r="BX822">
        <v>1</v>
      </c>
      <c r="BY822" t="s">
        <v>3</v>
      </c>
      <c r="BZ822">
        <v>70</v>
      </c>
      <c r="CA822">
        <v>10</v>
      </c>
      <c r="CB822" t="s">
        <v>3</v>
      </c>
      <c r="CE822">
        <v>0</v>
      </c>
      <c r="CF822">
        <v>0</v>
      </c>
      <c r="CG822">
        <v>0</v>
      </c>
      <c r="CM822">
        <v>0</v>
      </c>
      <c r="CN822" t="s">
        <v>3</v>
      </c>
      <c r="CO822">
        <v>0</v>
      </c>
      <c r="CP822">
        <f t="shared" si="812"/>
        <v>33806.94</v>
      </c>
      <c r="CQ822">
        <f t="shared" si="813"/>
        <v>77.08</v>
      </c>
      <c r="CR822">
        <f t="shared" si="814"/>
        <v>0</v>
      </c>
      <c r="CS822">
        <f t="shared" si="815"/>
        <v>0</v>
      </c>
      <c r="CT822">
        <f t="shared" si="816"/>
        <v>5557.41</v>
      </c>
      <c r="CU822">
        <f t="shared" si="817"/>
        <v>0</v>
      </c>
      <c r="CV822">
        <f t="shared" si="818"/>
        <v>9</v>
      </c>
      <c r="CW822">
        <f t="shared" si="819"/>
        <v>0</v>
      </c>
      <c r="CX822">
        <f t="shared" si="820"/>
        <v>0</v>
      </c>
      <c r="CY822">
        <f t="shared" si="821"/>
        <v>23341.121999999996</v>
      </c>
      <c r="CZ822">
        <f t="shared" si="822"/>
        <v>3334.4459999999999</v>
      </c>
      <c r="DC822" t="s">
        <v>3</v>
      </c>
      <c r="DD822" t="s">
        <v>3</v>
      </c>
      <c r="DE822" t="s">
        <v>3</v>
      </c>
      <c r="DF822" t="s">
        <v>3</v>
      </c>
      <c r="DG822" t="s">
        <v>3</v>
      </c>
      <c r="DH822" t="s">
        <v>3</v>
      </c>
      <c r="DI822" t="s">
        <v>3</v>
      </c>
      <c r="DJ822" t="s">
        <v>3</v>
      </c>
      <c r="DK822" t="s">
        <v>3</v>
      </c>
      <c r="DL822" t="s">
        <v>3</v>
      </c>
      <c r="DM822" t="s">
        <v>3</v>
      </c>
      <c r="DN822">
        <v>0</v>
      </c>
      <c r="DO822">
        <v>0</v>
      </c>
      <c r="DP822">
        <v>1</v>
      </c>
      <c r="DQ822">
        <v>1</v>
      </c>
      <c r="DU822">
        <v>16987630</v>
      </c>
      <c r="DV822" t="s">
        <v>20</v>
      </c>
      <c r="DW822" t="s">
        <v>20</v>
      </c>
      <c r="DX822">
        <v>1</v>
      </c>
      <c r="DZ822" t="s">
        <v>3</v>
      </c>
      <c r="EA822" t="s">
        <v>3</v>
      </c>
      <c r="EB822" t="s">
        <v>3</v>
      </c>
      <c r="EC822" t="s">
        <v>3</v>
      </c>
      <c r="EE822">
        <v>1441815344</v>
      </c>
      <c r="EF822">
        <v>1</v>
      </c>
      <c r="EG822" t="s">
        <v>22</v>
      </c>
      <c r="EH822">
        <v>0</v>
      </c>
      <c r="EI822" t="s">
        <v>3</v>
      </c>
      <c r="EJ822">
        <v>4</v>
      </c>
      <c r="EK822">
        <v>0</v>
      </c>
      <c r="EL822" t="s">
        <v>23</v>
      </c>
      <c r="EM822" t="s">
        <v>24</v>
      </c>
      <c r="EO822" t="s">
        <v>3</v>
      </c>
      <c r="EQ822">
        <v>0</v>
      </c>
      <c r="ER822">
        <v>5634.49</v>
      </c>
      <c r="ES822">
        <v>77.08</v>
      </c>
      <c r="ET822">
        <v>0</v>
      </c>
      <c r="EU822">
        <v>0</v>
      </c>
      <c r="EV822">
        <v>5557.41</v>
      </c>
      <c r="EW822">
        <v>9</v>
      </c>
      <c r="EX822">
        <v>0</v>
      </c>
      <c r="EY822">
        <v>0</v>
      </c>
      <c r="FQ822">
        <v>0</v>
      </c>
      <c r="FR822">
        <f t="shared" si="823"/>
        <v>0</v>
      </c>
      <c r="FS822">
        <v>0</v>
      </c>
      <c r="FX822">
        <v>70</v>
      </c>
      <c r="FY822">
        <v>10</v>
      </c>
      <c r="GA822" t="s">
        <v>3</v>
      </c>
      <c r="GD822">
        <v>0</v>
      </c>
      <c r="GF822">
        <v>-2115361954</v>
      </c>
      <c r="GG822">
        <v>2</v>
      </c>
      <c r="GH822">
        <v>1</v>
      </c>
      <c r="GI822">
        <v>-2</v>
      </c>
      <c r="GJ822">
        <v>0</v>
      </c>
      <c r="GK822">
        <f>ROUND(R822*(R12)/100,2)</f>
        <v>0</v>
      </c>
      <c r="GL822">
        <f t="shared" si="824"/>
        <v>0</v>
      </c>
      <c r="GM822">
        <f t="shared" si="825"/>
        <v>60482.51</v>
      </c>
      <c r="GN822">
        <f t="shared" si="826"/>
        <v>0</v>
      </c>
      <c r="GO822">
        <f t="shared" si="827"/>
        <v>0</v>
      </c>
      <c r="GP822">
        <f t="shared" si="828"/>
        <v>60482.51</v>
      </c>
      <c r="GR822">
        <v>0</v>
      </c>
      <c r="GS822">
        <v>3</v>
      </c>
      <c r="GT822">
        <v>0</v>
      </c>
      <c r="GU822" t="s">
        <v>3</v>
      </c>
      <c r="GV822">
        <f t="shared" si="829"/>
        <v>0</v>
      </c>
      <c r="GW822">
        <v>1</v>
      </c>
      <c r="GX822">
        <f t="shared" si="830"/>
        <v>0</v>
      </c>
      <c r="HA822">
        <v>0</v>
      </c>
      <c r="HB822">
        <v>0</v>
      </c>
      <c r="HC822">
        <f t="shared" si="831"/>
        <v>0</v>
      </c>
      <c r="HE822" t="s">
        <v>3</v>
      </c>
      <c r="HF822" t="s">
        <v>3</v>
      </c>
      <c r="HM822" t="s">
        <v>3</v>
      </c>
      <c r="HN822" t="s">
        <v>3</v>
      </c>
      <c r="HO822" t="s">
        <v>3</v>
      </c>
      <c r="HP822" t="s">
        <v>3</v>
      </c>
      <c r="HQ822" t="s">
        <v>3</v>
      </c>
      <c r="IK822">
        <v>0</v>
      </c>
    </row>
    <row r="823" spans="1:245" x14ac:dyDescent="0.2">
      <c r="A823">
        <v>17</v>
      </c>
      <c r="B823">
        <v>1</v>
      </c>
      <c r="D823">
        <f>ROW(EtalonRes!A819)</f>
        <v>819</v>
      </c>
      <c r="E823" t="s">
        <v>3</v>
      </c>
      <c r="F823" t="s">
        <v>730</v>
      </c>
      <c r="G823" t="s">
        <v>731</v>
      </c>
      <c r="H823" t="s">
        <v>20</v>
      </c>
      <c r="I823">
        <v>6</v>
      </c>
      <c r="J823">
        <v>0</v>
      </c>
      <c r="K823">
        <v>6</v>
      </c>
      <c r="O823">
        <f t="shared" si="797"/>
        <v>17784</v>
      </c>
      <c r="P823">
        <f t="shared" si="798"/>
        <v>0</v>
      </c>
      <c r="Q823">
        <f t="shared" si="799"/>
        <v>0</v>
      </c>
      <c r="R823">
        <f t="shared" si="800"/>
        <v>0</v>
      </c>
      <c r="S823">
        <f t="shared" si="801"/>
        <v>17784</v>
      </c>
      <c r="T823">
        <f t="shared" si="802"/>
        <v>0</v>
      </c>
      <c r="U823">
        <f t="shared" si="803"/>
        <v>28.799999999999997</v>
      </c>
      <c r="V823">
        <f t="shared" si="804"/>
        <v>0</v>
      </c>
      <c r="W823">
        <f t="shared" si="805"/>
        <v>0</v>
      </c>
      <c r="X823">
        <f t="shared" si="806"/>
        <v>12448.8</v>
      </c>
      <c r="Y823">
        <f t="shared" si="807"/>
        <v>1778.4</v>
      </c>
      <c r="AA823">
        <v>-1</v>
      </c>
      <c r="AB823">
        <f t="shared" si="808"/>
        <v>2964</v>
      </c>
      <c r="AC823">
        <f>ROUND((ES823),6)</f>
        <v>0</v>
      </c>
      <c r="AD823">
        <f t="shared" si="809"/>
        <v>0</v>
      </c>
      <c r="AE823">
        <f t="shared" si="832"/>
        <v>0</v>
      </c>
      <c r="AF823">
        <f>ROUND(((EV823*16)),6)</f>
        <v>2964</v>
      </c>
      <c r="AG823">
        <f t="shared" si="810"/>
        <v>0</v>
      </c>
      <c r="AH823">
        <f>((EW823*16))</f>
        <v>4.8</v>
      </c>
      <c r="AI823">
        <f t="shared" si="833"/>
        <v>0</v>
      </c>
      <c r="AJ823">
        <f t="shared" si="811"/>
        <v>0</v>
      </c>
      <c r="AK823">
        <v>185.25</v>
      </c>
      <c r="AL823">
        <v>0</v>
      </c>
      <c r="AM823">
        <v>0</v>
      </c>
      <c r="AN823">
        <v>0</v>
      </c>
      <c r="AO823">
        <v>185.25</v>
      </c>
      <c r="AP823">
        <v>0</v>
      </c>
      <c r="AQ823">
        <v>0.3</v>
      </c>
      <c r="AR823">
        <v>0</v>
      </c>
      <c r="AS823">
        <v>0</v>
      </c>
      <c r="AT823">
        <v>70</v>
      </c>
      <c r="AU823">
        <v>10</v>
      </c>
      <c r="AV823">
        <v>1</v>
      </c>
      <c r="AW823">
        <v>1</v>
      </c>
      <c r="AZ823">
        <v>1</v>
      </c>
      <c r="BA823">
        <v>1</v>
      </c>
      <c r="BB823">
        <v>1</v>
      </c>
      <c r="BC823">
        <v>1</v>
      </c>
      <c r="BD823" t="s">
        <v>3</v>
      </c>
      <c r="BE823" t="s">
        <v>3</v>
      </c>
      <c r="BF823" t="s">
        <v>3</v>
      </c>
      <c r="BG823" t="s">
        <v>3</v>
      </c>
      <c r="BH823">
        <v>0</v>
      </c>
      <c r="BI823">
        <v>4</v>
      </c>
      <c r="BJ823" t="s">
        <v>732</v>
      </c>
      <c r="BM823">
        <v>0</v>
      </c>
      <c r="BN823">
        <v>0</v>
      </c>
      <c r="BO823" t="s">
        <v>3</v>
      </c>
      <c r="BP823">
        <v>0</v>
      </c>
      <c r="BQ823">
        <v>1</v>
      </c>
      <c r="BR823">
        <v>0</v>
      </c>
      <c r="BS823">
        <v>1</v>
      </c>
      <c r="BT823">
        <v>1</v>
      </c>
      <c r="BU823">
        <v>1</v>
      </c>
      <c r="BV823">
        <v>1</v>
      </c>
      <c r="BW823">
        <v>1</v>
      </c>
      <c r="BX823">
        <v>1</v>
      </c>
      <c r="BY823" t="s">
        <v>3</v>
      </c>
      <c r="BZ823">
        <v>70</v>
      </c>
      <c r="CA823">
        <v>10</v>
      </c>
      <c r="CB823" t="s">
        <v>3</v>
      </c>
      <c r="CE823">
        <v>0</v>
      </c>
      <c r="CF823">
        <v>0</v>
      </c>
      <c r="CG823">
        <v>0</v>
      </c>
      <c r="CM823">
        <v>0</v>
      </c>
      <c r="CN823" t="s">
        <v>3</v>
      </c>
      <c r="CO823">
        <v>0</v>
      </c>
      <c r="CP823">
        <f t="shared" si="812"/>
        <v>17784</v>
      </c>
      <c r="CQ823">
        <f t="shared" si="813"/>
        <v>0</v>
      </c>
      <c r="CR823">
        <f t="shared" si="814"/>
        <v>0</v>
      </c>
      <c r="CS823">
        <f t="shared" si="815"/>
        <v>0</v>
      </c>
      <c r="CT823">
        <f t="shared" si="816"/>
        <v>2964</v>
      </c>
      <c r="CU823">
        <f t="shared" si="817"/>
        <v>0</v>
      </c>
      <c r="CV823">
        <f t="shared" si="818"/>
        <v>4.8</v>
      </c>
      <c r="CW823">
        <f t="shared" si="819"/>
        <v>0</v>
      </c>
      <c r="CX823">
        <f t="shared" si="820"/>
        <v>0</v>
      </c>
      <c r="CY823">
        <f t="shared" si="821"/>
        <v>12448.8</v>
      </c>
      <c r="CZ823">
        <f t="shared" si="822"/>
        <v>1778.4</v>
      </c>
      <c r="DC823" t="s">
        <v>3</v>
      </c>
      <c r="DD823" t="s">
        <v>3</v>
      </c>
      <c r="DE823" t="s">
        <v>3</v>
      </c>
      <c r="DF823" t="s">
        <v>3</v>
      </c>
      <c r="DG823" t="s">
        <v>697</v>
      </c>
      <c r="DH823" t="s">
        <v>3</v>
      </c>
      <c r="DI823" t="s">
        <v>697</v>
      </c>
      <c r="DJ823" t="s">
        <v>3</v>
      </c>
      <c r="DK823" t="s">
        <v>3</v>
      </c>
      <c r="DL823" t="s">
        <v>3</v>
      </c>
      <c r="DM823" t="s">
        <v>3</v>
      </c>
      <c r="DN823">
        <v>0</v>
      </c>
      <c r="DO823">
        <v>0</v>
      </c>
      <c r="DP823">
        <v>1</v>
      </c>
      <c r="DQ823">
        <v>1</v>
      </c>
      <c r="DU823">
        <v>16987630</v>
      </c>
      <c r="DV823" t="s">
        <v>20</v>
      </c>
      <c r="DW823" t="s">
        <v>20</v>
      </c>
      <c r="DX823">
        <v>1</v>
      </c>
      <c r="DZ823" t="s">
        <v>3</v>
      </c>
      <c r="EA823" t="s">
        <v>3</v>
      </c>
      <c r="EB823" t="s">
        <v>3</v>
      </c>
      <c r="EC823" t="s">
        <v>3</v>
      </c>
      <c r="EE823">
        <v>1441815344</v>
      </c>
      <c r="EF823">
        <v>1</v>
      </c>
      <c r="EG823" t="s">
        <v>22</v>
      </c>
      <c r="EH823">
        <v>0</v>
      </c>
      <c r="EI823" t="s">
        <v>3</v>
      </c>
      <c r="EJ823">
        <v>4</v>
      </c>
      <c r="EK823">
        <v>0</v>
      </c>
      <c r="EL823" t="s">
        <v>23</v>
      </c>
      <c r="EM823" t="s">
        <v>24</v>
      </c>
      <c r="EO823" t="s">
        <v>3</v>
      </c>
      <c r="EQ823">
        <v>1024</v>
      </c>
      <c r="ER823">
        <v>185.25</v>
      </c>
      <c r="ES823">
        <v>0</v>
      </c>
      <c r="ET823">
        <v>0</v>
      </c>
      <c r="EU823">
        <v>0</v>
      </c>
      <c r="EV823">
        <v>185.25</v>
      </c>
      <c r="EW823">
        <v>0.3</v>
      </c>
      <c r="EX823">
        <v>0</v>
      </c>
      <c r="EY823">
        <v>0</v>
      </c>
      <c r="FQ823">
        <v>0</v>
      </c>
      <c r="FR823">
        <f t="shared" si="823"/>
        <v>0</v>
      </c>
      <c r="FS823">
        <v>0</v>
      </c>
      <c r="FX823">
        <v>70</v>
      </c>
      <c r="FY823">
        <v>10</v>
      </c>
      <c r="GA823" t="s">
        <v>3</v>
      </c>
      <c r="GD823">
        <v>0</v>
      </c>
      <c r="GF823">
        <v>452805103</v>
      </c>
      <c r="GG823">
        <v>2</v>
      </c>
      <c r="GH823">
        <v>1</v>
      </c>
      <c r="GI823">
        <v>-2</v>
      </c>
      <c r="GJ823">
        <v>0</v>
      </c>
      <c r="GK823">
        <f>ROUND(R823*(R12)/100,2)</f>
        <v>0</v>
      </c>
      <c r="GL823">
        <f t="shared" si="824"/>
        <v>0</v>
      </c>
      <c r="GM823">
        <f t="shared" si="825"/>
        <v>32011.200000000001</v>
      </c>
      <c r="GN823">
        <f t="shared" si="826"/>
        <v>0</v>
      </c>
      <c r="GO823">
        <f t="shared" si="827"/>
        <v>0</v>
      </c>
      <c r="GP823">
        <f t="shared" si="828"/>
        <v>32011.200000000001</v>
      </c>
      <c r="GR823">
        <v>0</v>
      </c>
      <c r="GS823">
        <v>3</v>
      </c>
      <c r="GT823">
        <v>0</v>
      </c>
      <c r="GU823" t="s">
        <v>3</v>
      </c>
      <c r="GV823">
        <f t="shared" si="829"/>
        <v>0</v>
      </c>
      <c r="GW823">
        <v>1</v>
      </c>
      <c r="GX823">
        <f t="shared" si="830"/>
        <v>0</v>
      </c>
      <c r="HA823">
        <v>0</v>
      </c>
      <c r="HB823">
        <v>0</v>
      </c>
      <c r="HC823">
        <f t="shared" si="831"/>
        <v>0</v>
      </c>
      <c r="HE823" t="s">
        <v>3</v>
      </c>
      <c r="HF823" t="s">
        <v>3</v>
      </c>
      <c r="HM823" t="s">
        <v>3</v>
      </c>
      <c r="HN823" t="s">
        <v>3</v>
      </c>
      <c r="HO823" t="s">
        <v>3</v>
      </c>
      <c r="HP823" t="s">
        <v>3</v>
      </c>
      <c r="HQ823" t="s">
        <v>3</v>
      </c>
      <c r="IK823">
        <v>0</v>
      </c>
    </row>
    <row r="824" spans="1:245" x14ac:dyDescent="0.2">
      <c r="A824">
        <v>17</v>
      </c>
      <c r="B824">
        <v>1</v>
      </c>
      <c r="D824">
        <f>ROW(EtalonRes!A824)</f>
        <v>824</v>
      </c>
      <c r="E824" t="s">
        <v>733</v>
      </c>
      <c r="F824" t="s">
        <v>734</v>
      </c>
      <c r="G824" t="s">
        <v>735</v>
      </c>
      <c r="H824" t="s">
        <v>20</v>
      </c>
      <c r="I824">
        <v>9</v>
      </c>
      <c r="J824">
        <v>0</v>
      </c>
      <c r="K824">
        <v>9</v>
      </c>
      <c r="O824">
        <f t="shared" si="797"/>
        <v>67613.759999999995</v>
      </c>
      <c r="P824">
        <f t="shared" si="798"/>
        <v>924.84</v>
      </c>
      <c r="Q824">
        <f t="shared" si="799"/>
        <v>0</v>
      </c>
      <c r="R824">
        <f t="shared" si="800"/>
        <v>0</v>
      </c>
      <c r="S824">
        <f t="shared" si="801"/>
        <v>66688.92</v>
      </c>
      <c r="T824">
        <f t="shared" si="802"/>
        <v>0</v>
      </c>
      <c r="U824">
        <f t="shared" si="803"/>
        <v>108</v>
      </c>
      <c r="V824">
        <f t="shared" si="804"/>
        <v>0</v>
      </c>
      <c r="W824">
        <f t="shared" si="805"/>
        <v>0</v>
      </c>
      <c r="X824">
        <f t="shared" si="806"/>
        <v>46682.239999999998</v>
      </c>
      <c r="Y824">
        <f t="shared" si="807"/>
        <v>6668.89</v>
      </c>
      <c r="AA824">
        <v>1472506909</v>
      </c>
      <c r="AB824">
        <f t="shared" si="808"/>
        <v>7512.64</v>
      </c>
      <c r="AC824">
        <f>ROUND((ES824),6)</f>
        <v>102.76</v>
      </c>
      <c r="AD824">
        <f t="shared" si="809"/>
        <v>0</v>
      </c>
      <c r="AE824">
        <f t="shared" si="832"/>
        <v>0</v>
      </c>
      <c r="AF824">
        <f>ROUND((EV824),6)</f>
        <v>7409.88</v>
      </c>
      <c r="AG824">
        <f t="shared" si="810"/>
        <v>0</v>
      </c>
      <c r="AH824">
        <f>(EW824)</f>
        <v>12</v>
      </c>
      <c r="AI824">
        <f t="shared" si="833"/>
        <v>0</v>
      </c>
      <c r="AJ824">
        <f t="shared" si="811"/>
        <v>0</v>
      </c>
      <c r="AK824">
        <v>7512.64</v>
      </c>
      <c r="AL824">
        <v>102.76</v>
      </c>
      <c r="AM824">
        <v>0</v>
      </c>
      <c r="AN824">
        <v>0</v>
      </c>
      <c r="AO824">
        <v>7409.88</v>
      </c>
      <c r="AP824">
        <v>0</v>
      </c>
      <c r="AQ824">
        <v>12</v>
      </c>
      <c r="AR824">
        <v>0</v>
      </c>
      <c r="AS824">
        <v>0</v>
      </c>
      <c r="AT824">
        <v>70</v>
      </c>
      <c r="AU824">
        <v>10</v>
      </c>
      <c r="AV824">
        <v>1</v>
      </c>
      <c r="AW824">
        <v>1</v>
      </c>
      <c r="AZ824">
        <v>1</v>
      </c>
      <c r="BA824">
        <v>1</v>
      </c>
      <c r="BB824">
        <v>1</v>
      </c>
      <c r="BC824">
        <v>1</v>
      </c>
      <c r="BD824" t="s">
        <v>3</v>
      </c>
      <c r="BE824" t="s">
        <v>3</v>
      </c>
      <c r="BF824" t="s">
        <v>3</v>
      </c>
      <c r="BG824" t="s">
        <v>3</v>
      </c>
      <c r="BH824">
        <v>0</v>
      </c>
      <c r="BI824">
        <v>4</v>
      </c>
      <c r="BJ824" t="s">
        <v>736</v>
      </c>
      <c r="BM824">
        <v>0</v>
      </c>
      <c r="BN824">
        <v>0</v>
      </c>
      <c r="BO824" t="s">
        <v>3</v>
      </c>
      <c r="BP824">
        <v>0</v>
      </c>
      <c r="BQ824">
        <v>1</v>
      </c>
      <c r="BR824">
        <v>0</v>
      </c>
      <c r="BS824">
        <v>1</v>
      </c>
      <c r="BT824">
        <v>1</v>
      </c>
      <c r="BU824">
        <v>1</v>
      </c>
      <c r="BV824">
        <v>1</v>
      </c>
      <c r="BW824">
        <v>1</v>
      </c>
      <c r="BX824">
        <v>1</v>
      </c>
      <c r="BY824" t="s">
        <v>3</v>
      </c>
      <c r="BZ824">
        <v>70</v>
      </c>
      <c r="CA824">
        <v>10</v>
      </c>
      <c r="CB824" t="s">
        <v>3</v>
      </c>
      <c r="CE824">
        <v>0</v>
      </c>
      <c r="CF824">
        <v>0</v>
      </c>
      <c r="CG824">
        <v>0</v>
      </c>
      <c r="CM824">
        <v>0</v>
      </c>
      <c r="CN824" t="s">
        <v>3</v>
      </c>
      <c r="CO824">
        <v>0</v>
      </c>
      <c r="CP824">
        <f t="shared" si="812"/>
        <v>67613.759999999995</v>
      </c>
      <c r="CQ824">
        <f t="shared" si="813"/>
        <v>102.76</v>
      </c>
      <c r="CR824">
        <f t="shared" si="814"/>
        <v>0</v>
      </c>
      <c r="CS824">
        <f t="shared" si="815"/>
        <v>0</v>
      </c>
      <c r="CT824">
        <f t="shared" si="816"/>
        <v>7409.88</v>
      </c>
      <c r="CU824">
        <f t="shared" si="817"/>
        <v>0</v>
      </c>
      <c r="CV824">
        <f t="shared" si="818"/>
        <v>12</v>
      </c>
      <c r="CW824">
        <f t="shared" si="819"/>
        <v>0</v>
      </c>
      <c r="CX824">
        <f t="shared" si="820"/>
        <v>0</v>
      </c>
      <c r="CY824">
        <f t="shared" si="821"/>
        <v>46682.243999999992</v>
      </c>
      <c r="CZ824">
        <f t="shared" si="822"/>
        <v>6668.8919999999998</v>
      </c>
      <c r="DC824" t="s">
        <v>3</v>
      </c>
      <c r="DD824" t="s">
        <v>3</v>
      </c>
      <c r="DE824" t="s">
        <v>3</v>
      </c>
      <c r="DF824" t="s">
        <v>3</v>
      </c>
      <c r="DG824" t="s">
        <v>3</v>
      </c>
      <c r="DH824" t="s">
        <v>3</v>
      </c>
      <c r="DI824" t="s">
        <v>3</v>
      </c>
      <c r="DJ824" t="s">
        <v>3</v>
      </c>
      <c r="DK824" t="s">
        <v>3</v>
      </c>
      <c r="DL824" t="s">
        <v>3</v>
      </c>
      <c r="DM824" t="s">
        <v>3</v>
      </c>
      <c r="DN824">
        <v>0</v>
      </c>
      <c r="DO824">
        <v>0</v>
      </c>
      <c r="DP824">
        <v>1</v>
      </c>
      <c r="DQ824">
        <v>1</v>
      </c>
      <c r="DU824">
        <v>16987630</v>
      </c>
      <c r="DV824" t="s">
        <v>20</v>
      </c>
      <c r="DW824" t="s">
        <v>20</v>
      </c>
      <c r="DX824">
        <v>1</v>
      </c>
      <c r="DZ824" t="s">
        <v>3</v>
      </c>
      <c r="EA824" t="s">
        <v>3</v>
      </c>
      <c r="EB824" t="s">
        <v>3</v>
      </c>
      <c r="EC824" t="s">
        <v>3</v>
      </c>
      <c r="EE824">
        <v>1441815344</v>
      </c>
      <c r="EF824">
        <v>1</v>
      </c>
      <c r="EG824" t="s">
        <v>22</v>
      </c>
      <c r="EH824">
        <v>0</v>
      </c>
      <c r="EI824" t="s">
        <v>3</v>
      </c>
      <c r="EJ824">
        <v>4</v>
      </c>
      <c r="EK824">
        <v>0</v>
      </c>
      <c r="EL824" t="s">
        <v>23</v>
      </c>
      <c r="EM824" t="s">
        <v>24</v>
      </c>
      <c r="EO824" t="s">
        <v>3</v>
      </c>
      <c r="EQ824">
        <v>0</v>
      </c>
      <c r="ER824">
        <v>7512.64</v>
      </c>
      <c r="ES824">
        <v>102.76</v>
      </c>
      <c r="ET824">
        <v>0</v>
      </c>
      <c r="EU824">
        <v>0</v>
      </c>
      <c r="EV824">
        <v>7409.88</v>
      </c>
      <c r="EW824">
        <v>12</v>
      </c>
      <c r="EX824">
        <v>0</v>
      </c>
      <c r="EY824">
        <v>0</v>
      </c>
      <c r="FQ824">
        <v>0</v>
      </c>
      <c r="FR824">
        <f t="shared" si="823"/>
        <v>0</v>
      </c>
      <c r="FS824">
        <v>0</v>
      </c>
      <c r="FX824">
        <v>70</v>
      </c>
      <c r="FY824">
        <v>10</v>
      </c>
      <c r="GA824" t="s">
        <v>3</v>
      </c>
      <c r="GD824">
        <v>0</v>
      </c>
      <c r="GF824">
        <v>-223219314</v>
      </c>
      <c r="GG824">
        <v>2</v>
      </c>
      <c r="GH824">
        <v>1</v>
      </c>
      <c r="GI824">
        <v>-2</v>
      </c>
      <c r="GJ824">
        <v>0</v>
      </c>
      <c r="GK824">
        <f>ROUND(R824*(R12)/100,2)</f>
        <v>0</v>
      </c>
      <c r="GL824">
        <f t="shared" si="824"/>
        <v>0</v>
      </c>
      <c r="GM824">
        <f t="shared" si="825"/>
        <v>120964.89</v>
      </c>
      <c r="GN824">
        <f t="shared" si="826"/>
        <v>0</v>
      </c>
      <c r="GO824">
        <f t="shared" si="827"/>
        <v>0</v>
      </c>
      <c r="GP824">
        <f t="shared" si="828"/>
        <v>120964.89</v>
      </c>
      <c r="GR824">
        <v>0</v>
      </c>
      <c r="GS824">
        <v>3</v>
      </c>
      <c r="GT824">
        <v>0</v>
      </c>
      <c r="GU824" t="s">
        <v>3</v>
      </c>
      <c r="GV824">
        <f t="shared" si="829"/>
        <v>0</v>
      </c>
      <c r="GW824">
        <v>1</v>
      </c>
      <c r="GX824">
        <f t="shared" si="830"/>
        <v>0</v>
      </c>
      <c r="HA824">
        <v>0</v>
      </c>
      <c r="HB824">
        <v>0</v>
      </c>
      <c r="HC824">
        <f t="shared" si="831"/>
        <v>0</v>
      </c>
      <c r="HE824" t="s">
        <v>3</v>
      </c>
      <c r="HF824" t="s">
        <v>3</v>
      </c>
      <c r="HM824" t="s">
        <v>3</v>
      </c>
      <c r="HN824" t="s">
        <v>3</v>
      </c>
      <c r="HO824" t="s">
        <v>3</v>
      </c>
      <c r="HP824" t="s">
        <v>3</v>
      </c>
      <c r="HQ824" t="s">
        <v>3</v>
      </c>
      <c r="IK824">
        <v>0</v>
      </c>
    </row>
    <row r="825" spans="1:245" x14ac:dyDescent="0.2">
      <c r="A825">
        <v>17</v>
      </c>
      <c r="B825">
        <v>1</v>
      </c>
      <c r="D825">
        <f>ROW(EtalonRes!A826)</f>
        <v>826</v>
      </c>
      <c r="E825" t="s">
        <v>3</v>
      </c>
      <c r="F825" t="s">
        <v>737</v>
      </c>
      <c r="G825" t="s">
        <v>738</v>
      </c>
      <c r="H825" t="s">
        <v>20</v>
      </c>
      <c r="I825">
        <v>9</v>
      </c>
      <c r="J825">
        <v>0</v>
      </c>
      <c r="K825">
        <v>9</v>
      </c>
      <c r="O825">
        <f t="shared" si="797"/>
        <v>35674.559999999998</v>
      </c>
      <c r="P825">
        <f t="shared" si="798"/>
        <v>106.56</v>
      </c>
      <c r="Q825">
        <f t="shared" si="799"/>
        <v>0</v>
      </c>
      <c r="R825">
        <f t="shared" si="800"/>
        <v>0</v>
      </c>
      <c r="S825">
        <f t="shared" si="801"/>
        <v>35568</v>
      </c>
      <c r="T825">
        <f t="shared" si="802"/>
        <v>0</v>
      </c>
      <c r="U825">
        <f t="shared" si="803"/>
        <v>57.6</v>
      </c>
      <c r="V825">
        <f t="shared" si="804"/>
        <v>0</v>
      </c>
      <c r="W825">
        <f t="shared" si="805"/>
        <v>0</v>
      </c>
      <c r="X825">
        <f t="shared" si="806"/>
        <v>24897.599999999999</v>
      </c>
      <c r="Y825">
        <f t="shared" si="807"/>
        <v>3556.8</v>
      </c>
      <c r="AA825">
        <v>-1</v>
      </c>
      <c r="AB825">
        <f t="shared" si="808"/>
        <v>3963.84</v>
      </c>
      <c r="AC825">
        <f>ROUND(((ES825*16)),6)</f>
        <v>11.84</v>
      </c>
      <c r="AD825">
        <f>ROUND(((((ET825*16))-((EU825*16)))+AE825),6)</f>
        <v>0</v>
      </c>
      <c r="AE825">
        <f>ROUND(((EU825*16)),6)</f>
        <v>0</v>
      </c>
      <c r="AF825">
        <f>ROUND(((EV825*16)),6)</f>
        <v>3952</v>
      </c>
      <c r="AG825">
        <f t="shared" si="810"/>
        <v>0</v>
      </c>
      <c r="AH825">
        <f>((EW825*16))</f>
        <v>6.4</v>
      </c>
      <c r="AI825">
        <f>((EX825*16))</f>
        <v>0</v>
      </c>
      <c r="AJ825">
        <f t="shared" si="811"/>
        <v>0</v>
      </c>
      <c r="AK825">
        <v>247.74</v>
      </c>
      <c r="AL825">
        <v>0.74</v>
      </c>
      <c r="AM825">
        <v>0</v>
      </c>
      <c r="AN825">
        <v>0</v>
      </c>
      <c r="AO825">
        <v>247</v>
      </c>
      <c r="AP825">
        <v>0</v>
      </c>
      <c r="AQ825">
        <v>0.4</v>
      </c>
      <c r="AR825">
        <v>0</v>
      </c>
      <c r="AS825">
        <v>0</v>
      </c>
      <c r="AT825">
        <v>70</v>
      </c>
      <c r="AU825">
        <v>10</v>
      </c>
      <c r="AV825">
        <v>1</v>
      </c>
      <c r="AW825">
        <v>1</v>
      </c>
      <c r="AZ825">
        <v>1</v>
      </c>
      <c r="BA825">
        <v>1</v>
      </c>
      <c r="BB825">
        <v>1</v>
      </c>
      <c r="BC825">
        <v>1</v>
      </c>
      <c r="BD825" t="s">
        <v>3</v>
      </c>
      <c r="BE825" t="s">
        <v>3</v>
      </c>
      <c r="BF825" t="s">
        <v>3</v>
      </c>
      <c r="BG825" t="s">
        <v>3</v>
      </c>
      <c r="BH825">
        <v>0</v>
      </c>
      <c r="BI825">
        <v>4</v>
      </c>
      <c r="BJ825" t="s">
        <v>739</v>
      </c>
      <c r="BM825">
        <v>0</v>
      </c>
      <c r="BN825">
        <v>0</v>
      </c>
      <c r="BO825" t="s">
        <v>3</v>
      </c>
      <c r="BP825">
        <v>0</v>
      </c>
      <c r="BQ825">
        <v>1</v>
      </c>
      <c r="BR825">
        <v>0</v>
      </c>
      <c r="BS825">
        <v>1</v>
      </c>
      <c r="BT825">
        <v>1</v>
      </c>
      <c r="BU825">
        <v>1</v>
      </c>
      <c r="BV825">
        <v>1</v>
      </c>
      <c r="BW825">
        <v>1</v>
      </c>
      <c r="BX825">
        <v>1</v>
      </c>
      <c r="BY825" t="s">
        <v>3</v>
      </c>
      <c r="BZ825">
        <v>70</v>
      </c>
      <c r="CA825">
        <v>10</v>
      </c>
      <c r="CB825" t="s">
        <v>3</v>
      </c>
      <c r="CE825">
        <v>0</v>
      </c>
      <c r="CF825">
        <v>0</v>
      </c>
      <c r="CG825">
        <v>0</v>
      </c>
      <c r="CM825">
        <v>0</v>
      </c>
      <c r="CN825" t="s">
        <v>3</v>
      </c>
      <c r="CO825">
        <v>0</v>
      </c>
      <c r="CP825">
        <f t="shared" si="812"/>
        <v>35674.559999999998</v>
      </c>
      <c r="CQ825">
        <f t="shared" si="813"/>
        <v>11.84</v>
      </c>
      <c r="CR825">
        <f>(((((ET825*16))*BB825-((EU825*16))*BS825)+AE825*BS825)*AV825)</f>
        <v>0</v>
      </c>
      <c r="CS825">
        <f t="shared" si="815"/>
        <v>0</v>
      </c>
      <c r="CT825">
        <f t="shared" si="816"/>
        <v>3952</v>
      </c>
      <c r="CU825">
        <f t="shared" si="817"/>
        <v>0</v>
      </c>
      <c r="CV825">
        <f t="shared" si="818"/>
        <v>6.4</v>
      </c>
      <c r="CW825">
        <f t="shared" si="819"/>
        <v>0</v>
      </c>
      <c r="CX825">
        <f t="shared" si="820"/>
        <v>0</v>
      </c>
      <c r="CY825">
        <f t="shared" si="821"/>
        <v>24897.599999999999</v>
      </c>
      <c r="CZ825">
        <f t="shared" si="822"/>
        <v>3556.8</v>
      </c>
      <c r="DC825" t="s">
        <v>3</v>
      </c>
      <c r="DD825" t="s">
        <v>697</v>
      </c>
      <c r="DE825" t="s">
        <v>697</v>
      </c>
      <c r="DF825" t="s">
        <v>697</v>
      </c>
      <c r="DG825" t="s">
        <v>697</v>
      </c>
      <c r="DH825" t="s">
        <v>3</v>
      </c>
      <c r="DI825" t="s">
        <v>697</v>
      </c>
      <c r="DJ825" t="s">
        <v>697</v>
      </c>
      <c r="DK825" t="s">
        <v>3</v>
      </c>
      <c r="DL825" t="s">
        <v>3</v>
      </c>
      <c r="DM825" t="s">
        <v>3</v>
      </c>
      <c r="DN825">
        <v>0</v>
      </c>
      <c r="DO825">
        <v>0</v>
      </c>
      <c r="DP825">
        <v>1</v>
      </c>
      <c r="DQ825">
        <v>1</v>
      </c>
      <c r="DU825">
        <v>16987630</v>
      </c>
      <c r="DV825" t="s">
        <v>20</v>
      </c>
      <c r="DW825" t="s">
        <v>20</v>
      </c>
      <c r="DX825">
        <v>1</v>
      </c>
      <c r="DZ825" t="s">
        <v>3</v>
      </c>
      <c r="EA825" t="s">
        <v>3</v>
      </c>
      <c r="EB825" t="s">
        <v>3</v>
      </c>
      <c r="EC825" t="s">
        <v>3</v>
      </c>
      <c r="EE825">
        <v>1441815344</v>
      </c>
      <c r="EF825">
        <v>1</v>
      </c>
      <c r="EG825" t="s">
        <v>22</v>
      </c>
      <c r="EH825">
        <v>0</v>
      </c>
      <c r="EI825" t="s">
        <v>3</v>
      </c>
      <c r="EJ825">
        <v>4</v>
      </c>
      <c r="EK825">
        <v>0</v>
      </c>
      <c r="EL825" t="s">
        <v>23</v>
      </c>
      <c r="EM825" t="s">
        <v>24</v>
      </c>
      <c r="EO825" t="s">
        <v>3</v>
      </c>
      <c r="EQ825">
        <v>1024</v>
      </c>
      <c r="ER825">
        <v>247.74</v>
      </c>
      <c r="ES825">
        <v>0.74</v>
      </c>
      <c r="ET825">
        <v>0</v>
      </c>
      <c r="EU825">
        <v>0</v>
      </c>
      <c r="EV825">
        <v>247</v>
      </c>
      <c r="EW825">
        <v>0.4</v>
      </c>
      <c r="EX825">
        <v>0</v>
      </c>
      <c r="EY825">
        <v>0</v>
      </c>
      <c r="FQ825">
        <v>0</v>
      </c>
      <c r="FR825">
        <f t="shared" si="823"/>
        <v>0</v>
      </c>
      <c r="FS825">
        <v>0</v>
      </c>
      <c r="FX825">
        <v>70</v>
      </c>
      <c r="FY825">
        <v>10</v>
      </c>
      <c r="GA825" t="s">
        <v>3</v>
      </c>
      <c r="GD825">
        <v>0</v>
      </c>
      <c r="GF825">
        <v>973532321</v>
      </c>
      <c r="GG825">
        <v>2</v>
      </c>
      <c r="GH825">
        <v>1</v>
      </c>
      <c r="GI825">
        <v>-2</v>
      </c>
      <c r="GJ825">
        <v>0</v>
      </c>
      <c r="GK825">
        <f>ROUND(R825*(R12)/100,2)</f>
        <v>0</v>
      </c>
      <c r="GL825">
        <f t="shared" si="824"/>
        <v>0</v>
      </c>
      <c r="GM825">
        <f t="shared" si="825"/>
        <v>64128.959999999999</v>
      </c>
      <c r="GN825">
        <f t="shared" si="826"/>
        <v>0</v>
      </c>
      <c r="GO825">
        <f t="shared" si="827"/>
        <v>0</v>
      </c>
      <c r="GP825">
        <f t="shared" si="828"/>
        <v>64128.959999999999</v>
      </c>
      <c r="GR825">
        <v>0</v>
      </c>
      <c r="GS825">
        <v>3</v>
      </c>
      <c r="GT825">
        <v>0</v>
      </c>
      <c r="GU825" t="s">
        <v>3</v>
      </c>
      <c r="GV825">
        <f t="shared" si="829"/>
        <v>0</v>
      </c>
      <c r="GW825">
        <v>1</v>
      </c>
      <c r="GX825">
        <f t="shared" si="830"/>
        <v>0</v>
      </c>
      <c r="HA825">
        <v>0</v>
      </c>
      <c r="HB825">
        <v>0</v>
      </c>
      <c r="HC825">
        <f t="shared" si="831"/>
        <v>0</v>
      </c>
      <c r="HE825" t="s">
        <v>3</v>
      </c>
      <c r="HF825" t="s">
        <v>3</v>
      </c>
      <c r="HM825" t="s">
        <v>3</v>
      </c>
      <c r="HN825" t="s">
        <v>3</v>
      </c>
      <c r="HO825" t="s">
        <v>3</v>
      </c>
      <c r="HP825" t="s">
        <v>3</v>
      </c>
      <c r="HQ825" t="s">
        <v>3</v>
      </c>
      <c r="IK825">
        <v>0</v>
      </c>
    </row>
    <row r="826" spans="1:245" x14ac:dyDescent="0.2">
      <c r="A826">
        <v>17</v>
      </c>
      <c r="B826">
        <v>1</v>
      </c>
      <c r="D826">
        <f>ROW(EtalonRes!A831)</f>
        <v>831</v>
      </c>
      <c r="E826" t="s">
        <v>740</v>
      </c>
      <c r="F826" t="s">
        <v>662</v>
      </c>
      <c r="G826" t="s">
        <v>741</v>
      </c>
      <c r="H826" t="s">
        <v>20</v>
      </c>
      <c r="I826">
        <v>5</v>
      </c>
      <c r="J826">
        <v>0</v>
      </c>
      <c r="K826">
        <v>5</v>
      </c>
      <c r="O826">
        <f t="shared" si="797"/>
        <v>46954</v>
      </c>
      <c r="P826">
        <f t="shared" si="798"/>
        <v>642.25</v>
      </c>
      <c r="Q826">
        <f t="shared" si="799"/>
        <v>0</v>
      </c>
      <c r="R826">
        <f t="shared" si="800"/>
        <v>0</v>
      </c>
      <c r="S826">
        <f t="shared" si="801"/>
        <v>46311.75</v>
      </c>
      <c r="T826">
        <f t="shared" si="802"/>
        <v>0</v>
      </c>
      <c r="U826">
        <f t="shared" si="803"/>
        <v>75</v>
      </c>
      <c r="V826">
        <f t="shared" si="804"/>
        <v>0</v>
      </c>
      <c r="W826">
        <f t="shared" si="805"/>
        <v>0</v>
      </c>
      <c r="X826">
        <f t="shared" si="806"/>
        <v>32418.23</v>
      </c>
      <c r="Y826">
        <f t="shared" si="807"/>
        <v>4631.18</v>
      </c>
      <c r="AA826">
        <v>1472506909</v>
      </c>
      <c r="AB826">
        <f t="shared" si="808"/>
        <v>9390.7999999999993</v>
      </c>
      <c r="AC826">
        <f>ROUND((ES826),6)</f>
        <v>128.44999999999999</v>
      </c>
      <c r="AD826">
        <f>ROUND((((ET826)-(EU826))+AE826),6)</f>
        <v>0</v>
      </c>
      <c r="AE826">
        <f>ROUND((EU826),6)</f>
        <v>0</v>
      </c>
      <c r="AF826">
        <f>ROUND((EV826),6)</f>
        <v>9262.35</v>
      </c>
      <c r="AG826">
        <f t="shared" si="810"/>
        <v>0</v>
      </c>
      <c r="AH826">
        <f>(EW826)</f>
        <v>15</v>
      </c>
      <c r="AI826">
        <f>(EX826)</f>
        <v>0</v>
      </c>
      <c r="AJ826">
        <f t="shared" si="811"/>
        <v>0</v>
      </c>
      <c r="AK826">
        <v>9390.7999999999993</v>
      </c>
      <c r="AL826">
        <v>128.44999999999999</v>
      </c>
      <c r="AM826">
        <v>0</v>
      </c>
      <c r="AN826">
        <v>0</v>
      </c>
      <c r="AO826">
        <v>9262.35</v>
      </c>
      <c r="AP826">
        <v>0</v>
      </c>
      <c r="AQ826">
        <v>15</v>
      </c>
      <c r="AR826">
        <v>0</v>
      </c>
      <c r="AS826">
        <v>0</v>
      </c>
      <c r="AT826">
        <v>70</v>
      </c>
      <c r="AU826">
        <v>10</v>
      </c>
      <c r="AV826">
        <v>1</v>
      </c>
      <c r="AW826">
        <v>1</v>
      </c>
      <c r="AZ826">
        <v>1</v>
      </c>
      <c r="BA826">
        <v>1</v>
      </c>
      <c r="BB826">
        <v>1</v>
      </c>
      <c r="BC826">
        <v>1</v>
      </c>
      <c r="BD826" t="s">
        <v>3</v>
      </c>
      <c r="BE826" t="s">
        <v>3</v>
      </c>
      <c r="BF826" t="s">
        <v>3</v>
      </c>
      <c r="BG826" t="s">
        <v>3</v>
      </c>
      <c r="BH826">
        <v>0</v>
      </c>
      <c r="BI826">
        <v>4</v>
      </c>
      <c r="BJ826" t="s">
        <v>664</v>
      </c>
      <c r="BM826">
        <v>0</v>
      </c>
      <c r="BN826">
        <v>0</v>
      </c>
      <c r="BO826" t="s">
        <v>3</v>
      </c>
      <c r="BP826">
        <v>0</v>
      </c>
      <c r="BQ826">
        <v>1</v>
      </c>
      <c r="BR826">
        <v>0</v>
      </c>
      <c r="BS826">
        <v>1</v>
      </c>
      <c r="BT826">
        <v>1</v>
      </c>
      <c r="BU826">
        <v>1</v>
      </c>
      <c r="BV826">
        <v>1</v>
      </c>
      <c r="BW826">
        <v>1</v>
      </c>
      <c r="BX826">
        <v>1</v>
      </c>
      <c r="BY826" t="s">
        <v>3</v>
      </c>
      <c r="BZ826">
        <v>70</v>
      </c>
      <c r="CA826">
        <v>10</v>
      </c>
      <c r="CB826" t="s">
        <v>3</v>
      </c>
      <c r="CE826">
        <v>0</v>
      </c>
      <c r="CF826">
        <v>0</v>
      </c>
      <c r="CG826">
        <v>0</v>
      </c>
      <c r="CM826">
        <v>0</v>
      </c>
      <c r="CN826" t="s">
        <v>3</v>
      </c>
      <c r="CO826">
        <v>0</v>
      </c>
      <c r="CP826">
        <f t="shared" si="812"/>
        <v>46954</v>
      </c>
      <c r="CQ826">
        <f t="shared" si="813"/>
        <v>128.44999999999999</v>
      </c>
      <c r="CR826">
        <f>((((ET826)*BB826-(EU826)*BS826)+AE826*BS826)*AV826)</f>
        <v>0</v>
      </c>
      <c r="CS826">
        <f t="shared" si="815"/>
        <v>0</v>
      </c>
      <c r="CT826">
        <f t="shared" si="816"/>
        <v>9262.35</v>
      </c>
      <c r="CU826">
        <f t="shared" si="817"/>
        <v>0</v>
      </c>
      <c r="CV826">
        <f t="shared" si="818"/>
        <v>15</v>
      </c>
      <c r="CW826">
        <f t="shared" si="819"/>
        <v>0</v>
      </c>
      <c r="CX826">
        <f t="shared" si="820"/>
        <v>0</v>
      </c>
      <c r="CY826">
        <f t="shared" si="821"/>
        <v>32418.224999999999</v>
      </c>
      <c r="CZ826">
        <f t="shared" si="822"/>
        <v>4631.1750000000002</v>
      </c>
      <c r="DC826" t="s">
        <v>3</v>
      </c>
      <c r="DD826" t="s">
        <v>3</v>
      </c>
      <c r="DE826" t="s">
        <v>3</v>
      </c>
      <c r="DF826" t="s">
        <v>3</v>
      </c>
      <c r="DG826" t="s">
        <v>3</v>
      </c>
      <c r="DH826" t="s">
        <v>3</v>
      </c>
      <c r="DI826" t="s">
        <v>3</v>
      </c>
      <c r="DJ826" t="s">
        <v>3</v>
      </c>
      <c r="DK826" t="s">
        <v>3</v>
      </c>
      <c r="DL826" t="s">
        <v>3</v>
      </c>
      <c r="DM826" t="s">
        <v>3</v>
      </c>
      <c r="DN826">
        <v>0</v>
      </c>
      <c r="DO826">
        <v>0</v>
      </c>
      <c r="DP826">
        <v>1</v>
      </c>
      <c r="DQ826">
        <v>1</v>
      </c>
      <c r="DU826">
        <v>16987630</v>
      </c>
      <c r="DV826" t="s">
        <v>20</v>
      </c>
      <c r="DW826" t="s">
        <v>20</v>
      </c>
      <c r="DX826">
        <v>1</v>
      </c>
      <c r="DZ826" t="s">
        <v>3</v>
      </c>
      <c r="EA826" t="s">
        <v>3</v>
      </c>
      <c r="EB826" t="s">
        <v>3</v>
      </c>
      <c r="EC826" t="s">
        <v>3</v>
      </c>
      <c r="EE826">
        <v>1441815344</v>
      </c>
      <c r="EF826">
        <v>1</v>
      </c>
      <c r="EG826" t="s">
        <v>22</v>
      </c>
      <c r="EH826">
        <v>0</v>
      </c>
      <c r="EI826" t="s">
        <v>3</v>
      </c>
      <c r="EJ826">
        <v>4</v>
      </c>
      <c r="EK826">
        <v>0</v>
      </c>
      <c r="EL826" t="s">
        <v>23</v>
      </c>
      <c r="EM826" t="s">
        <v>24</v>
      </c>
      <c r="EO826" t="s">
        <v>3</v>
      </c>
      <c r="EQ826">
        <v>0</v>
      </c>
      <c r="ER826">
        <v>9390.7999999999993</v>
      </c>
      <c r="ES826">
        <v>128.44999999999999</v>
      </c>
      <c r="ET826">
        <v>0</v>
      </c>
      <c r="EU826">
        <v>0</v>
      </c>
      <c r="EV826">
        <v>9262.35</v>
      </c>
      <c r="EW826">
        <v>15</v>
      </c>
      <c r="EX826">
        <v>0</v>
      </c>
      <c r="EY826">
        <v>0</v>
      </c>
      <c r="FQ826">
        <v>0</v>
      </c>
      <c r="FR826">
        <f t="shared" si="823"/>
        <v>0</v>
      </c>
      <c r="FS826">
        <v>0</v>
      </c>
      <c r="FX826">
        <v>70</v>
      </c>
      <c r="FY826">
        <v>10</v>
      </c>
      <c r="GA826" t="s">
        <v>3</v>
      </c>
      <c r="GD826">
        <v>0</v>
      </c>
      <c r="GF826">
        <v>-1043111840</v>
      </c>
      <c r="GG826">
        <v>2</v>
      </c>
      <c r="GH826">
        <v>1</v>
      </c>
      <c r="GI826">
        <v>-2</v>
      </c>
      <c r="GJ826">
        <v>0</v>
      </c>
      <c r="GK826">
        <f>ROUND(R826*(R12)/100,2)</f>
        <v>0</v>
      </c>
      <c r="GL826">
        <f t="shared" si="824"/>
        <v>0</v>
      </c>
      <c r="GM826">
        <f t="shared" si="825"/>
        <v>84003.41</v>
      </c>
      <c r="GN826">
        <f t="shared" si="826"/>
        <v>0</v>
      </c>
      <c r="GO826">
        <f t="shared" si="827"/>
        <v>0</v>
      </c>
      <c r="GP826">
        <f t="shared" si="828"/>
        <v>84003.41</v>
      </c>
      <c r="GR826">
        <v>0</v>
      </c>
      <c r="GS826">
        <v>3</v>
      </c>
      <c r="GT826">
        <v>0</v>
      </c>
      <c r="GU826" t="s">
        <v>3</v>
      </c>
      <c r="GV826">
        <f t="shared" si="829"/>
        <v>0</v>
      </c>
      <c r="GW826">
        <v>1</v>
      </c>
      <c r="GX826">
        <f t="shared" si="830"/>
        <v>0</v>
      </c>
      <c r="HA826">
        <v>0</v>
      </c>
      <c r="HB826">
        <v>0</v>
      </c>
      <c r="HC826">
        <f t="shared" si="831"/>
        <v>0</v>
      </c>
      <c r="HE826" t="s">
        <v>3</v>
      </c>
      <c r="HF826" t="s">
        <v>3</v>
      </c>
      <c r="HM826" t="s">
        <v>3</v>
      </c>
      <c r="HN826" t="s">
        <v>3</v>
      </c>
      <c r="HO826" t="s">
        <v>3</v>
      </c>
      <c r="HP826" t="s">
        <v>3</v>
      </c>
      <c r="HQ826" t="s">
        <v>3</v>
      </c>
      <c r="IK826">
        <v>0</v>
      </c>
    </row>
    <row r="827" spans="1:245" x14ac:dyDescent="0.2">
      <c r="A827">
        <v>17</v>
      </c>
      <c r="B827">
        <v>1</v>
      </c>
      <c r="D827">
        <f>ROW(EtalonRes!A833)</f>
        <v>833</v>
      </c>
      <c r="E827" t="s">
        <v>3</v>
      </c>
      <c r="F827" t="s">
        <v>665</v>
      </c>
      <c r="G827" t="s">
        <v>666</v>
      </c>
      <c r="H827" t="s">
        <v>20</v>
      </c>
      <c r="I827">
        <v>5</v>
      </c>
      <c r="J827">
        <v>0</v>
      </c>
      <c r="K827">
        <v>5</v>
      </c>
      <c r="O827">
        <f t="shared" si="797"/>
        <v>24758.400000000001</v>
      </c>
      <c r="P827">
        <f t="shared" si="798"/>
        <v>59.2</v>
      </c>
      <c r="Q827">
        <f t="shared" si="799"/>
        <v>0</v>
      </c>
      <c r="R827">
        <f t="shared" si="800"/>
        <v>0</v>
      </c>
      <c r="S827">
        <f t="shared" si="801"/>
        <v>24699.200000000001</v>
      </c>
      <c r="T827">
        <f t="shared" si="802"/>
        <v>0</v>
      </c>
      <c r="U827">
        <f t="shared" si="803"/>
        <v>40</v>
      </c>
      <c r="V827">
        <f t="shared" si="804"/>
        <v>0</v>
      </c>
      <c r="W827">
        <f t="shared" si="805"/>
        <v>0</v>
      </c>
      <c r="X827">
        <f t="shared" si="806"/>
        <v>17289.439999999999</v>
      </c>
      <c r="Y827">
        <f t="shared" si="807"/>
        <v>2469.92</v>
      </c>
      <c r="AA827">
        <v>-1</v>
      </c>
      <c r="AB827">
        <f t="shared" si="808"/>
        <v>4951.68</v>
      </c>
      <c r="AC827">
        <f>ROUND(((ES827*16)),6)</f>
        <v>11.84</v>
      </c>
      <c r="AD827">
        <f>ROUND(((((ET827*16))-((EU827*16)))+AE827),6)</f>
        <v>0</v>
      </c>
      <c r="AE827">
        <f>ROUND(((EU827*16)),6)</f>
        <v>0</v>
      </c>
      <c r="AF827">
        <f>ROUND(((EV827*16)),6)</f>
        <v>4939.84</v>
      </c>
      <c r="AG827">
        <f t="shared" si="810"/>
        <v>0</v>
      </c>
      <c r="AH827">
        <f>((EW827*16))</f>
        <v>8</v>
      </c>
      <c r="AI827">
        <f>((EX827*16))</f>
        <v>0</v>
      </c>
      <c r="AJ827">
        <f t="shared" si="811"/>
        <v>0</v>
      </c>
      <c r="AK827">
        <v>309.48</v>
      </c>
      <c r="AL827">
        <v>0.74</v>
      </c>
      <c r="AM827">
        <v>0</v>
      </c>
      <c r="AN827">
        <v>0</v>
      </c>
      <c r="AO827">
        <v>308.74</v>
      </c>
      <c r="AP827">
        <v>0</v>
      </c>
      <c r="AQ827">
        <v>0.5</v>
      </c>
      <c r="AR827">
        <v>0</v>
      </c>
      <c r="AS827">
        <v>0</v>
      </c>
      <c r="AT827">
        <v>70</v>
      </c>
      <c r="AU827">
        <v>10</v>
      </c>
      <c r="AV827">
        <v>1</v>
      </c>
      <c r="AW827">
        <v>1</v>
      </c>
      <c r="AZ827">
        <v>1</v>
      </c>
      <c r="BA827">
        <v>1</v>
      </c>
      <c r="BB827">
        <v>1</v>
      </c>
      <c r="BC827">
        <v>1</v>
      </c>
      <c r="BD827" t="s">
        <v>3</v>
      </c>
      <c r="BE827" t="s">
        <v>3</v>
      </c>
      <c r="BF827" t="s">
        <v>3</v>
      </c>
      <c r="BG827" t="s">
        <v>3</v>
      </c>
      <c r="BH827">
        <v>0</v>
      </c>
      <c r="BI827">
        <v>4</v>
      </c>
      <c r="BJ827" t="s">
        <v>667</v>
      </c>
      <c r="BM827">
        <v>0</v>
      </c>
      <c r="BN827">
        <v>0</v>
      </c>
      <c r="BO827" t="s">
        <v>3</v>
      </c>
      <c r="BP827">
        <v>0</v>
      </c>
      <c r="BQ827">
        <v>1</v>
      </c>
      <c r="BR827">
        <v>0</v>
      </c>
      <c r="BS827">
        <v>1</v>
      </c>
      <c r="BT827">
        <v>1</v>
      </c>
      <c r="BU827">
        <v>1</v>
      </c>
      <c r="BV827">
        <v>1</v>
      </c>
      <c r="BW827">
        <v>1</v>
      </c>
      <c r="BX827">
        <v>1</v>
      </c>
      <c r="BY827" t="s">
        <v>3</v>
      </c>
      <c r="BZ827">
        <v>70</v>
      </c>
      <c r="CA827">
        <v>10</v>
      </c>
      <c r="CB827" t="s">
        <v>3</v>
      </c>
      <c r="CE827">
        <v>0</v>
      </c>
      <c r="CF827">
        <v>0</v>
      </c>
      <c r="CG827">
        <v>0</v>
      </c>
      <c r="CM827">
        <v>0</v>
      </c>
      <c r="CN827" t="s">
        <v>3</v>
      </c>
      <c r="CO827">
        <v>0</v>
      </c>
      <c r="CP827">
        <f t="shared" si="812"/>
        <v>24758.400000000001</v>
      </c>
      <c r="CQ827">
        <f t="shared" si="813"/>
        <v>11.84</v>
      </c>
      <c r="CR827">
        <f>(((((ET827*16))*BB827-((EU827*16))*BS827)+AE827*BS827)*AV827)</f>
        <v>0</v>
      </c>
      <c r="CS827">
        <f t="shared" si="815"/>
        <v>0</v>
      </c>
      <c r="CT827">
        <f t="shared" si="816"/>
        <v>4939.84</v>
      </c>
      <c r="CU827">
        <f t="shared" si="817"/>
        <v>0</v>
      </c>
      <c r="CV827">
        <f t="shared" si="818"/>
        <v>8</v>
      </c>
      <c r="CW827">
        <f t="shared" si="819"/>
        <v>0</v>
      </c>
      <c r="CX827">
        <f t="shared" si="820"/>
        <v>0</v>
      </c>
      <c r="CY827">
        <f t="shared" si="821"/>
        <v>17289.439999999999</v>
      </c>
      <c r="CZ827">
        <f t="shared" si="822"/>
        <v>2469.92</v>
      </c>
      <c r="DC827" t="s">
        <v>3</v>
      </c>
      <c r="DD827" t="s">
        <v>742</v>
      </c>
      <c r="DE827" t="s">
        <v>742</v>
      </c>
      <c r="DF827" t="s">
        <v>742</v>
      </c>
      <c r="DG827" t="s">
        <v>742</v>
      </c>
      <c r="DH827" t="s">
        <v>3</v>
      </c>
      <c r="DI827" t="s">
        <v>742</v>
      </c>
      <c r="DJ827" t="s">
        <v>742</v>
      </c>
      <c r="DK827" t="s">
        <v>3</v>
      </c>
      <c r="DL827" t="s">
        <v>3</v>
      </c>
      <c r="DM827" t="s">
        <v>3</v>
      </c>
      <c r="DN827">
        <v>0</v>
      </c>
      <c r="DO827">
        <v>0</v>
      </c>
      <c r="DP827">
        <v>1</v>
      </c>
      <c r="DQ827">
        <v>1</v>
      </c>
      <c r="DU827">
        <v>16987630</v>
      </c>
      <c r="DV827" t="s">
        <v>20</v>
      </c>
      <c r="DW827" t="s">
        <v>20</v>
      </c>
      <c r="DX827">
        <v>1</v>
      </c>
      <c r="DZ827" t="s">
        <v>3</v>
      </c>
      <c r="EA827" t="s">
        <v>3</v>
      </c>
      <c r="EB827" t="s">
        <v>3</v>
      </c>
      <c r="EC827" t="s">
        <v>3</v>
      </c>
      <c r="EE827">
        <v>1441815344</v>
      </c>
      <c r="EF827">
        <v>1</v>
      </c>
      <c r="EG827" t="s">
        <v>22</v>
      </c>
      <c r="EH827">
        <v>0</v>
      </c>
      <c r="EI827" t="s">
        <v>3</v>
      </c>
      <c r="EJ827">
        <v>4</v>
      </c>
      <c r="EK827">
        <v>0</v>
      </c>
      <c r="EL827" t="s">
        <v>23</v>
      </c>
      <c r="EM827" t="s">
        <v>24</v>
      </c>
      <c r="EO827" t="s">
        <v>3</v>
      </c>
      <c r="EQ827">
        <v>1024</v>
      </c>
      <c r="ER827">
        <v>309.48</v>
      </c>
      <c r="ES827">
        <v>0.74</v>
      </c>
      <c r="ET827">
        <v>0</v>
      </c>
      <c r="EU827">
        <v>0</v>
      </c>
      <c r="EV827">
        <v>308.74</v>
      </c>
      <c r="EW827">
        <v>0.5</v>
      </c>
      <c r="EX827">
        <v>0</v>
      </c>
      <c r="EY827">
        <v>0</v>
      </c>
      <c r="FQ827">
        <v>0</v>
      </c>
      <c r="FR827">
        <f t="shared" si="823"/>
        <v>0</v>
      </c>
      <c r="FS827">
        <v>0</v>
      </c>
      <c r="FX827">
        <v>70</v>
      </c>
      <c r="FY827">
        <v>10</v>
      </c>
      <c r="GA827" t="s">
        <v>3</v>
      </c>
      <c r="GD827">
        <v>0</v>
      </c>
      <c r="GF827">
        <v>139908063</v>
      </c>
      <c r="GG827">
        <v>2</v>
      </c>
      <c r="GH827">
        <v>1</v>
      </c>
      <c r="GI827">
        <v>-2</v>
      </c>
      <c r="GJ827">
        <v>0</v>
      </c>
      <c r="GK827">
        <f>ROUND(R827*(R12)/100,2)</f>
        <v>0</v>
      </c>
      <c r="GL827">
        <f t="shared" si="824"/>
        <v>0</v>
      </c>
      <c r="GM827">
        <f t="shared" si="825"/>
        <v>44517.760000000002</v>
      </c>
      <c r="GN827">
        <f t="shared" si="826"/>
        <v>0</v>
      </c>
      <c r="GO827">
        <f t="shared" si="827"/>
        <v>0</v>
      </c>
      <c r="GP827">
        <f t="shared" si="828"/>
        <v>44517.760000000002</v>
      </c>
      <c r="GR827">
        <v>0</v>
      </c>
      <c r="GS827">
        <v>3</v>
      </c>
      <c r="GT827">
        <v>0</v>
      </c>
      <c r="GU827" t="s">
        <v>3</v>
      </c>
      <c r="GV827">
        <f t="shared" si="829"/>
        <v>0</v>
      </c>
      <c r="GW827">
        <v>1</v>
      </c>
      <c r="GX827">
        <f t="shared" si="830"/>
        <v>0</v>
      </c>
      <c r="HA827">
        <v>0</v>
      </c>
      <c r="HB827">
        <v>0</v>
      </c>
      <c r="HC827">
        <f t="shared" si="831"/>
        <v>0</v>
      </c>
      <c r="HE827" t="s">
        <v>3</v>
      </c>
      <c r="HF827" t="s">
        <v>3</v>
      </c>
      <c r="HM827" t="s">
        <v>3</v>
      </c>
      <c r="HN827" t="s">
        <v>3</v>
      </c>
      <c r="HO827" t="s">
        <v>3</v>
      </c>
      <c r="HP827" t="s">
        <v>3</v>
      </c>
      <c r="HQ827" t="s">
        <v>3</v>
      </c>
      <c r="IK827">
        <v>0</v>
      </c>
    </row>
    <row r="828" spans="1:245" x14ac:dyDescent="0.2">
      <c r="A828">
        <v>17</v>
      </c>
      <c r="B828">
        <v>1</v>
      </c>
      <c r="D828">
        <f>ROW(EtalonRes!A838)</f>
        <v>838</v>
      </c>
      <c r="E828" t="s">
        <v>743</v>
      </c>
      <c r="F828" t="s">
        <v>594</v>
      </c>
      <c r="G828" t="s">
        <v>744</v>
      </c>
      <c r="H828" t="s">
        <v>20</v>
      </c>
      <c r="I828">
        <v>3</v>
      </c>
      <c r="J828">
        <v>0</v>
      </c>
      <c r="K828">
        <v>3</v>
      </c>
      <c r="O828">
        <f t="shared" si="797"/>
        <v>33806.879999999997</v>
      </c>
      <c r="P828">
        <f t="shared" si="798"/>
        <v>462.42</v>
      </c>
      <c r="Q828">
        <f t="shared" si="799"/>
        <v>0</v>
      </c>
      <c r="R828">
        <f t="shared" si="800"/>
        <v>0</v>
      </c>
      <c r="S828">
        <f t="shared" si="801"/>
        <v>33344.46</v>
      </c>
      <c r="T828">
        <f t="shared" si="802"/>
        <v>0</v>
      </c>
      <c r="U828">
        <f t="shared" si="803"/>
        <v>54</v>
      </c>
      <c r="V828">
        <f t="shared" si="804"/>
        <v>0</v>
      </c>
      <c r="W828">
        <f t="shared" si="805"/>
        <v>0</v>
      </c>
      <c r="X828">
        <f t="shared" si="806"/>
        <v>23341.119999999999</v>
      </c>
      <c r="Y828">
        <f t="shared" si="807"/>
        <v>3334.45</v>
      </c>
      <c r="AA828">
        <v>1472506909</v>
      </c>
      <c r="AB828">
        <f t="shared" si="808"/>
        <v>11268.96</v>
      </c>
      <c r="AC828">
        <f>ROUND((ES828),6)</f>
        <v>154.13999999999999</v>
      </c>
      <c r="AD828">
        <f>ROUND((((ET828)-(EU828))+AE828),6)</f>
        <v>0</v>
      </c>
      <c r="AE828">
        <f>ROUND((EU828),6)</f>
        <v>0</v>
      </c>
      <c r="AF828">
        <f>ROUND((EV828),6)</f>
        <v>11114.82</v>
      </c>
      <c r="AG828">
        <f t="shared" si="810"/>
        <v>0</v>
      </c>
      <c r="AH828">
        <f>(EW828)</f>
        <v>18</v>
      </c>
      <c r="AI828">
        <f>(EX828)</f>
        <v>0</v>
      </c>
      <c r="AJ828">
        <f t="shared" si="811"/>
        <v>0</v>
      </c>
      <c r="AK828">
        <v>11268.96</v>
      </c>
      <c r="AL828">
        <v>154.13999999999999</v>
      </c>
      <c r="AM828">
        <v>0</v>
      </c>
      <c r="AN828">
        <v>0</v>
      </c>
      <c r="AO828">
        <v>11114.82</v>
      </c>
      <c r="AP828">
        <v>0</v>
      </c>
      <c r="AQ828">
        <v>18</v>
      </c>
      <c r="AR828">
        <v>0</v>
      </c>
      <c r="AS828">
        <v>0</v>
      </c>
      <c r="AT828">
        <v>70</v>
      </c>
      <c r="AU828">
        <v>10</v>
      </c>
      <c r="AV828">
        <v>1</v>
      </c>
      <c r="AW828">
        <v>1</v>
      </c>
      <c r="AZ828">
        <v>1</v>
      </c>
      <c r="BA828">
        <v>1</v>
      </c>
      <c r="BB828">
        <v>1</v>
      </c>
      <c r="BC828">
        <v>1</v>
      </c>
      <c r="BD828" t="s">
        <v>3</v>
      </c>
      <c r="BE828" t="s">
        <v>3</v>
      </c>
      <c r="BF828" t="s">
        <v>3</v>
      </c>
      <c r="BG828" t="s">
        <v>3</v>
      </c>
      <c r="BH828">
        <v>0</v>
      </c>
      <c r="BI828">
        <v>4</v>
      </c>
      <c r="BJ828" t="s">
        <v>596</v>
      </c>
      <c r="BM828">
        <v>0</v>
      </c>
      <c r="BN828">
        <v>0</v>
      </c>
      <c r="BO828" t="s">
        <v>3</v>
      </c>
      <c r="BP828">
        <v>0</v>
      </c>
      <c r="BQ828">
        <v>1</v>
      </c>
      <c r="BR828">
        <v>0</v>
      </c>
      <c r="BS828">
        <v>1</v>
      </c>
      <c r="BT828">
        <v>1</v>
      </c>
      <c r="BU828">
        <v>1</v>
      </c>
      <c r="BV828">
        <v>1</v>
      </c>
      <c r="BW828">
        <v>1</v>
      </c>
      <c r="BX828">
        <v>1</v>
      </c>
      <c r="BY828" t="s">
        <v>3</v>
      </c>
      <c r="BZ828">
        <v>70</v>
      </c>
      <c r="CA828">
        <v>10</v>
      </c>
      <c r="CB828" t="s">
        <v>3</v>
      </c>
      <c r="CE828">
        <v>0</v>
      </c>
      <c r="CF828">
        <v>0</v>
      </c>
      <c r="CG828">
        <v>0</v>
      </c>
      <c r="CM828">
        <v>0</v>
      </c>
      <c r="CN828" t="s">
        <v>3</v>
      </c>
      <c r="CO828">
        <v>0</v>
      </c>
      <c r="CP828">
        <f t="shared" si="812"/>
        <v>33806.879999999997</v>
      </c>
      <c r="CQ828">
        <f t="shared" si="813"/>
        <v>154.13999999999999</v>
      </c>
      <c r="CR828">
        <f>((((ET828)*BB828-(EU828)*BS828)+AE828*BS828)*AV828)</f>
        <v>0</v>
      </c>
      <c r="CS828">
        <f t="shared" si="815"/>
        <v>0</v>
      </c>
      <c r="CT828">
        <f t="shared" si="816"/>
        <v>11114.82</v>
      </c>
      <c r="CU828">
        <f t="shared" si="817"/>
        <v>0</v>
      </c>
      <c r="CV828">
        <f t="shared" si="818"/>
        <v>18</v>
      </c>
      <c r="CW828">
        <f t="shared" si="819"/>
        <v>0</v>
      </c>
      <c r="CX828">
        <f t="shared" si="820"/>
        <v>0</v>
      </c>
      <c r="CY828">
        <f t="shared" si="821"/>
        <v>23341.121999999996</v>
      </c>
      <c r="CZ828">
        <f t="shared" si="822"/>
        <v>3334.4459999999999</v>
      </c>
      <c r="DC828" t="s">
        <v>3</v>
      </c>
      <c r="DD828" t="s">
        <v>3</v>
      </c>
      <c r="DE828" t="s">
        <v>3</v>
      </c>
      <c r="DF828" t="s">
        <v>3</v>
      </c>
      <c r="DG828" t="s">
        <v>3</v>
      </c>
      <c r="DH828" t="s">
        <v>3</v>
      </c>
      <c r="DI828" t="s">
        <v>3</v>
      </c>
      <c r="DJ828" t="s">
        <v>3</v>
      </c>
      <c r="DK828" t="s">
        <v>3</v>
      </c>
      <c r="DL828" t="s">
        <v>3</v>
      </c>
      <c r="DM828" t="s">
        <v>3</v>
      </c>
      <c r="DN828">
        <v>0</v>
      </c>
      <c r="DO828">
        <v>0</v>
      </c>
      <c r="DP828">
        <v>1</v>
      </c>
      <c r="DQ828">
        <v>1</v>
      </c>
      <c r="DU828">
        <v>16987630</v>
      </c>
      <c r="DV828" t="s">
        <v>20</v>
      </c>
      <c r="DW828" t="s">
        <v>20</v>
      </c>
      <c r="DX828">
        <v>1</v>
      </c>
      <c r="DZ828" t="s">
        <v>3</v>
      </c>
      <c r="EA828" t="s">
        <v>3</v>
      </c>
      <c r="EB828" t="s">
        <v>3</v>
      </c>
      <c r="EC828" t="s">
        <v>3</v>
      </c>
      <c r="EE828">
        <v>1441815344</v>
      </c>
      <c r="EF828">
        <v>1</v>
      </c>
      <c r="EG828" t="s">
        <v>22</v>
      </c>
      <c r="EH828">
        <v>0</v>
      </c>
      <c r="EI828" t="s">
        <v>3</v>
      </c>
      <c r="EJ828">
        <v>4</v>
      </c>
      <c r="EK828">
        <v>0</v>
      </c>
      <c r="EL828" t="s">
        <v>23</v>
      </c>
      <c r="EM828" t="s">
        <v>24</v>
      </c>
      <c r="EO828" t="s">
        <v>3</v>
      </c>
      <c r="EQ828">
        <v>0</v>
      </c>
      <c r="ER828">
        <v>11268.96</v>
      </c>
      <c r="ES828">
        <v>154.13999999999999</v>
      </c>
      <c r="ET828">
        <v>0</v>
      </c>
      <c r="EU828">
        <v>0</v>
      </c>
      <c r="EV828">
        <v>11114.82</v>
      </c>
      <c r="EW828">
        <v>18</v>
      </c>
      <c r="EX828">
        <v>0</v>
      </c>
      <c r="EY828">
        <v>0</v>
      </c>
      <c r="FQ828">
        <v>0</v>
      </c>
      <c r="FR828">
        <f t="shared" si="823"/>
        <v>0</v>
      </c>
      <c r="FS828">
        <v>0</v>
      </c>
      <c r="FX828">
        <v>70</v>
      </c>
      <c r="FY828">
        <v>10</v>
      </c>
      <c r="GA828" t="s">
        <v>3</v>
      </c>
      <c r="GD828">
        <v>0</v>
      </c>
      <c r="GF828">
        <v>433463959</v>
      </c>
      <c r="GG828">
        <v>2</v>
      </c>
      <c r="GH828">
        <v>1</v>
      </c>
      <c r="GI828">
        <v>-2</v>
      </c>
      <c r="GJ828">
        <v>0</v>
      </c>
      <c r="GK828">
        <f>ROUND(R828*(R12)/100,2)</f>
        <v>0</v>
      </c>
      <c r="GL828">
        <f t="shared" si="824"/>
        <v>0</v>
      </c>
      <c r="GM828">
        <f t="shared" si="825"/>
        <v>60482.45</v>
      </c>
      <c r="GN828">
        <f t="shared" si="826"/>
        <v>0</v>
      </c>
      <c r="GO828">
        <f t="shared" si="827"/>
        <v>0</v>
      </c>
      <c r="GP828">
        <f t="shared" si="828"/>
        <v>60482.45</v>
      </c>
      <c r="GR828">
        <v>0</v>
      </c>
      <c r="GS828">
        <v>3</v>
      </c>
      <c r="GT828">
        <v>0</v>
      </c>
      <c r="GU828" t="s">
        <v>3</v>
      </c>
      <c r="GV828">
        <f t="shared" si="829"/>
        <v>0</v>
      </c>
      <c r="GW828">
        <v>1</v>
      </c>
      <c r="GX828">
        <f t="shared" si="830"/>
        <v>0</v>
      </c>
      <c r="HA828">
        <v>0</v>
      </c>
      <c r="HB828">
        <v>0</v>
      </c>
      <c r="HC828">
        <f t="shared" si="831"/>
        <v>0</v>
      </c>
      <c r="HE828" t="s">
        <v>3</v>
      </c>
      <c r="HF828" t="s">
        <v>3</v>
      </c>
      <c r="HM828" t="s">
        <v>3</v>
      </c>
      <c r="HN828" t="s">
        <v>3</v>
      </c>
      <c r="HO828" t="s">
        <v>3</v>
      </c>
      <c r="HP828" t="s">
        <v>3</v>
      </c>
      <c r="HQ828" t="s">
        <v>3</v>
      </c>
      <c r="IK828">
        <v>0</v>
      </c>
    </row>
    <row r="829" spans="1:245" x14ac:dyDescent="0.2">
      <c r="A829">
        <v>17</v>
      </c>
      <c r="B829">
        <v>1</v>
      </c>
      <c r="D829">
        <f>ROW(EtalonRes!A840)</f>
        <v>840</v>
      </c>
      <c r="E829" t="s">
        <v>3</v>
      </c>
      <c r="F829" t="s">
        <v>597</v>
      </c>
      <c r="G829" t="s">
        <v>598</v>
      </c>
      <c r="H829" t="s">
        <v>20</v>
      </c>
      <c r="I829">
        <v>3</v>
      </c>
      <c r="J829">
        <v>0</v>
      </c>
      <c r="K829">
        <v>3</v>
      </c>
      <c r="O829">
        <f t="shared" si="797"/>
        <v>17819.04</v>
      </c>
      <c r="P829">
        <f t="shared" si="798"/>
        <v>35.520000000000003</v>
      </c>
      <c r="Q829">
        <f t="shared" si="799"/>
        <v>0</v>
      </c>
      <c r="R829">
        <f t="shared" si="800"/>
        <v>0</v>
      </c>
      <c r="S829">
        <f t="shared" si="801"/>
        <v>17783.52</v>
      </c>
      <c r="T829">
        <f t="shared" si="802"/>
        <v>0</v>
      </c>
      <c r="U829">
        <f t="shared" si="803"/>
        <v>28.799999999999997</v>
      </c>
      <c r="V829">
        <f t="shared" si="804"/>
        <v>0</v>
      </c>
      <c r="W829">
        <f t="shared" si="805"/>
        <v>0</v>
      </c>
      <c r="X829">
        <f t="shared" si="806"/>
        <v>12448.46</v>
      </c>
      <c r="Y829">
        <f t="shared" si="807"/>
        <v>1778.35</v>
      </c>
      <c r="AA829">
        <v>-1</v>
      </c>
      <c r="AB829">
        <f t="shared" si="808"/>
        <v>5939.68</v>
      </c>
      <c r="AC829">
        <f>ROUND(((ES829*16)),6)</f>
        <v>11.84</v>
      </c>
      <c r="AD829">
        <f>ROUND(((((ET829*16))-((EU829*16)))+AE829),6)</f>
        <v>0</v>
      </c>
      <c r="AE829">
        <f>ROUND(((EU829*16)),6)</f>
        <v>0</v>
      </c>
      <c r="AF829">
        <f>ROUND(((EV829*16)),6)</f>
        <v>5927.84</v>
      </c>
      <c r="AG829">
        <f t="shared" si="810"/>
        <v>0</v>
      </c>
      <c r="AH829">
        <f>((EW829*16))</f>
        <v>9.6</v>
      </c>
      <c r="AI829">
        <f>((EX829*16))</f>
        <v>0</v>
      </c>
      <c r="AJ829">
        <f t="shared" si="811"/>
        <v>0</v>
      </c>
      <c r="AK829">
        <v>371.23</v>
      </c>
      <c r="AL829">
        <v>0.74</v>
      </c>
      <c r="AM829">
        <v>0</v>
      </c>
      <c r="AN829">
        <v>0</v>
      </c>
      <c r="AO829">
        <v>370.49</v>
      </c>
      <c r="AP829">
        <v>0</v>
      </c>
      <c r="AQ829">
        <v>0.6</v>
      </c>
      <c r="AR829">
        <v>0</v>
      </c>
      <c r="AS829">
        <v>0</v>
      </c>
      <c r="AT829">
        <v>70</v>
      </c>
      <c r="AU829">
        <v>10</v>
      </c>
      <c r="AV829">
        <v>1</v>
      </c>
      <c r="AW829">
        <v>1</v>
      </c>
      <c r="AZ829">
        <v>1</v>
      </c>
      <c r="BA829">
        <v>1</v>
      </c>
      <c r="BB829">
        <v>1</v>
      </c>
      <c r="BC829">
        <v>1</v>
      </c>
      <c r="BD829" t="s">
        <v>3</v>
      </c>
      <c r="BE829" t="s">
        <v>3</v>
      </c>
      <c r="BF829" t="s">
        <v>3</v>
      </c>
      <c r="BG829" t="s">
        <v>3</v>
      </c>
      <c r="BH829">
        <v>0</v>
      </c>
      <c r="BI829">
        <v>4</v>
      </c>
      <c r="BJ829" t="s">
        <v>599</v>
      </c>
      <c r="BM829">
        <v>0</v>
      </c>
      <c r="BN829">
        <v>0</v>
      </c>
      <c r="BO829" t="s">
        <v>3</v>
      </c>
      <c r="BP829">
        <v>0</v>
      </c>
      <c r="BQ829">
        <v>1</v>
      </c>
      <c r="BR829">
        <v>0</v>
      </c>
      <c r="BS829">
        <v>1</v>
      </c>
      <c r="BT829">
        <v>1</v>
      </c>
      <c r="BU829">
        <v>1</v>
      </c>
      <c r="BV829">
        <v>1</v>
      </c>
      <c r="BW829">
        <v>1</v>
      </c>
      <c r="BX829">
        <v>1</v>
      </c>
      <c r="BY829" t="s">
        <v>3</v>
      </c>
      <c r="BZ829">
        <v>70</v>
      </c>
      <c r="CA829">
        <v>10</v>
      </c>
      <c r="CB829" t="s">
        <v>3</v>
      </c>
      <c r="CE829">
        <v>0</v>
      </c>
      <c r="CF829">
        <v>0</v>
      </c>
      <c r="CG829">
        <v>0</v>
      </c>
      <c r="CM829">
        <v>0</v>
      </c>
      <c r="CN829" t="s">
        <v>3</v>
      </c>
      <c r="CO829">
        <v>0</v>
      </c>
      <c r="CP829">
        <f t="shared" si="812"/>
        <v>17819.04</v>
      </c>
      <c r="CQ829">
        <f t="shared" si="813"/>
        <v>11.84</v>
      </c>
      <c r="CR829">
        <f>(((((ET829*16))*BB829-((EU829*16))*BS829)+AE829*BS829)*AV829)</f>
        <v>0</v>
      </c>
      <c r="CS829">
        <f t="shared" si="815"/>
        <v>0</v>
      </c>
      <c r="CT829">
        <f t="shared" si="816"/>
        <v>5927.84</v>
      </c>
      <c r="CU829">
        <f t="shared" si="817"/>
        <v>0</v>
      </c>
      <c r="CV829">
        <f t="shared" si="818"/>
        <v>9.6</v>
      </c>
      <c r="CW829">
        <f t="shared" si="819"/>
        <v>0</v>
      </c>
      <c r="CX829">
        <f t="shared" si="820"/>
        <v>0</v>
      </c>
      <c r="CY829">
        <f t="shared" si="821"/>
        <v>12448.464000000002</v>
      </c>
      <c r="CZ829">
        <f t="shared" si="822"/>
        <v>1778.3520000000001</v>
      </c>
      <c r="DC829" t="s">
        <v>3</v>
      </c>
      <c r="DD829" t="s">
        <v>742</v>
      </c>
      <c r="DE829" t="s">
        <v>742</v>
      </c>
      <c r="DF829" t="s">
        <v>742</v>
      </c>
      <c r="DG829" t="s">
        <v>742</v>
      </c>
      <c r="DH829" t="s">
        <v>3</v>
      </c>
      <c r="DI829" t="s">
        <v>742</v>
      </c>
      <c r="DJ829" t="s">
        <v>742</v>
      </c>
      <c r="DK829" t="s">
        <v>3</v>
      </c>
      <c r="DL829" t="s">
        <v>3</v>
      </c>
      <c r="DM829" t="s">
        <v>3</v>
      </c>
      <c r="DN829">
        <v>0</v>
      </c>
      <c r="DO829">
        <v>0</v>
      </c>
      <c r="DP829">
        <v>1</v>
      </c>
      <c r="DQ829">
        <v>1</v>
      </c>
      <c r="DU829">
        <v>16987630</v>
      </c>
      <c r="DV829" t="s">
        <v>20</v>
      </c>
      <c r="DW829" t="s">
        <v>20</v>
      </c>
      <c r="DX829">
        <v>1</v>
      </c>
      <c r="DZ829" t="s">
        <v>3</v>
      </c>
      <c r="EA829" t="s">
        <v>3</v>
      </c>
      <c r="EB829" t="s">
        <v>3</v>
      </c>
      <c r="EC829" t="s">
        <v>3</v>
      </c>
      <c r="EE829">
        <v>1441815344</v>
      </c>
      <c r="EF829">
        <v>1</v>
      </c>
      <c r="EG829" t="s">
        <v>22</v>
      </c>
      <c r="EH829">
        <v>0</v>
      </c>
      <c r="EI829" t="s">
        <v>3</v>
      </c>
      <c r="EJ829">
        <v>4</v>
      </c>
      <c r="EK829">
        <v>0</v>
      </c>
      <c r="EL829" t="s">
        <v>23</v>
      </c>
      <c r="EM829" t="s">
        <v>24</v>
      </c>
      <c r="EO829" t="s">
        <v>3</v>
      </c>
      <c r="EQ829">
        <v>1024</v>
      </c>
      <c r="ER829">
        <v>371.23</v>
      </c>
      <c r="ES829">
        <v>0.74</v>
      </c>
      <c r="ET829">
        <v>0</v>
      </c>
      <c r="EU829">
        <v>0</v>
      </c>
      <c r="EV829">
        <v>370.49</v>
      </c>
      <c r="EW829">
        <v>0.6</v>
      </c>
      <c r="EX829">
        <v>0</v>
      </c>
      <c r="EY829">
        <v>0</v>
      </c>
      <c r="FQ829">
        <v>0</v>
      </c>
      <c r="FR829">
        <f t="shared" si="823"/>
        <v>0</v>
      </c>
      <c r="FS829">
        <v>0</v>
      </c>
      <c r="FX829">
        <v>70</v>
      </c>
      <c r="FY829">
        <v>10</v>
      </c>
      <c r="GA829" t="s">
        <v>3</v>
      </c>
      <c r="GD829">
        <v>0</v>
      </c>
      <c r="GF829">
        <v>-1534836832</v>
      </c>
      <c r="GG829">
        <v>2</v>
      </c>
      <c r="GH829">
        <v>1</v>
      </c>
      <c r="GI829">
        <v>-2</v>
      </c>
      <c r="GJ829">
        <v>0</v>
      </c>
      <c r="GK829">
        <f>ROUND(R829*(R12)/100,2)</f>
        <v>0</v>
      </c>
      <c r="GL829">
        <f t="shared" si="824"/>
        <v>0</v>
      </c>
      <c r="GM829">
        <f t="shared" si="825"/>
        <v>32045.85</v>
      </c>
      <c r="GN829">
        <f t="shared" si="826"/>
        <v>0</v>
      </c>
      <c r="GO829">
        <f t="shared" si="827"/>
        <v>0</v>
      </c>
      <c r="GP829">
        <f t="shared" si="828"/>
        <v>32045.85</v>
      </c>
      <c r="GR829">
        <v>0</v>
      </c>
      <c r="GS829">
        <v>3</v>
      </c>
      <c r="GT829">
        <v>0</v>
      </c>
      <c r="GU829" t="s">
        <v>3</v>
      </c>
      <c r="GV829">
        <f t="shared" si="829"/>
        <v>0</v>
      </c>
      <c r="GW829">
        <v>1</v>
      </c>
      <c r="GX829">
        <f t="shared" si="830"/>
        <v>0</v>
      </c>
      <c r="HA829">
        <v>0</v>
      </c>
      <c r="HB829">
        <v>0</v>
      </c>
      <c r="HC829">
        <f t="shared" si="831"/>
        <v>0</v>
      </c>
      <c r="HE829" t="s">
        <v>3</v>
      </c>
      <c r="HF829" t="s">
        <v>3</v>
      </c>
      <c r="HM829" t="s">
        <v>3</v>
      </c>
      <c r="HN829" t="s">
        <v>3</v>
      </c>
      <c r="HO829" t="s">
        <v>3</v>
      </c>
      <c r="HP829" t="s">
        <v>3</v>
      </c>
      <c r="HQ829" t="s">
        <v>3</v>
      </c>
      <c r="IK829">
        <v>0</v>
      </c>
    </row>
    <row r="830" spans="1:245" x14ac:dyDescent="0.2">
      <c r="A830">
        <v>17</v>
      </c>
      <c r="B830">
        <v>1</v>
      </c>
      <c r="D830">
        <f>ROW(EtalonRes!A845)</f>
        <v>845</v>
      </c>
      <c r="E830" t="s">
        <v>745</v>
      </c>
      <c r="F830" t="s">
        <v>601</v>
      </c>
      <c r="G830" t="s">
        <v>746</v>
      </c>
      <c r="H830" t="s">
        <v>20</v>
      </c>
      <c r="I830">
        <v>8</v>
      </c>
      <c r="J830">
        <v>0</v>
      </c>
      <c r="K830">
        <v>8</v>
      </c>
      <c r="O830">
        <f t="shared" si="797"/>
        <v>120202.32</v>
      </c>
      <c r="P830">
        <f t="shared" si="798"/>
        <v>1644.24</v>
      </c>
      <c r="Q830">
        <f t="shared" si="799"/>
        <v>0</v>
      </c>
      <c r="R830">
        <f t="shared" si="800"/>
        <v>0</v>
      </c>
      <c r="S830">
        <f t="shared" si="801"/>
        <v>118558.08</v>
      </c>
      <c r="T830">
        <f t="shared" si="802"/>
        <v>0</v>
      </c>
      <c r="U830">
        <f t="shared" si="803"/>
        <v>192</v>
      </c>
      <c r="V830">
        <f t="shared" si="804"/>
        <v>0</v>
      </c>
      <c r="W830">
        <f t="shared" si="805"/>
        <v>0</v>
      </c>
      <c r="X830">
        <f t="shared" si="806"/>
        <v>82990.66</v>
      </c>
      <c r="Y830">
        <f t="shared" si="807"/>
        <v>11855.81</v>
      </c>
      <c r="AA830">
        <v>1472506909</v>
      </c>
      <c r="AB830">
        <f t="shared" si="808"/>
        <v>15025.29</v>
      </c>
      <c r="AC830">
        <f>ROUND((ES830),6)</f>
        <v>205.53</v>
      </c>
      <c r="AD830">
        <f>ROUND((((ET830)-(EU830))+AE830),6)</f>
        <v>0</v>
      </c>
      <c r="AE830">
        <f>ROUND((EU830),6)</f>
        <v>0</v>
      </c>
      <c r="AF830">
        <f>ROUND((EV830),6)</f>
        <v>14819.76</v>
      </c>
      <c r="AG830">
        <f t="shared" si="810"/>
        <v>0</v>
      </c>
      <c r="AH830">
        <f>(EW830)</f>
        <v>24</v>
      </c>
      <c r="AI830">
        <f>(EX830)</f>
        <v>0</v>
      </c>
      <c r="AJ830">
        <f t="shared" si="811"/>
        <v>0</v>
      </c>
      <c r="AK830">
        <v>15025.29</v>
      </c>
      <c r="AL830">
        <v>205.53</v>
      </c>
      <c r="AM830">
        <v>0</v>
      </c>
      <c r="AN830">
        <v>0</v>
      </c>
      <c r="AO830">
        <v>14819.76</v>
      </c>
      <c r="AP830">
        <v>0</v>
      </c>
      <c r="AQ830">
        <v>24</v>
      </c>
      <c r="AR830">
        <v>0</v>
      </c>
      <c r="AS830">
        <v>0</v>
      </c>
      <c r="AT830">
        <v>70</v>
      </c>
      <c r="AU830">
        <v>10</v>
      </c>
      <c r="AV830">
        <v>1</v>
      </c>
      <c r="AW830">
        <v>1</v>
      </c>
      <c r="AZ830">
        <v>1</v>
      </c>
      <c r="BA830">
        <v>1</v>
      </c>
      <c r="BB830">
        <v>1</v>
      </c>
      <c r="BC830">
        <v>1</v>
      </c>
      <c r="BD830" t="s">
        <v>3</v>
      </c>
      <c r="BE830" t="s">
        <v>3</v>
      </c>
      <c r="BF830" t="s">
        <v>3</v>
      </c>
      <c r="BG830" t="s">
        <v>3</v>
      </c>
      <c r="BH830">
        <v>0</v>
      </c>
      <c r="BI830">
        <v>4</v>
      </c>
      <c r="BJ830" t="s">
        <v>603</v>
      </c>
      <c r="BM830">
        <v>0</v>
      </c>
      <c r="BN830">
        <v>0</v>
      </c>
      <c r="BO830" t="s">
        <v>3</v>
      </c>
      <c r="BP830">
        <v>0</v>
      </c>
      <c r="BQ830">
        <v>1</v>
      </c>
      <c r="BR830">
        <v>0</v>
      </c>
      <c r="BS830">
        <v>1</v>
      </c>
      <c r="BT830">
        <v>1</v>
      </c>
      <c r="BU830">
        <v>1</v>
      </c>
      <c r="BV830">
        <v>1</v>
      </c>
      <c r="BW830">
        <v>1</v>
      </c>
      <c r="BX830">
        <v>1</v>
      </c>
      <c r="BY830" t="s">
        <v>3</v>
      </c>
      <c r="BZ830">
        <v>70</v>
      </c>
      <c r="CA830">
        <v>10</v>
      </c>
      <c r="CB830" t="s">
        <v>3</v>
      </c>
      <c r="CE830">
        <v>0</v>
      </c>
      <c r="CF830">
        <v>0</v>
      </c>
      <c r="CG830">
        <v>0</v>
      </c>
      <c r="CM830">
        <v>0</v>
      </c>
      <c r="CN830" t="s">
        <v>3</v>
      </c>
      <c r="CO830">
        <v>0</v>
      </c>
      <c r="CP830">
        <f t="shared" si="812"/>
        <v>120202.32</v>
      </c>
      <c r="CQ830">
        <f t="shared" si="813"/>
        <v>205.53</v>
      </c>
      <c r="CR830">
        <f>((((ET830)*BB830-(EU830)*BS830)+AE830*BS830)*AV830)</f>
        <v>0</v>
      </c>
      <c r="CS830">
        <f t="shared" si="815"/>
        <v>0</v>
      </c>
      <c r="CT830">
        <f t="shared" si="816"/>
        <v>14819.76</v>
      </c>
      <c r="CU830">
        <f t="shared" si="817"/>
        <v>0</v>
      </c>
      <c r="CV830">
        <f t="shared" si="818"/>
        <v>24</v>
      </c>
      <c r="CW830">
        <f t="shared" si="819"/>
        <v>0</v>
      </c>
      <c r="CX830">
        <f t="shared" si="820"/>
        <v>0</v>
      </c>
      <c r="CY830">
        <f t="shared" si="821"/>
        <v>82990.656000000003</v>
      </c>
      <c r="CZ830">
        <f t="shared" si="822"/>
        <v>11855.808000000001</v>
      </c>
      <c r="DC830" t="s">
        <v>3</v>
      </c>
      <c r="DD830" t="s">
        <v>3</v>
      </c>
      <c r="DE830" t="s">
        <v>3</v>
      </c>
      <c r="DF830" t="s">
        <v>3</v>
      </c>
      <c r="DG830" t="s">
        <v>3</v>
      </c>
      <c r="DH830" t="s">
        <v>3</v>
      </c>
      <c r="DI830" t="s">
        <v>3</v>
      </c>
      <c r="DJ830" t="s">
        <v>3</v>
      </c>
      <c r="DK830" t="s">
        <v>3</v>
      </c>
      <c r="DL830" t="s">
        <v>3</v>
      </c>
      <c r="DM830" t="s">
        <v>3</v>
      </c>
      <c r="DN830">
        <v>0</v>
      </c>
      <c r="DO830">
        <v>0</v>
      </c>
      <c r="DP830">
        <v>1</v>
      </c>
      <c r="DQ830">
        <v>1</v>
      </c>
      <c r="DU830">
        <v>16987630</v>
      </c>
      <c r="DV830" t="s">
        <v>20</v>
      </c>
      <c r="DW830" t="s">
        <v>20</v>
      </c>
      <c r="DX830">
        <v>1</v>
      </c>
      <c r="DZ830" t="s">
        <v>3</v>
      </c>
      <c r="EA830" t="s">
        <v>3</v>
      </c>
      <c r="EB830" t="s">
        <v>3</v>
      </c>
      <c r="EC830" t="s">
        <v>3</v>
      </c>
      <c r="EE830">
        <v>1441815344</v>
      </c>
      <c r="EF830">
        <v>1</v>
      </c>
      <c r="EG830" t="s">
        <v>22</v>
      </c>
      <c r="EH830">
        <v>0</v>
      </c>
      <c r="EI830" t="s">
        <v>3</v>
      </c>
      <c r="EJ830">
        <v>4</v>
      </c>
      <c r="EK830">
        <v>0</v>
      </c>
      <c r="EL830" t="s">
        <v>23</v>
      </c>
      <c r="EM830" t="s">
        <v>24</v>
      </c>
      <c r="EO830" t="s">
        <v>3</v>
      </c>
      <c r="EQ830">
        <v>0</v>
      </c>
      <c r="ER830">
        <v>15025.29</v>
      </c>
      <c r="ES830">
        <v>205.53</v>
      </c>
      <c r="ET830">
        <v>0</v>
      </c>
      <c r="EU830">
        <v>0</v>
      </c>
      <c r="EV830">
        <v>14819.76</v>
      </c>
      <c r="EW830">
        <v>24</v>
      </c>
      <c r="EX830">
        <v>0</v>
      </c>
      <c r="EY830">
        <v>0</v>
      </c>
      <c r="FQ830">
        <v>0</v>
      </c>
      <c r="FR830">
        <f t="shared" si="823"/>
        <v>0</v>
      </c>
      <c r="FS830">
        <v>0</v>
      </c>
      <c r="FX830">
        <v>70</v>
      </c>
      <c r="FY830">
        <v>10</v>
      </c>
      <c r="GA830" t="s">
        <v>3</v>
      </c>
      <c r="GD830">
        <v>0</v>
      </c>
      <c r="GF830">
        <v>244202841</v>
      </c>
      <c r="GG830">
        <v>2</v>
      </c>
      <c r="GH830">
        <v>1</v>
      </c>
      <c r="GI830">
        <v>-2</v>
      </c>
      <c r="GJ830">
        <v>0</v>
      </c>
      <c r="GK830">
        <f>ROUND(R830*(R12)/100,2)</f>
        <v>0</v>
      </c>
      <c r="GL830">
        <f t="shared" si="824"/>
        <v>0</v>
      </c>
      <c r="GM830">
        <f t="shared" si="825"/>
        <v>215048.79</v>
      </c>
      <c r="GN830">
        <f t="shared" si="826"/>
        <v>0</v>
      </c>
      <c r="GO830">
        <f t="shared" si="827"/>
        <v>0</v>
      </c>
      <c r="GP830">
        <f t="shared" si="828"/>
        <v>215048.79</v>
      </c>
      <c r="GR830">
        <v>0</v>
      </c>
      <c r="GS830">
        <v>3</v>
      </c>
      <c r="GT830">
        <v>0</v>
      </c>
      <c r="GU830" t="s">
        <v>3</v>
      </c>
      <c r="GV830">
        <f t="shared" si="829"/>
        <v>0</v>
      </c>
      <c r="GW830">
        <v>1</v>
      </c>
      <c r="GX830">
        <f t="shared" si="830"/>
        <v>0</v>
      </c>
      <c r="HA830">
        <v>0</v>
      </c>
      <c r="HB830">
        <v>0</v>
      </c>
      <c r="HC830">
        <f t="shared" si="831"/>
        <v>0</v>
      </c>
      <c r="HE830" t="s">
        <v>3</v>
      </c>
      <c r="HF830" t="s">
        <v>3</v>
      </c>
      <c r="HM830" t="s">
        <v>3</v>
      </c>
      <c r="HN830" t="s">
        <v>3</v>
      </c>
      <c r="HO830" t="s">
        <v>3</v>
      </c>
      <c r="HP830" t="s">
        <v>3</v>
      </c>
      <c r="HQ830" t="s">
        <v>3</v>
      </c>
      <c r="IK830">
        <v>0</v>
      </c>
    </row>
    <row r="831" spans="1:245" x14ac:dyDescent="0.2">
      <c r="A831">
        <v>17</v>
      </c>
      <c r="B831">
        <v>1</v>
      </c>
      <c r="D831">
        <f>ROW(EtalonRes!A847)</f>
        <v>847</v>
      </c>
      <c r="E831" t="s">
        <v>3</v>
      </c>
      <c r="F831" t="s">
        <v>604</v>
      </c>
      <c r="G831" t="s">
        <v>605</v>
      </c>
      <c r="H831" t="s">
        <v>20</v>
      </c>
      <c r="I831">
        <v>8</v>
      </c>
      <c r="J831">
        <v>0</v>
      </c>
      <c r="K831">
        <v>8</v>
      </c>
      <c r="O831">
        <f t="shared" si="797"/>
        <v>63325.440000000002</v>
      </c>
      <c r="P831">
        <f t="shared" si="798"/>
        <v>94.72</v>
      </c>
      <c r="Q831">
        <f t="shared" si="799"/>
        <v>0</v>
      </c>
      <c r="R831">
        <f t="shared" si="800"/>
        <v>0</v>
      </c>
      <c r="S831">
        <f t="shared" si="801"/>
        <v>63230.720000000001</v>
      </c>
      <c r="T831">
        <f t="shared" si="802"/>
        <v>0</v>
      </c>
      <c r="U831">
        <f t="shared" si="803"/>
        <v>102.4</v>
      </c>
      <c r="V831">
        <f t="shared" si="804"/>
        <v>0</v>
      </c>
      <c r="W831">
        <f t="shared" si="805"/>
        <v>0</v>
      </c>
      <c r="X831">
        <f t="shared" si="806"/>
        <v>44261.5</v>
      </c>
      <c r="Y831">
        <f t="shared" si="807"/>
        <v>6323.07</v>
      </c>
      <c r="AA831">
        <v>-1</v>
      </c>
      <c r="AB831">
        <f t="shared" si="808"/>
        <v>7915.68</v>
      </c>
      <c r="AC831">
        <f>ROUND(((ES831*16)),6)</f>
        <v>11.84</v>
      </c>
      <c r="AD831">
        <f>ROUND((((ET831)-(EU831))+AE831),6)</f>
        <v>0</v>
      </c>
      <c r="AE831">
        <f>ROUND((EU831),6)</f>
        <v>0</v>
      </c>
      <c r="AF831">
        <f>ROUND(((EV831*16)),6)</f>
        <v>7903.84</v>
      </c>
      <c r="AG831">
        <f t="shared" si="810"/>
        <v>0</v>
      </c>
      <c r="AH831">
        <f>((EW831*16))</f>
        <v>12.8</v>
      </c>
      <c r="AI831">
        <f>(EX831)</f>
        <v>0</v>
      </c>
      <c r="AJ831">
        <f t="shared" si="811"/>
        <v>0</v>
      </c>
      <c r="AK831">
        <v>494.73</v>
      </c>
      <c r="AL831">
        <v>0.74</v>
      </c>
      <c r="AM831">
        <v>0</v>
      </c>
      <c r="AN831">
        <v>0</v>
      </c>
      <c r="AO831">
        <v>493.99</v>
      </c>
      <c r="AP831">
        <v>0</v>
      </c>
      <c r="AQ831">
        <v>0.8</v>
      </c>
      <c r="AR831">
        <v>0</v>
      </c>
      <c r="AS831">
        <v>0</v>
      </c>
      <c r="AT831">
        <v>70</v>
      </c>
      <c r="AU831">
        <v>10</v>
      </c>
      <c r="AV831">
        <v>1</v>
      </c>
      <c r="AW831">
        <v>1</v>
      </c>
      <c r="AZ831">
        <v>1</v>
      </c>
      <c r="BA831">
        <v>1</v>
      </c>
      <c r="BB831">
        <v>1</v>
      </c>
      <c r="BC831">
        <v>1</v>
      </c>
      <c r="BD831" t="s">
        <v>3</v>
      </c>
      <c r="BE831" t="s">
        <v>3</v>
      </c>
      <c r="BF831" t="s">
        <v>3</v>
      </c>
      <c r="BG831" t="s">
        <v>3</v>
      </c>
      <c r="BH831">
        <v>0</v>
      </c>
      <c r="BI831">
        <v>4</v>
      </c>
      <c r="BJ831" t="s">
        <v>606</v>
      </c>
      <c r="BM831">
        <v>0</v>
      </c>
      <c r="BN831">
        <v>0</v>
      </c>
      <c r="BO831" t="s">
        <v>3</v>
      </c>
      <c r="BP831">
        <v>0</v>
      </c>
      <c r="BQ831">
        <v>1</v>
      </c>
      <c r="BR831">
        <v>0</v>
      </c>
      <c r="BS831">
        <v>1</v>
      </c>
      <c r="BT831">
        <v>1</v>
      </c>
      <c r="BU831">
        <v>1</v>
      </c>
      <c r="BV831">
        <v>1</v>
      </c>
      <c r="BW831">
        <v>1</v>
      </c>
      <c r="BX831">
        <v>1</v>
      </c>
      <c r="BY831" t="s">
        <v>3</v>
      </c>
      <c r="BZ831">
        <v>70</v>
      </c>
      <c r="CA831">
        <v>10</v>
      </c>
      <c r="CB831" t="s">
        <v>3</v>
      </c>
      <c r="CE831">
        <v>0</v>
      </c>
      <c r="CF831">
        <v>0</v>
      </c>
      <c r="CG831">
        <v>0</v>
      </c>
      <c r="CM831">
        <v>0</v>
      </c>
      <c r="CN831" t="s">
        <v>3</v>
      </c>
      <c r="CO831">
        <v>0</v>
      </c>
      <c r="CP831">
        <f t="shared" si="812"/>
        <v>63325.440000000002</v>
      </c>
      <c r="CQ831">
        <f t="shared" si="813"/>
        <v>11.84</v>
      </c>
      <c r="CR831">
        <f>((((ET831)*BB831-(EU831)*BS831)+AE831*BS831)*AV831)</f>
        <v>0</v>
      </c>
      <c r="CS831">
        <f t="shared" si="815"/>
        <v>0</v>
      </c>
      <c r="CT831">
        <f t="shared" si="816"/>
        <v>7903.84</v>
      </c>
      <c r="CU831">
        <f t="shared" si="817"/>
        <v>0</v>
      </c>
      <c r="CV831">
        <f t="shared" si="818"/>
        <v>12.8</v>
      </c>
      <c r="CW831">
        <f t="shared" si="819"/>
        <v>0</v>
      </c>
      <c r="CX831">
        <f t="shared" si="820"/>
        <v>0</v>
      </c>
      <c r="CY831">
        <f t="shared" si="821"/>
        <v>44261.504000000001</v>
      </c>
      <c r="CZ831">
        <f t="shared" si="822"/>
        <v>6323.0719999999992</v>
      </c>
      <c r="DC831" t="s">
        <v>3</v>
      </c>
      <c r="DD831" t="s">
        <v>697</v>
      </c>
      <c r="DE831" t="s">
        <v>3</v>
      </c>
      <c r="DF831" t="s">
        <v>3</v>
      </c>
      <c r="DG831" t="s">
        <v>697</v>
      </c>
      <c r="DH831" t="s">
        <v>3</v>
      </c>
      <c r="DI831" t="s">
        <v>697</v>
      </c>
      <c r="DJ831" t="s">
        <v>3</v>
      </c>
      <c r="DK831" t="s">
        <v>3</v>
      </c>
      <c r="DL831" t="s">
        <v>3</v>
      </c>
      <c r="DM831" t="s">
        <v>3</v>
      </c>
      <c r="DN831">
        <v>0</v>
      </c>
      <c r="DO831">
        <v>0</v>
      </c>
      <c r="DP831">
        <v>1</v>
      </c>
      <c r="DQ831">
        <v>1</v>
      </c>
      <c r="DU831">
        <v>16987630</v>
      </c>
      <c r="DV831" t="s">
        <v>20</v>
      </c>
      <c r="DW831" t="s">
        <v>20</v>
      </c>
      <c r="DX831">
        <v>1</v>
      </c>
      <c r="DZ831" t="s">
        <v>3</v>
      </c>
      <c r="EA831" t="s">
        <v>3</v>
      </c>
      <c r="EB831" t="s">
        <v>3</v>
      </c>
      <c r="EC831" t="s">
        <v>3</v>
      </c>
      <c r="EE831">
        <v>1441815344</v>
      </c>
      <c r="EF831">
        <v>1</v>
      </c>
      <c r="EG831" t="s">
        <v>22</v>
      </c>
      <c r="EH831">
        <v>0</v>
      </c>
      <c r="EI831" t="s">
        <v>3</v>
      </c>
      <c r="EJ831">
        <v>4</v>
      </c>
      <c r="EK831">
        <v>0</v>
      </c>
      <c r="EL831" t="s">
        <v>23</v>
      </c>
      <c r="EM831" t="s">
        <v>24</v>
      </c>
      <c r="EO831" t="s">
        <v>3</v>
      </c>
      <c r="EQ831">
        <v>1024</v>
      </c>
      <c r="ER831">
        <v>494.73</v>
      </c>
      <c r="ES831">
        <v>0.74</v>
      </c>
      <c r="ET831">
        <v>0</v>
      </c>
      <c r="EU831">
        <v>0</v>
      </c>
      <c r="EV831">
        <v>493.99</v>
      </c>
      <c r="EW831">
        <v>0.8</v>
      </c>
      <c r="EX831">
        <v>0</v>
      </c>
      <c r="EY831">
        <v>0</v>
      </c>
      <c r="FQ831">
        <v>0</v>
      </c>
      <c r="FR831">
        <f t="shared" si="823"/>
        <v>0</v>
      </c>
      <c r="FS831">
        <v>0</v>
      </c>
      <c r="FX831">
        <v>70</v>
      </c>
      <c r="FY831">
        <v>10</v>
      </c>
      <c r="GA831" t="s">
        <v>3</v>
      </c>
      <c r="GD831">
        <v>0</v>
      </c>
      <c r="GF831">
        <v>-1912802092</v>
      </c>
      <c r="GG831">
        <v>2</v>
      </c>
      <c r="GH831">
        <v>1</v>
      </c>
      <c r="GI831">
        <v>-2</v>
      </c>
      <c r="GJ831">
        <v>0</v>
      </c>
      <c r="GK831">
        <f>ROUND(R831*(R12)/100,2)</f>
        <v>0</v>
      </c>
      <c r="GL831">
        <f t="shared" si="824"/>
        <v>0</v>
      </c>
      <c r="GM831">
        <f t="shared" si="825"/>
        <v>113910.01</v>
      </c>
      <c r="GN831">
        <f t="shared" si="826"/>
        <v>0</v>
      </c>
      <c r="GO831">
        <f t="shared" si="827"/>
        <v>0</v>
      </c>
      <c r="GP831">
        <f t="shared" si="828"/>
        <v>113910.01</v>
      </c>
      <c r="GR831">
        <v>0</v>
      </c>
      <c r="GS831">
        <v>3</v>
      </c>
      <c r="GT831">
        <v>0</v>
      </c>
      <c r="GU831" t="s">
        <v>3</v>
      </c>
      <c r="GV831">
        <f t="shared" si="829"/>
        <v>0</v>
      </c>
      <c r="GW831">
        <v>1</v>
      </c>
      <c r="GX831">
        <f t="shared" si="830"/>
        <v>0</v>
      </c>
      <c r="HA831">
        <v>0</v>
      </c>
      <c r="HB831">
        <v>0</v>
      </c>
      <c r="HC831">
        <f t="shared" si="831"/>
        <v>0</v>
      </c>
      <c r="HE831" t="s">
        <v>3</v>
      </c>
      <c r="HF831" t="s">
        <v>3</v>
      </c>
      <c r="HM831" t="s">
        <v>3</v>
      </c>
      <c r="HN831" t="s">
        <v>3</v>
      </c>
      <c r="HO831" t="s">
        <v>3</v>
      </c>
      <c r="HP831" t="s">
        <v>3</v>
      </c>
      <c r="HQ831" t="s">
        <v>3</v>
      </c>
      <c r="IK831">
        <v>0</v>
      </c>
    </row>
    <row r="832" spans="1:245" x14ac:dyDescent="0.2">
      <c r="A832">
        <v>17</v>
      </c>
      <c r="B832">
        <v>1</v>
      </c>
      <c r="D832">
        <f>ROW(EtalonRes!A850)</f>
        <v>850</v>
      </c>
      <c r="E832" t="s">
        <v>747</v>
      </c>
      <c r="F832" t="s">
        <v>748</v>
      </c>
      <c r="G832" t="s">
        <v>749</v>
      </c>
      <c r="H832" t="s">
        <v>94</v>
      </c>
      <c r="I832">
        <f>ROUND(2/10,9)</f>
        <v>0.2</v>
      </c>
      <c r="J832">
        <v>0</v>
      </c>
      <c r="K832">
        <f>ROUND(2/10,9)</f>
        <v>0.2</v>
      </c>
      <c r="O832">
        <f t="shared" si="797"/>
        <v>356.77</v>
      </c>
      <c r="P832">
        <f t="shared" si="798"/>
        <v>16.13</v>
      </c>
      <c r="Q832">
        <f t="shared" si="799"/>
        <v>0</v>
      </c>
      <c r="R832">
        <f t="shared" si="800"/>
        <v>0</v>
      </c>
      <c r="S832">
        <f t="shared" si="801"/>
        <v>340.64</v>
      </c>
      <c r="T832">
        <f t="shared" si="802"/>
        <v>0</v>
      </c>
      <c r="U832">
        <f t="shared" si="803"/>
        <v>0.48</v>
      </c>
      <c r="V832">
        <f t="shared" si="804"/>
        <v>0</v>
      </c>
      <c r="W832">
        <f t="shared" si="805"/>
        <v>0</v>
      </c>
      <c r="X832">
        <f t="shared" si="806"/>
        <v>238.45</v>
      </c>
      <c r="Y832">
        <f t="shared" si="807"/>
        <v>34.06</v>
      </c>
      <c r="AA832">
        <v>1472506909</v>
      </c>
      <c r="AB832">
        <f t="shared" si="808"/>
        <v>1783.85</v>
      </c>
      <c r="AC832">
        <f>ROUND((ES832),6)</f>
        <v>80.67</v>
      </c>
      <c r="AD832">
        <f>ROUND((((ET832)-(EU832))+AE832),6)</f>
        <v>0</v>
      </c>
      <c r="AE832">
        <f>ROUND((EU832),6)</f>
        <v>0</v>
      </c>
      <c r="AF832">
        <f>ROUND((EV832),6)</f>
        <v>1703.18</v>
      </c>
      <c r="AG832">
        <f t="shared" si="810"/>
        <v>0</v>
      </c>
      <c r="AH832">
        <f>(EW832)</f>
        <v>2.4</v>
      </c>
      <c r="AI832">
        <f>(EX832)</f>
        <v>0</v>
      </c>
      <c r="AJ832">
        <f t="shared" si="811"/>
        <v>0</v>
      </c>
      <c r="AK832">
        <v>1783.85</v>
      </c>
      <c r="AL832">
        <v>80.67</v>
      </c>
      <c r="AM832">
        <v>0</v>
      </c>
      <c r="AN832">
        <v>0</v>
      </c>
      <c r="AO832">
        <v>1703.18</v>
      </c>
      <c r="AP832">
        <v>0</v>
      </c>
      <c r="AQ832">
        <v>2.4</v>
      </c>
      <c r="AR832">
        <v>0</v>
      </c>
      <c r="AS832">
        <v>0</v>
      </c>
      <c r="AT832">
        <v>70</v>
      </c>
      <c r="AU832">
        <v>10</v>
      </c>
      <c r="AV832">
        <v>1</v>
      </c>
      <c r="AW832">
        <v>1</v>
      </c>
      <c r="AZ832">
        <v>1</v>
      </c>
      <c r="BA832">
        <v>1</v>
      </c>
      <c r="BB832">
        <v>1</v>
      </c>
      <c r="BC832">
        <v>1</v>
      </c>
      <c r="BD832" t="s">
        <v>3</v>
      </c>
      <c r="BE832" t="s">
        <v>3</v>
      </c>
      <c r="BF832" t="s">
        <v>3</v>
      </c>
      <c r="BG832" t="s">
        <v>3</v>
      </c>
      <c r="BH832">
        <v>0</v>
      </c>
      <c r="BI832">
        <v>4</v>
      </c>
      <c r="BJ832" t="s">
        <v>750</v>
      </c>
      <c r="BM832">
        <v>0</v>
      </c>
      <c r="BN832">
        <v>0</v>
      </c>
      <c r="BO832" t="s">
        <v>3</v>
      </c>
      <c r="BP832">
        <v>0</v>
      </c>
      <c r="BQ832">
        <v>1</v>
      </c>
      <c r="BR832">
        <v>0</v>
      </c>
      <c r="BS832">
        <v>1</v>
      </c>
      <c r="BT832">
        <v>1</v>
      </c>
      <c r="BU832">
        <v>1</v>
      </c>
      <c r="BV832">
        <v>1</v>
      </c>
      <c r="BW832">
        <v>1</v>
      </c>
      <c r="BX832">
        <v>1</v>
      </c>
      <c r="BY832" t="s">
        <v>3</v>
      </c>
      <c r="BZ832">
        <v>70</v>
      </c>
      <c r="CA832">
        <v>10</v>
      </c>
      <c r="CB832" t="s">
        <v>3</v>
      </c>
      <c r="CE832">
        <v>0</v>
      </c>
      <c r="CF832">
        <v>0</v>
      </c>
      <c r="CG832">
        <v>0</v>
      </c>
      <c r="CM832">
        <v>0</v>
      </c>
      <c r="CN832" t="s">
        <v>3</v>
      </c>
      <c r="CO832">
        <v>0</v>
      </c>
      <c r="CP832">
        <f t="shared" si="812"/>
        <v>356.77</v>
      </c>
      <c r="CQ832">
        <f t="shared" si="813"/>
        <v>80.67</v>
      </c>
      <c r="CR832">
        <f>((((ET832)*BB832-(EU832)*BS832)+AE832*BS832)*AV832)</f>
        <v>0</v>
      </c>
      <c r="CS832">
        <f t="shared" si="815"/>
        <v>0</v>
      </c>
      <c r="CT832">
        <f t="shared" si="816"/>
        <v>1703.18</v>
      </c>
      <c r="CU832">
        <f t="shared" si="817"/>
        <v>0</v>
      </c>
      <c r="CV832">
        <f t="shared" si="818"/>
        <v>2.4</v>
      </c>
      <c r="CW832">
        <f t="shared" si="819"/>
        <v>0</v>
      </c>
      <c r="CX832">
        <f t="shared" si="820"/>
        <v>0</v>
      </c>
      <c r="CY832">
        <f t="shared" si="821"/>
        <v>238.44799999999998</v>
      </c>
      <c r="CZ832">
        <f t="shared" si="822"/>
        <v>34.063999999999993</v>
      </c>
      <c r="DC832" t="s">
        <v>3</v>
      </c>
      <c r="DD832" t="s">
        <v>3</v>
      </c>
      <c r="DE832" t="s">
        <v>3</v>
      </c>
      <c r="DF832" t="s">
        <v>3</v>
      </c>
      <c r="DG832" t="s">
        <v>3</v>
      </c>
      <c r="DH832" t="s">
        <v>3</v>
      </c>
      <c r="DI832" t="s">
        <v>3</v>
      </c>
      <c r="DJ832" t="s">
        <v>3</v>
      </c>
      <c r="DK832" t="s">
        <v>3</v>
      </c>
      <c r="DL832" t="s">
        <v>3</v>
      </c>
      <c r="DM832" t="s">
        <v>3</v>
      </c>
      <c r="DN832">
        <v>0</v>
      </c>
      <c r="DO832">
        <v>0</v>
      </c>
      <c r="DP832">
        <v>1</v>
      </c>
      <c r="DQ832">
        <v>1</v>
      </c>
      <c r="DU832">
        <v>16987630</v>
      </c>
      <c r="DV832" t="s">
        <v>94</v>
      </c>
      <c r="DW832" t="s">
        <v>94</v>
      </c>
      <c r="DX832">
        <v>10</v>
      </c>
      <c r="DZ832" t="s">
        <v>3</v>
      </c>
      <c r="EA832" t="s">
        <v>3</v>
      </c>
      <c r="EB832" t="s">
        <v>3</v>
      </c>
      <c r="EC832" t="s">
        <v>3</v>
      </c>
      <c r="EE832">
        <v>1441815344</v>
      </c>
      <c r="EF832">
        <v>1</v>
      </c>
      <c r="EG832" t="s">
        <v>22</v>
      </c>
      <c r="EH832">
        <v>0</v>
      </c>
      <c r="EI832" t="s">
        <v>3</v>
      </c>
      <c r="EJ832">
        <v>4</v>
      </c>
      <c r="EK832">
        <v>0</v>
      </c>
      <c r="EL832" t="s">
        <v>23</v>
      </c>
      <c r="EM832" t="s">
        <v>24</v>
      </c>
      <c r="EO832" t="s">
        <v>3</v>
      </c>
      <c r="EQ832">
        <v>0</v>
      </c>
      <c r="ER832">
        <v>1783.85</v>
      </c>
      <c r="ES832">
        <v>80.67</v>
      </c>
      <c r="ET832">
        <v>0</v>
      </c>
      <c r="EU832">
        <v>0</v>
      </c>
      <c r="EV832">
        <v>1703.18</v>
      </c>
      <c r="EW832">
        <v>2.4</v>
      </c>
      <c r="EX832">
        <v>0</v>
      </c>
      <c r="EY832">
        <v>0</v>
      </c>
      <c r="FQ832">
        <v>0</v>
      </c>
      <c r="FR832">
        <f t="shared" si="823"/>
        <v>0</v>
      </c>
      <c r="FS832">
        <v>0</v>
      </c>
      <c r="FX832">
        <v>70</v>
      </c>
      <c r="FY832">
        <v>10</v>
      </c>
      <c r="GA832" t="s">
        <v>3</v>
      </c>
      <c r="GD832">
        <v>0</v>
      </c>
      <c r="GF832">
        <v>275629574</v>
      </c>
      <c r="GG832">
        <v>2</v>
      </c>
      <c r="GH832">
        <v>1</v>
      </c>
      <c r="GI832">
        <v>-2</v>
      </c>
      <c r="GJ832">
        <v>0</v>
      </c>
      <c r="GK832">
        <f>ROUND(R832*(R12)/100,2)</f>
        <v>0</v>
      </c>
      <c r="GL832">
        <f t="shared" si="824"/>
        <v>0</v>
      </c>
      <c r="GM832">
        <f t="shared" si="825"/>
        <v>629.28</v>
      </c>
      <c r="GN832">
        <f t="shared" si="826"/>
        <v>0</v>
      </c>
      <c r="GO832">
        <f t="shared" si="827"/>
        <v>0</v>
      </c>
      <c r="GP832">
        <f t="shared" si="828"/>
        <v>629.28</v>
      </c>
      <c r="GR832">
        <v>0</v>
      </c>
      <c r="GS832">
        <v>3</v>
      </c>
      <c r="GT832">
        <v>0</v>
      </c>
      <c r="GU832" t="s">
        <v>3</v>
      </c>
      <c r="GV832">
        <f t="shared" si="829"/>
        <v>0</v>
      </c>
      <c r="GW832">
        <v>1</v>
      </c>
      <c r="GX832">
        <f t="shared" si="830"/>
        <v>0</v>
      </c>
      <c r="HA832">
        <v>0</v>
      </c>
      <c r="HB832">
        <v>0</v>
      </c>
      <c r="HC832">
        <f t="shared" si="831"/>
        <v>0</v>
      </c>
      <c r="HE832" t="s">
        <v>3</v>
      </c>
      <c r="HF832" t="s">
        <v>3</v>
      </c>
      <c r="HM832" t="s">
        <v>3</v>
      </c>
      <c r="HN832" t="s">
        <v>3</v>
      </c>
      <c r="HO832" t="s">
        <v>3</v>
      </c>
      <c r="HP832" t="s">
        <v>3</v>
      </c>
      <c r="HQ832" t="s">
        <v>3</v>
      </c>
      <c r="IK832">
        <v>0</v>
      </c>
    </row>
    <row r="833" spans="1:245" x14ac:dyDescent="0.2">
      <c r="A833">
        <v>17</v>
      </c>
      <c r="B833">
        <v>1</v>
      </c>
      <c r="D833">
        <f>ROW(EtalonRes!A851)</f>
        <v>851</v>
      </c>
      <c r="E833" t="s">
        <v>751</v>
      </c>
      <c r="F833" t="s">
        <v>324</v>
      </c>
      <c r="G833" t="s">
        <v>1071</v>
      </c>
      <c r="H833" t="s">
        <v>20</v>
      </c>
      <c r="I833">
        <v>1</v>
      </c>
      <c r="J833">
        <v>0</v>
      </c>
      <c r="K833">
        <v>1</v>
      </c>
      <c r="O833">
        <f t="shared" si="797"/>
        <v>1631.48</v>
      </c>
      <c r="P833">
        <f t="shared" si="798"/>
        <v>0</v>
      </c>
      <c r="Q833">
        <f t="shared" si="799"/>
        <v>0</v>
      </c>
      <c r="R833">
        <f t="shared" si="800"/>
        <v>0</v>
      </c>
      <c r="S833">
        <f t="shared" si="801"/>
        <v>1631.48</v>
      </c>
      <c r="T833">
        <f t="shared" si="802"/>
        <v>0</v>
      </c>
      <c r="U833">
        <f t="shared" si="803"/>
        <v>2.12</v>
      </c>
      <c r="V833">
        <f t="shared" si="804"/>
        <v>0</v>
      </c>
      <c r="W833">
        <f t="shared" si="805"/>
        <v>0</v>
      </c>
      <c r="X833">
        <f t="shared" si="806"/>
        <v>1142.04</v>
      </c>
      <c r="Y833">
        <f t="shared" si="807"/>
        <v>163.15</v>
      </c>
      <c r="AA833">
        <v>1472506909</v>
      </c>
      <c r="AB833">
        <f t="shared" si="808"/>
        <v>1631.48</v>
      </c>
      <c r="AC833">
        <f>ROUND(((ES833*2)),6)</f>
        <v>0</v>
      </c>
      <c r="AD833">
        <f>ROUND(((((ET833*2))-((EU833*2)))+AE833),6)</f>
        <v>0</v>
      </c>
      <c r="AE833">
        <f>ROUND(((EU833*2)),6)</f>
        <v>0</v>
      </c>
      <c r="AF833">
        <f>ROUND(((EV833*2)),6)</f>
        <v>1631.48</v>
      </c>
      <c r="AG833">
        <f t="shared" si="810"/>
        <v>0</v>
      </c>
      <c r="AH833">
        <f>((EW833*2))</f>
        <v>2.12</v>
      </c>
      <c r="AI833">
        <f>((EX833*2))</f>
        <v>0</v>
      </c>
      <c r="AJ833">
        <f t="shared" si="811"/>
        <v>0</v>
      </c>
      <c r="AK833">
        <v>815.74</v>
      </c>
      <c r="AL833">
        <v>0</v>
      </c>
      <c r="AM833">
        <v>0</v>
      </c>
      <c r="AN833">
        <v>0</v>
      </c>
      <c r="AO833">
        <v>815.74</v>
      </c>
      <c r="AP833">
        <v>0</v>
      </c>
      <c r="AQ833">
        <v>1.06</v>
      </c>
      <c r="AR833">
        <v>0</v>
      </c>
      <c r="AS833">
        <v>0</v>
      </c>
      <c r="AT833">
        <v>70</v>
      </c>
      <c r="AU833">
        <v>10</v>
      </c>
      <c r="AV833">
        <v>1</v>
      </c>
      <c r="AW833">
        <v>1</v>
      </c>
      <c r="AZ833">
        <v>1</v>
      </c>
      <c r="BA833">
        <v>1</v>
      </c>
      <c r="BB833">
        <v>1</v>
      </c>
      <c r="BC833">
        <v>1</v>
      </c>
      <c r="BD833" t="s">
        <v>3</v>
      </c>
      <c r="BE833" t="s">
        <v>3</v>
      </c>
      <c r="BF833" t="s">
        <v>3</v>
      </c>
      <c r="BG833" t="s">
        <v>3</v>
      </c>
      <c r="BH833">
        <v>0</v>
      </c>
      <c r="BI833">
        <v>4</v>
      </c>
      <c r="BJ833" t="s">
        <v>326</v>
      </c>
      <c r="BM833">
        <v>0</v>
      </c>
      <c r="BN833">
        <v>0</v>
      </c>
      <c r="BO833" t="s">
        <v>3</v>
      </c>
      <c r="BP833">
        <v>0</v>
      </c>
      <c r="BQ833">
        <v>1</v>
      </c>
      <c r="BR833">
        <v>0</v>
      </c>
      <c r="BS833">
        <v>1</v>
      </c>
      <c r="BT833">
        <v>1</v>
      </c>
      <c r="BU833">
        <v>1</v>
      </c>
      <c r="BV833">
        <v>1</v>
      </c>
      <c r="BW833">
        <v>1</v>
      </c>
      <c r="BX833">
        <v>1</v>
      </c>
      <c r="BY833" t="s">
        <v>3</v>
      </c>
      <c r="BZ833">
        <v>70</v>
      </c>
      <c r="CA833">
        <v>10</v>
      </c>
      <c r="CB833" t="s">
        <v>3</v>
      </c>
      <c r="CE833">
        <v>0</v>
      </c>
      <c r="CF833">
        <v>0</v>
      </c>
      <c r="CG833">
        <v>0</v>
      </c>
      <c r="CM833">
        <v>0</v>
      </c>
      <c r="CN833" t="s">
        <v>3</v>
      </c>
      <c r="CO833">
        <v>0</v>
      </c>
      <c r="CP833">
        <f t="shared" si="812"/>
        <v>1631.48</v>
      </c>
      <c r="CQ833">
        <f t="shared" si="813"/>
        <v>0</v>
      </c>
      <c r="CR833">
        <f>(((((ET833*2))*BB833-((EU833*2))*BS833)+AE833*BS833)*AV833)</f>
        <v>0</v>
      </c>
      <c r="CS833">
        <f t="shared" si="815"/>
        <v>0</v>
      </c>
      <c r="CT833">
        <f t="shared" si="816"/>
        <v>1631.48</v>
      </c>
      <c r="CU833">
        <f t="shared" si="817"/>
        <v>0</v>
      </c>
      <c r="CV833">
        <f t="shared" si="818"/>
        <v>2.12</v>
      </c>
      <c r="CW833">
        <f t="shared" si="819"/>
        <v>0</v>
      </c>
      <c r="CX833">
        <f t="shared" si="820"/>
        <v>0</v>
      </c>
      <c r="CY833">
        <f t="shared" si="821"/>
        <v>1142.0360000000001</v>
      </c>
      <c r="CZ833">
        <f t="shared" si="822"/>
        <v>163.148</v>
      </c>
      <c r="DC833" t="s">
        <v>3</v>
      </c>
      <c r="DD833" t="s">
        <v>28</v>
      </c>
      <c r="DE833" t="s">
        <v>28</v>
      </c>
      <c r="DF833" t="s">
        <v>28</v>
      </c>
      <c r="DG833" t="s">
        <v>28</v>
      </c>
      <c r="DH833" t="s">
        <v>3</v>
      </c>
      <c r="DI833" t="s">
        <v>28</v>
      </c>
      <c r="DJ833" t="s">
        <v>28</v>
      </c>
      <c r="DK833" t="s">
        <v>3</v>
      </c>
      <c r="DL833" t="s">
        <v>3</v>
      </c>
      <c r="DM833" t="s">
        <v>3</v>
      </c>
      <c r="DN833">
        <v>0</v>
      </c>
      <c r="DO833">
        <v>0</v>
      </c>
      <c r="DP833">
        <v>1</v>
      </c>
      <c r="DQ833">
        <v>1</v>
      </c>
      <c r="DU833">
        <v>16987630</v>
      </c>
      <c r="DV833" t="s">
        <v>20</v>
      </c>
      <c r="DW833" t="s">
        <v>20</v>
      </c>
      <c r="DX833">
        <v>1</v>
      </c>
      <c r="DZ833" t="s">
        <v>3</v>
      </c>
      <c r="EA833" t="s">
        <v>3</v>
      </c>
      <c r="EB833" t="s">
        <v>3</v>
      </c>
      <c r="EC833" t="s">
        <v>3</v>
      </c>
      <c r="EE833">
        <v>1441815344</v>
      </c>
      <c r="EF833">
        <v>1</v>
      </c>
      <c r="EG833" t="s">
        <v>22</v>
      </c>
      <c r="EH833">
        <v>0</v>
      </c>
      <c r="EI833" t="s">
        <v>3</v>
      </c>
      <c r="EJ833">
        <v>4</v>
      </c>
      <c r="EK833">
        <v>0</v>
      </c>
      <c r="EL833" t="s">
        <v>23</v>
      </c>
      <c r="EM833" t="s">
        <v>24</v>
      </c>
      <c r="EO833" t="s">
        <v>3</v>
      </c>
      <c r="EQ833">
        <v>0</v>
      </c>
      <c r="ER833">
        <v>815.74</v>
      </c>
      <c r="ES833">
        <v>0</v>
      </c>
      <c r="ET833">
        <v>0</v>
      </c>
      <c r="EU833">
        <v>0</v>
      </c>
      <c r="EV833">
        <v>815.74</v>
      </c>
      <c r="EW833">
        <v>1.06</v>
      </c>
      <c r="EX833">
        <v>0</v>
      </c>
      <c r="EY833">
        <v>0</v>
      </c>
      <c r="FQ833">
        <v>0</v>
      </c>
      <c r="FR833">
        <f t="shared" si="823"/>
        <v>0</v>
      </c>
      <c r="FS833">
        <v>0</v>
      </c>
      <c r="FX833">
        <v>70</v>
      </c>
      <c r="FY833">
        <v>10</v>
      </c>
      <c r="GA833" t="s">
        <v>3</v>
      </c>
      <c r="GD833">
        <v>0</v>
      </c>
      <c r="GF833">
        <v>1188270433</v>
      </c>
      <c r="GG833">
        <v>2</v>
      </c>
      <c r="GH833">
        <v>1</v>
      </c>
      <c r="GI833">
        <v>-2</v>
      </c>
      <c r="GJ833">
        <v>0</v>
      </c>
      <c r="GK833">
        <f>ROUND(R833*(R12)/100,2)</f>
        <v>0</v>
      </c>
      <c r="GL833">
        <f t="shared" si="824"/>
        <v>0</v>
      </c>
      <c r="GM833">
        <f t="shared" si="825"/>
        <v>2936.67</v>
      </c>
      <c r="GN833">
        <f t="shared" si="826"/>
        <v>0</v>
      </c>
      <c r="GO833">
        <f t="shared" si="827"/>
        <v>0</v>
      </c>
      <c r="GP833">
        <f t="shared" si="828"/>
        <v>2936.67</v>
      </c>
      <c r="GR833">
        <v>0</v>
      </c>
      <c r="GS833">
        <v>3</v>
      </c>
      <c r="GT833">
        <v>0</v>
      </c>
      <c r="GU833" t="s">
        <v>3</v>
      </c>
      <c r="GV833">
        <f t="shared" si="829"/>
        <v>0</v>
      </c>
      <c r="GW833">
        <v>1</v>
      </c>
      <c r="GX833">
        <f t="shared" si="830"/>
        <v>0</v>
      </c>
      <c r="HA833">
        <v>0</v>
      </c>
      <c r="HB833">
        <v>0</v>
      </c>
      <c r="HC833">
        <f t="shared" si="831"/>
        <v>0</v>
      </c>
      <c r="HE833" t="s">
        <v>3</v>
      </c>
      <c r="HF833" t="s">
        <v>3</v>
      </c>
      <c r="HM833" t="s">
        <v>3</v>
      </c>
      <c r="HN833" t="s">
        <v>3</v>
      </c>
      <c r="HO833" t="s">
        <v>3</v>
      </c>
      <c r="HP833" t="s">
        <v>3</v>
      </c>
      <c r="HQ833" t="s">
        <v>3</v>
      </c>
      <c r="IK833">
        <v>0</v>
      </c>
    </row>
    <row r="834" spans="1:245" x14ac:dyDescent="0.2">
      <c r="A834">
        <v>17</v>
      </c>
      <c r="B834">
        <v>1</v>
      </c>
      <c r="D834">
        <f>ROW(EtalonRes!A854)</f>
        <v>854</v>
      </c>
      <c r="E834" t="s">
        <v>752</v>
      </c>
      <c r="F834" t="s">
        <v>753</v>
      </c>
      <c r="G834" t="s">
        <v>754</v>
      </c>
      <c r="H834" t="s">
        <v>20</v>
      </c>
      <c r="I834">
        <v>4</v>
      </c>
      <c r="J834">
        <v>0</v>
      </c>
      <c r="K834">
        <v>4</v>
      </c>
      <c r="O834">
        <f t="shared" si="797"/>
        <v>1383.4</v>
      </c>
      <c r="P834">
        <f t="shared" si="798"/>
        <v>0.52</v>
      </c>
      <c r="Q834">
        <f t="shared" si="799"/>
        <v>208.48</v>
      </c>
      <c r="R834">
        <f t="shared" si="800"/>
        <v>132.19999999999999</v>
      </c>
      <c r="S834">
        <f t="shared" si="801"/>
        <v>1174.4000000000001</v>
      </c>
      <c r="T834">
        <f t="shared" si="802"/>
        <v>0</v>
      </c>
      <c r="U834">
        <f t="shared" si="803"/>
        <v>2.2000000000000002</v>
      </c>
      <c r="V834">
        <f t="shared" si="804"/>
        <v>0</v>
      </c>
      <c r="W834">
        <f t="shared" si="805"/>
        <v>0</v>
      </c>
      <c r="X834">
        <f t="shared" si="806"/>
        <v>822.08</v>
      </c>
      <c r="Y834">
        <f t="shared" si="807"/>
        <v>117.44</v>
      </c>
      <c r="AA834">
        <v>1472506909</v>
      </c>
      <c r="AB834">
        <f t="shared" si="808"/>
        <v>345.85</v>
      </c>
      <c r="AC834">
        <f>ROUND((ES834),6)</f>
        <v>0.13</v>
      </c>
      <c r="AD834">
        <f>ROUND((((ET834)-(EU834))+AE834),6)</f>
        <v>52.12</v>
      </c>
      <c r="AE834">
        <f>ROUND((EU834),6)</f>
        <v>33.049999999999997</v>
      </c>
      <c r="AF834">
        <f>ROUND((EV834),6)</f>
        <v>293.60000000000002</v>
      </c>
      <c r="AG834">
        <f t="shared" si="810"/>
        <v>0</v>
      </c>
      <c r="AH834">
        <f>(EW834)</f>
        <v>0.55000000000000004</v>
      </c>
      <c r="AI834">
        <f>(EX834)</f>
        <v>0</v>
      </c>
      <c r="AJ834">
        <f t="shared" si="811"/>
        <v>0</v>
      </c>
      <c r="AK834">
        <v>345.85</v>
      </c>
      <c r="AL834">
        <v>0.13</v>
      </c>
      <c r="AM834">
        <v>52.12</v>
      </c>
      <c r="AN834">
        <v>33.049999999999997</v>
      </c>
      <c r="AO834">
        <v>293.60000000000002</v>
      </c>
      <c r="AP834">
        <v>0</v>
      </c>
      <c r="AQ834">
        <v>0.55000000000000004</v>
      </c>
      <c r="AR834">
        <v>0</v>
      </c>
      <c r="AS834">
        <v>0</v>
      </c>
      <c r="AT834">
        <v>70</v>
      </c>
      <c r="AU834">
        <v>10</v>
      </c>
      <c r="AV834">
        <v>1</v>
      </c>
      <c r="AW834">
        <v>1</v>
      </c>
      <c r="AZ834">
        <v>1</v>
      </c>
      <c r="BA834">
        <v>1</v>
      </c>
      <c r="BB834">
        <v>1</v>
      </c>
      <c r="BC834">
        <v>1</v>
      </c>
      <c r="BD834" t="s">
        <v>3</v>
      </c>
      <c r="BE834" t="s">
        <v>3</v>
      </c>
      <c r="BF834" t="s">
        <v>3</v>
      </c>
      <c r="BG834" t="s">
        <v>3</v>
      </c>
      <c r="BH834">
        <v>0</v>
      </c>
      <c r="BI834">
        <v>4</v>
      </c>
      <c r="BJ834" t="s">
        <v>755</v>
      </c>
      <c r="BM834">
        <v>0</v>
      </c>
      <c r="BN834">
        <v>0</v>
      </c>
      <c r="BO834" t="s">
        <v>3</v>
      </c>
      <c r="BP834">
        <v>0</v>
      </c>
      <c r="BQ834">
        <v>1</v>
      </c>
      <c r="BR834">
        <v>0</v>
      </c>
      <c r="BS834">
        <v>1</v>
      </c>
      <c r="BT834">
        <v>1</v>
      </c>
      <c r="BU834">
        <v>1</v>
      </c>
      <c r="BV834">
        <v>1</v>
      </c>
      <c r="BW834">
        <v>1</v>
      </c>
      <c r="BX834">
        <v>1</v>
      </c>
      <c r="BY834" t="s">
        <v>3</v>
      </c>
      <c r="BZ834">
        <v>70</v>
      </c>
      <c r="CA834">
        <v>10</v>
      </c>
      <c r="CB834" t="s">
        <v>3</v>
      </c>
      <c r="CE834">
        <v>0</v>
      </c>
      <c r="CF834">
        <v>0</v>
      </c>
      <c r="CG834">
        <v>0</v>
      </c>
      <c r="CM834">
        <v>0</v>
      </c>
      <c r="CN834" t="s">
        <v>3</v>
      </c>
      <c r="CO834">
        <v>0</v>
      </c>
      <c r="CP834">
        <f t="shared" si="812"/>
        <v>1383.4</v>
      </c>
      <c r="CQ834">
        <f t="shared" si="813"/>
        <v>0.13</v>
      </c>
      <c r="CR834">
        <f>((((ET834)*BB834-(EU834)*BS834)+AE834*BS834)*AV834)</f>
        <v>52.12</v>
      </c>
      <c r="CS834">
        <f t="shared" si="815"/>
        <v>33.049999999999997</v>
      </c>
      <c r="CT834">
        <f t="shared" si="816"/>
        <v>293.60000000000002</v>
      </c>
      <c r="CU834">
        <f t="shared" si="817"/>
        <v>0</v>
      </c>
      <c r="CV834">
        <f t="shared" si="818"/>
        <v>0.55000000000000004</v>
      </c>
      <c r="CW834">
        <f t="shared" si="819"/>
        <v>0</v>
      </c>
      <c r="CX834">
        <f t="shared" si="820"/>
        <v>0</v>
      </c>
      <c r="CY834">
        <f t="shared" si="821"/>
        <v>822.08</v>
      </c>
      <c r="CZ834">
        <f t="shared" si="822"/>
        <v>117.44</v>
      </c>
      <c r="DC834" t="s">
        <v>3</v>
      </c>
      <c r="DD834" t="s">
        <v>3</v>
      </c>
      <c r="DE834" t="s">
        <v>3</v>
      </c>
      <c r="DF834" t="s">
        <v>3</v>
      </c>
      <c r="DG834" t="s">
        <v>3</v>
      </c>
      <c r="DH834" t="s">
        <v>3</v>
      </c>
      <c r="DI834" t="s">
        <v>3</v>
      </c>
      <c r="DJ834" t="s">
        <v>3</v>
      </c>
      <c r="DK834" t="s">
        <v>3</v>
      </c>
      <c r="DL834" t="s">
        <v>3</v>
      </c>
      <c r="DM834" t="s">
        <v>3</v>
      </c>
      <c r="DN834">
        <v>0</v>
      </c>
      <c r="DO834">
        <v>0</v>
      </c>
      <c r="DP834">
        <v>1</v>
      </c>
      <c r="DQ834">
        <v>1</v>
      </c>
      <c r="DU834">
        <v>16987630</v>
      </c>
      <c r="DV834" t="s">
        <v>20</v>
      </c>
      <c r="DW834" t="s">
        <v>20</v>
      </c>
      <c r="DX834">
        <v>1</v>
      </c>
      <c r="DZ834" t="s">
        <v>3</v>
      </c>
      <c r="EA834" t="s">
        <v>3</v>
      </c>
      <c r="EB834" t="s">
        <v>3</v>
      </c>
      <c r="EC834" t="s">
        <v>3</v>
      </c>
      <c r="EE834">
        <v>1441815344</v>
      </c>
      <c r="EF834">
        <v>1</v>
      </c>
      <c r="EG834" t="s">
        <v>22</v>
      </c>
      <c r="EH834">
        <v>0</v>
      </c>
      <c r="EI834" t="s">
        <v>3</v>
      </c>
      <c r="EJ834">
        <v>4</v>
      </c>
      <c r="EK834">
        <v>0</v>
      </c>
      <c r="EL834" t="s">
        <v>23</v>
      </c>
      <c r="EM834" t="s">
        <v>24</v>
      </c>
      <c r="EO834" t="s">
        <v>3</v>
      </c>
      <c r="EQ834">
        <v>0</v>
      </c>
      <c r="ER834">
        <v>345.85</v>
      </c>
      <c r="ES834">
        <v>0.13</v>
      </c>
      <c r="ET834">
        <v>52.12</v>
      </c>
      <c r="EU834">
        <v>33.049999999999997</v>
      </c>
      <c r="EV834">
        <v>293.60000000000002</v>
      </c>
      <c r="EW834">
        <v>0.55000000000000004</v>
      </c>
      <c r="EX834">
        <v>0</v>
      </c>
      <c r="EY834">
        <v>0</v>
      </c>
      <c r="FQ834">
        <v>0</v>
      </c>
      <c r="FR834">
        <f t="shared" si="823"/>
        <v>0</v>
      </c>
      <c r="FS834">
        <v>0</v>
      </c>
      <c r="FX834">
        <v>70</v>
      </c>
      <c r="FY834">
        <v>10</v>
      </c>
      <c r="GA834" t="s">
        <v>3</v>
      </c>
      <c r="GD834">
        <v>0</v>
      </c>
      <c r="GF834">
        <v>-335394070</v>
      </c>
      <c r="GG834">
        <v>2</v>
      </c>
      <c r="GH834">
        <v>1</v>
      </c>
      <c r="GI834">
        <v>-2</v>
      </c>
      <c r="GJ834">
        <v>0</v>
      </c>
      <c r="GK834">
        <f>ROUND(R834*(R12)/100,2)</f>
        <v>142.78</v>
      </c>
      <c r="GL834">
        <f t="shared" si="824"/>
        <v>0</v>
      </c>
      <c r="GM834">
        <f t="shared" si="825"/>
        <v>2465.6999999999998</v>
      </c>
      <c r="GN834">
        <f t="shared" si="826"/>
        <v>0</v>
      </c>
      <c r="GO834">
        <f t="shared" si="827"/>
        <v>0</v>
      </c>
      <c r="GP834">
        <f t="shared" si="828"/>
        <v>2465.6999999999998</v>
      </c>
      <c r="GR834">
        <v>0</v>
      </c>
      <c r="GS834">
        <v>3</v>
      </c>
      <c r="GT834">
        <v>0</v>
      </c>
      <c r="GU834" t="s">
        <v>3</v>
      </c>
      <c r="GV834">
        <f t="shared" si="829"/>
        <v>0</v>
      </c>
      <c r="GW834">
        <v>1</v>
      </c>
      <c r="GX834">
        <f t="shared" si="830"/>
        <v>0</v>
      </c>
      <c r="HA834">
        <v>0</v>
      </c>
      <c r="HB834">
        <v>0</v>
      </c>
      <c r="HC834">
        <f t="shared" si="831"/>
        <v>0</v>
      </c>
      <c r="HE834" t="s">
        <v>3</v>
      </c>
      <c r="HF834" t="s">
        <v>3</v>
      </c>
      <c r="HM834" t="s">
        <v>3</v>
      </c>
      <c r="HN834" t="s">
        <v>3</v>
      </c>
      <c r="HO834" t="s">
        <v>3</v>
      </c>
      <c r="HP834" t="s">
        <v>3</v>
      </c>
      <c r="HQ834" t="s">
        <v>3</v>
      </c>
      <c r="IK834">
        <v>0</v>
      </c>
    </row>
    <row r="835" spans="1:245" x14ac:dyDescent="0.2">
      <c r="A835">
        <v>17</v>
      </c>
      <c r="B835">
        <v>1</v>
      </c>
      <c r="D835">
        <f>ROW(EtalonRes!A855)</f>
        <v>855</v>
      </c>
      <c r="E835" t="s">
        <v>3</v>
      </c>
      <c r="F835" t="s">
        <v>756</v>
      </c>
      <c r="G835" t="s">
        <v>757</v>
      </c>
      <c r="H835" t="s">
        <v>20</v>
      </c>
      <c r="I835">
        <v>4</v>
      </c>
      <c r="J835">
        <v>0</v>
      </c>
      <c r="K835">
        <v>4</v>
      </c>
      <c r="O835">
        <f t="shared" si="797"/>
        <v>1704.24</v>
      </c>
      <c r="P835">
        <f t="shared" si="798"/>
        <v>0</v>
      </c>
      <c r="Q835">
        <f t="shared" si="799"/>
        <v>0</v>
      </c>
      <c r="R835">
        <f t="shared" si="800"/>
        <v>0</v>
      </c>
      <c r="S835">
        <f t="shared" si="801"/>
        <v>1704.24</v>
      </c>
      <c r="T835">
        <f t="shared" si="802"/>
        <v>0</v>
      </c>
      <c r="U835">
        <f t="shared" si="803"/>
        <v>2.7600000000000002</v>
      </c>
      <c r="V835">
        <f t="shared" si="804"/>
        <v>0</v>
      </c>
      <c r="W835">
        <f t="shared" si="805"/>
        <v>0</v>
      </c>
      <c r="X835">
        <f t="shared" si="806"/>
        <v>1192.97</v>
      </c>
      <c r="Y835">
        <f t="shared" si="807"/>
        <v>170.42</v>
      </c>
      <c r="AA835">
        <v>-1</v>
      </c>
      <c r="AB835">
        <f t="shared" si="808"/>
        <v>426.06</v>
      </c>
      <c r="AC835">
        <f>ROUND((ES835),6)</f>
        <v>0</v>
      </c>
      <c r="AD835">
        <f>ROUND((((ET835)-(EU835))+AE835),6)</f>
        <v>0</v>
      </c>
      <c r="AE835">
        <f>ROUND((EU835),6)</f>
        <v>0</v>
      </c>
      <c r="AF835">
        <f>ROUND(((EV835*3)),6)</f>
        <v>426.06</v>
      </c>
      <c r="AG835">
        <f t="shared" si="810"/>
        <v>0</v>
      </c>
      <c r="AH835">
        <f>((EW835*3))</f>
        <v>0.69000000000000006</v>
      </c>
      <c r="AI835">
        <f>(EX835)</f>
        <v>0</v>
      </c>
      <c r="AJ835">
        <f t="shared" si="811"/>
        <v>0</v>
      </c>
      <c r="AK835">
        <v>142.02000000000001</v>
      </c>
      <c r="AL835">
        <v>0</v>
      </c>
      <c r="AM835">
        <v>0</v>
      </c>
      <c r="AN835">
        <v>0</v>
      </c>
      <c r="AO835">
        <v>142.02000000000001</v>
      </c>
      <c r="AP835">
        <v>0</v>
      </c>
      <c r="AQ835">
        <v>0.23</v>
      </c>
      <c r="AR835">
        <v>0</v>
      </c>
      <c r="AS835">
        <v>0</v>
      </c>
      <c r="AT835">
        <v>70</v>
      </c>
      <c r="AU835">
        <v>10</v>
      </c>
      <c r="AV835">
        <v>1</v>
      </c>
      <c r="AW835">
        <v>1</v>
      </c>
      <c r="AZ835">
        <v>1</v>
      </c>
      <c r="BA835">
        <v>1</v>
      </c>
      <c r="BB835">
        <v>1</v>
      </c>
      <c r="BC835">
        <v>1</v>
      </c>
      <c r="BD835" t="s">
        <v>3</v>
      </c>
      <c r="BE835" t="s">
        <v>3</v>
      </c>
      <c r="BF835" t="s">
        <v>3</v>
      </c>
      <c r="BG835" t="s">
        <v>3</v>
      </c>
      <c r="BH835">
        <v>0</v>
      </c>
      <c r="BI835">
        <v>4</v>
      </c>
      <c r="BJ835" t="s">
        <v>758</v>
      </c>
      <c r="BM835">
        <v>0</v>
      </c>
      <c r="BN835">
        <v>0</v>
      </c>
      <c r="BO835" t="s">
        <v>3</v>
      </c>
      <c r="BP835">
        <v>0</v>
      </c>
      <c r="BQ835">
        <v>1</v>
      </c>
      <c r="BR835">
        <v>0</v>
      </c>
      <c r="BS835">
        <v>1</v>
      </c>
      <c r="BT835">
        <v>1</v>
      </c>
      <c r="BU835">
        <v>1</v>
      </c>
      <c r="BV835">
        <v>1</v>
      </c>
      <c r="BW835">
        <v>1</v>
      </c>
      <c r="BX835">
        <v>1</v>
      </c>
      <c r="BY835" t="s">
        <v>3</v>
      </c>
      <c r="BZ835">
        <v>70</v>
      </c>
      <c r="CA835">
        <v>10</v>
      </c>
      <c r="CB835" t="s">
        <v>3</v>
      </c>
      <c r="CE835">
        <v>0</v>
      </c>
      <c r="CF835">
        <v>0</v>
      </c>
      <c r="CG835">
        <v>0</v>
      </c>
      <c r="CM835">
        <v>0</v>
      </c>
      <c r="CN835" t="s">
        <v>3</v>
      </c>
      <c r="CO835">
        <v>0</v>
      </c>
      <c r="CP835">
        <f t="shared" si="812"/>
        <v>1704.24</v>
      </c>
      <c r="CQ835">
        <f t="shared" si="813"/>
        <v>0</v>
      </c>
      <c r="CR835">
        <f>((((ET835)*BB835-(EU835)*BS835)+AE835*BS835)*AV835)</f>
        <v>0</v>
      </c>
      <c r="CS835">
        <f t="shared" si="815"/>
        <v>0</v>
      </c>
      <c r="CT835">
        <f t="shared" si="816"/>
        <v>426.06</v>
      </c>
      <c r="CU835">
        <f t="shared" si="817"/>
        <v>0</v>
      </c>
      <c r="CV835">
        <f t="shared" si="818"/>
        <v>0.69000000000000006</v>
      </c>
      <c r="CW835">
        <f t="shared" si="819"/>
        <v>0</v>
      </c>
      <c r="CX835">
        <f t="shared" si="820"/>
        <v>0</v>
      </c>
      <c r="CY835">
        <f t="shared" si="821"/>
        <v>1192.9680000000001</v>
      </c>
      <c r="CZ835">
        <f t="shared" si="822"/>
        <v>170.42400000000001</v>
      </c>
      <c r="DC835" t="s">
        <v>3</v>
      </c>
      <c r="DD835" t="s">
        <v>3</v>
      </c>
      <c r="DE835" t="s">
        <v>3</v>
      </c>
      <c r="DF835" t="s">
        <v>3</v>
      </c>
      <c r="DG835" t="s">
        <v>516</v>
      </c>
      <c r="DH835" t="s">
        <v>3</v>
      </c>
      <c r="DI835" t="s">
        <v>516</v>
      </c>
      <c r="DJ835" t="s">
        <v>3</v>
      </c>
      <c r="DK835" t="s">
        <v>3</v>
      </c>
      <c r="DL835" t="s">
        <v>3</v>
      </c>
      <c r="DM835" t="s">
        <v>3</v>
      </c>
      <c r="DN835">
        <v>0</v>
      </c>
      <c r="DO835">
        <v>0</v>
      </c>
      <c r="DP835">
        <v>1</v>
      </c>
      <c r="DQ835">
        <v>1</v>
      </c>
      <c r="DU835">
        <v>16987630</v>
      </c>
      <c r="DV835" t="s">
        <v>20</v>
      </c>
      <c r="DW835" t="s">
        <v>20</v>
      </c>
      <c r="DX835">
        <v>1</v>
      </c>
      <c r="DZ835" t="s">
        <v>3</v>
      </c>
      <c r="EA835" t="s">
        <v>3</v>
      </c>
      <c r="EB835" t="s">
        <v>3</v>
      </c>
      <c r="EC835" t="s">
        <v>3</v>
      </c>
      <c r="EE835">
        <v>1441815344</v>
      </c>
      <c r="EF835">
        <v>1</v>
      </c>
      <c r="EG835" t="s">
        <v>22</v>
      </c>
      <c r="EH835">
        <v>0</v>
      </c>
      <c r="EI835" t="s">
        <v>3</v>
      </c>
      <c r="EJ835">
        <v>4</v>
      </c>
      <c r="EK835">
        <v>0</v>
      </c>
      <c r="EL835" t="s">
        <v>23</v>
      </c>
      <c r="EM835" t="s">
        <v>24</v>
      </c>
      <c r="EO835" t="s">
        <v>3</v>
      </c>
      <c r="EQ835">
        <v>1024</v>
      </c>
      <c r="ER835">
        <v>142.02000000000001</v>
      </c>
      <c r="ES835">
        <v>0</v>
      </c>
      <c r="ET835">
        <v>0</v>
      </c>
      <c r="EU835">
        <v>0</v>
      </c>
      <c r="EV835">
        <v>142.02000000000001</v>
      </c>
      <c r="EW835">
        <v>0.23</v>
      </c>
      <c r="EX835">
        <v>0</v>
      </c>
      <c r="EY835">
        <v>0</v>
      </c>
      <c r="FQ835">
        <v>0</v>
      </c>
      <c r="FR835">
        <f t="shared" si="823"/>
        <v>0</v>
      </c>
      <c r="FS835">
        <v>0</v>
      </c>
      <c r="FX835">
        <v>70</v>
      </c>
      <c r="FY835">
        <v>10</v>
      </c>
      <c r="GA835" t="s">
        <v>3</v>
      </c>
      <c r="GD835">
        <v>0</v>
      </c>
      <c r="GF835">
        <v>-1170761426</v>
      </c>
      <c r="GG835">
        <v>2</v>
      </c>
      <c r="GH835">
        <v>1</v>
      </c>
      <c r="GI835">
        <v>-2</v>
      </c>
      <c r="GJ835">
        <v>0</v>
      </c>
      <c r="GK835">
        <f>ROUND(R835*(R12)/100,2)</f>
        <v>0</v>
      </c>
      <c r="GL835">
        <f t="shared" si="824"/>
        <v>0</v>
      </c>
      <c r="GM835">
        <f t="shared" si="825"/>
        <v>3067.63</v>
      </c>
      <c r="GN835">
        <f t="shared" si="826"/>
        <v>0</v>
      </c>
      <c r="GO835">
        <f t="shared" si="827"/>
        <v>0</v>
      </c>
      <c r="GP835">
        <f t="shared" si="828"/>
        <v>3067.63</v>
      </c>
      <c r="GR835">
        <v>0</v>
      </c>
      <c r="GS835">
        <v>3</v>
      </c>
      <c r="GT835">
        <v>0</v>
      </c>
      <c r="GU835" t="s">
        <v>3</v>
      </c>
      <c r="GV835">
        <f t="shared" si="829"/>
        <v>0</v>
      </c>
      <c r="GW835">
        <v>1</v>
      </c>
      <c r="GX835">
        <f t="shared" si="830"/>
        <v>0</v>
      </c>
      <c r="HA835">
        <v>0</v>
      </c>
      <c r="HB835">
        <v>0</v>
      </c>
      <c r="HC835">
        <f t="shared" si="831"/>
        <v>0</v>
      </c>
      <c r="HE835" t="s">
        <v>3</v>
      </c>
      <c r="HF835" t="s">
        <v>3</v>
      </c>
      <c r="HM835" t="s">
        <v>3</v>
      </c>
      <c r="HN835" t="s">
        <v>3</v>
      </c>
      <c r="HO835" t="s">
        <v>3</v>
      </c>
      <c r="HP835" t="s">
        <v>3</v>
      </c>
      <c r="HQ835" t="s">
        <v>3</v>
      </c>
      <c r="IK835">
        <v>0</v>
      </c>
    </row>
    <row r="836" spans="1:245" x14ac:dyDescent="0.2">
      <c r="A836">
        <v>19</v>
      </c>
      <c r="B836">
        <v>1</v>
      </c>
      <c r="F836" t="s">
        <v>3</v>
      </c>
      <c r="G836" t="s">
        <v>759</v>
      </c>
      <c r="H836" t="s">
        <v>3</v>
      </c>
      <c r="AA836">
        <v>1</v>
      </c>
      <c r="IK836">
        <v>0</v>
      </c>
    </row>
    <row r="837" spans="1:245" x14ac:dyDescent="0.2">
      <c r="A837">
        <v>17</v>
      </c>
      <c r="B837">
        <v>1</v>
      </c>
      <c r="D837">
        <f>ROW(EtalonRes!A857)</f>
        <v>857</v>
      </c>
      <c r="E837" t="s">
        <v>760</v>
      </c>
      <c r="F837" t="s">
        <v>761</v>
      </c>
      <c r="G837" t="s">
        <v>762</v>
      </c>
      <c r="H837" t="s">
        <v>94</v>
      </c>
      <c r="I837">
        <f>ROUND((104+16+270)/10,9)</f>
        <v>39</v>
      </c>
      <c r="J837">
        <v>0</v>
      </c>
      <c r="K837">
        <f>ROUND((104+16+270)/10,9)</f>
        <v>39</v>
      </c>
      <c r="O837">
        <f>ROUND(CP837,2)</f>
        <v>4580.55</v>
      </c>
      <c r="P837">
        <f>ROUND(CQ837*I837,2)</f>
        <v>245.7</v>
      </c>
      <c r="Q837">
        <f>ROUND(CR837*I837,2)</f>
        <v>0</v>
      </c>
      <c r="R837">
        <f>ROUND(CS837*I837,2)</f>
        <v>0</v>
      </c>
      <c r="S837">
        <f>ROUND(CT837*I837,2)</f>
        <v>4334.8500000000004</v>
      </c>
      <c r="T837">
        <f>ROUND(CU837*I837,2)</f>
        <v>0</v>
      </c>
      <c r="U837">
        <f>CV837*I837</f>
        <v>7.02</v>
      </c>
      <c r="V837">
        <f>CW837*I837</f>
        <v>0</v>
      </c>
      <c r="W837">
        <f>ROUND(CX837*I837,2)</f>
        <v>0</v>
      </c>
      <c r="X837">
        <f>ROUND(CY837,2)</f>
        <v>3034.4</v>
      </c>
      <c r="Y837">
        <f>ROUND(CZ837,2)</f>
        <v>433.49</v>
      </c>
      <c r="AA837">
        <v>1472506909</v>
      </c>
      <c r="AB837">
        <f>ROUND((AC837+AD837+AF837),6)</f>
        <v>117.45</v>
      </c>
      <c r="AC837">
        <f>ROUND((ES837),6)</f>
        <v>6.3</v>
      </c>
      <c r="AD837">
        <f>ROUND((((ET837)-(EU837))+AE837),6)</f>
        <v>0</v>
      </c>
      <c r="AE837">
        <f>ROUND((EU837),6)</f>
        <v>0</v>
      </c>
      <c r="AF837">
        <f>ROUND((EV837),6)</f>
        <v>111.15</v>
      </c>
      <c r="AG837">
        <f>ROUND((AP837),6)</f>
        <v>0</v>
      </c>
      <c r="AH837">
        <f>(EW837)</f>
        <v>0.18</v>
      </c>
      <c r="AI837">
        <f>(EX837)</f>
        <v>0</v>
      </c>
      <c r="AJ837">
        <f>(AS837)</f>
        <v>0</v>
      </c>
      <c r="AK837">
        <v>117.45</v>
      </c>
      <c r="AL837">
        <v>6.3</v>
      </c>
      <c r="AM837">
        <v>0</v>
      </c>
      <c r="AN837">
        <v>0</v>
      </c>
      <c r="AO837">
        <v>111.15</v>
      </c>
      <c r="AP837">
        <v>0</v>
      </c>
      <c r="AQ837">
        <v>0.18</v>
      </c>
      <c r="AR837">
        <v>0</v>
      </c>
      <c r="AS837">
        <v>0</v>
      </c>
      <c r="AT837">
        <v>70</v>
      </c>
      <c r="AU837">
        <v>10</v>
      </c>
      <c r="AV837">
        <v>1</v>
      </c>
      <c r="AW837">
        <v>1</v>
      </c>
      <c r="AZ837">
        <v>1</v>
      </c>
      <c r="BA837">
        <v>1</v>
      </c>
      <c r="BB837">
        <v>1</v>
      </c>
      <c r="BC837">
        <v>1</v>
      </c>
      <c r="BD837" t="s">
        <v>3</v>
      </c>
      <c r="BE837" t="s">
        <v>3</v>
      </c>
      <c r="BF837" t="s">
        <v>3</v>
      </c>
      <c r="BG837" t="s">
        <v>3</v>
      </c>
      <c r="BH837">
        <v>0</v>
      </c>
      <c r="BI837">
        <v>4</v>
      </c>
      <c r="BJ837" t="s">
        <v>763</v>
      </c>
      <c r="BM837">
        <v>0</v>
      </c>
      <c r="BN837">
        <v>0</v>
      </c>
      <c r="BO837" t="s">
        <v>3</v>
      </c>
      <c r="BP837">
        <v>0</v>
      </c>
      <c r="BQ837">
        <v>1</v>
      </c>
      <c r="BR837">
        <v>0</v>
      </c>
      <c r="BS837">
        <v>1</v>
      </c>
      <c r="BT837">
        <v>1</v>
      </c>
      <c r="BU837">
        <v>1</v>
      </c>
      <c r="BV837">
        <v>1</v>
      </c>
      <c r="BW837">
        <v>1</v>
      </c>
      <c r="BX837">
        <v>1</v>
      </c>
      <c r="BY837" t="s">
        <v>3</v>
      </c>
      <c r="BZ837">
        <v>70</v>
      </c>
      <c r="CA837">
        <v>10</v>
      </c>
      <c r="CB837" t="s">
        <v>3</v>
      </c>
      <c r="CE837">
        <v>0</v>
      </c>
      <c r="CF837">
        <v>0</v>
      </c>
      <c r="CG837">
        <v>0</v>
      </c>
      <c r="CM837">
        <v>0</v>
      </c>
      <c r="CN837" t="s">
        <v>3</v>
      </c>
      <c r="CO837">
        <v>0</v>
      </c>
      <c r="CP837">
        <f>(P837+Q837+S837)</f>
        <v>4580.55</v>
      </c>
      <c r="CQ837">
        <f>(AC837*BC837*AW837)</f>
        <v>6.3</v>
      </c>
      <c r="CR837">
        <f>((((ET837)*BB837-(EU837)*BS837)+AE837*BS837)*AV837)</f>
        <v>0</v>
      </c>
      <c r="CS837">
        <f>(AE837*BS837*AV837)</f>
        <v>0</v>
      </c>
      <c r="CT837">
        <f>(AF837*BA837*AV837)</f>
        <v>111.15</v>
      </c>
      <c r="CU837">
        <f>AG837</f>
        <v>0</v>
      </c>
      <c r="CV837">
        <f>(AH837*AV837)</f>
        <v>0.18</v>
      </c>
      <c r="CW837">
        <f>AI837</f>
        <v>0</v>
      </c>
      <c r="CX837">
        <f>AJ837</f>
        <v>0</v>
      </c>
      <c r="CY837">
        <f>((S837*BZ837)/100)</f>
        <v>3034.395</v>
      </c>
      <c r="CZ837">
        <f>((S837*CA837)/100)</f>
        <v>433.48500000000001</v>
      </c>
      <c r="DC837" t="s">
        <v>3</v>
      </c>
      <c r="DD837" t="s">
        <v>3</v>
      </c>
      <c r="DE837" t="s">
        <v>3</v>
      </c>
      <c r="DF837" t="s">
        <v>3</v>
      </c>
      <c r="DG837" t="s">
        <v>3</v>
      </c>
      <c r="DH837" t="s">
        <v>3</v>
      </c>
      <c r="DI837" t="s">
        <v>3</v>
      </c>
      <c r="DJ837" t="s">
        <v>3</v>
      </c>
      <c r="DK837" t="s">
        <v>3</v>
      </c>
      <c r="DL837" t="s">
        <v>3</v>
      </c>
      <c r="DM837" t="s">
        <v>3</v>
      </c>
      <c r="DN837">
        <v>0</v>
      </c>
      <c r="DO837">
        <v>0</v>
      </c>
      <c r="DP837">
        <v>1</v>
      </c>
      <c r="DQ837">
        <v>1</v>
      </c>
      <c r="DU837">
        <v>16987630</v>
      </c>
      <c r="DV837" t="s">
        <v>94</v>
      </c>
      <c r="DW837" t="s">
        <v>94</v>
      </c>
      <c r="DX837">
        <v>10</v>
      </c>
      <c r="DZ837" t="s">
        <v>3</v>
      </c>
      <c r="EA837" t="s">
        <v>3</v>
      </c>
      <c r="EB837" t="s">
        <v>3</v>
      </c>
      <c r="EC837" t="s">
        <v>3</v>
      </c>
      <c r="EE837">
        <v>1441815344</v>
      </c>
      <c r="EF837">
        <v>1</v>
      </c>
      <c r="EG837" t="s">
        <v>22</v>
      </c>
      <c r="EH837">
        <v>0</v>
      </c>
      <c r="EI837" t="s">
        <v>3</v>
      </c>
      <c r="EJ837">
        <v>4</v>
      </c>
      <c r="EK837">
        <v>0</v>
      </c>
      <c r="EL837" t="s">
        <v>23</v>
      </c>
      <c r="EM837" t="s">
        <v>24</v>
      </c>
      <c r="EO837" t="s">
        <v>3</v>
      </c>
      <c r="EQ837">
        <v>0</v>
      </c>
      <c r="ER837">
        <v>117.45</v>
      </c>
      <c r="ES837">
        <v>6.3</v>
      </c>
      <c r="ET837">
        <v>0</v>
      </c>
      <c r="EU837">
        <v>0</v>
      </c>
      <c r="EV837">
        <v>111.15</v>
      </c>
      <c r="EW837">
        <v>0.18</v>
      </c>
      <c r="EX837">
        <v>0</v>
      </c>
      <c r="EY837">
        <v>0</v>
      </c>
      <c r="FQ837">
        <v>0</v>
      </c>
      <c r="FR837">
        <f>ROUND(IF(BI837=3,GM837,0),2)</f>
        <v>0</v>
      </c>
      <c r="FS837">
        <v>0</v>
      </c>
      <c r="FX837">
        <v>70</v>
      </c>
      <c r="FY837">
        <v>10</v>
      </c>
      <c r="GA837" t="s">
        <v>3</v>
      </c>
      <c r="GD837">
        <v>0</v>
      </c>
      <c r="GF837">
        <v>1310870617</v>
      </c>
      <c r="GG837">
        <v>2</v>
      </c>
      <c r="GH837">
        <v>1</v>
      </c>
      <c r="GI837">
        <v>-2</v>
      </c>
      <c r="GJ837">
        <v>0</v>
      </c>
      <c r="GK837">
        <f>ROUND(R837*(R12)/100,2)</f>
        <v>0</v>
      </c>
      <c r="GL837">
        <f>ROUND(IF(AND(BH837=3,BI837=3,FS837&lt;&gt;0),P837,0),2)</f>
        <v>0</v>
      </c>
      <c r="GM837">
        <f>ROUND(O837+X837+Y837+GK837,2)+GX837</f>
        <v>8048.44</v>
      </c>
      <c r="GN837">
        <f>IF(OR(BI837=0,BI837=1),GM837-GX837,0)</f>
        <v>0</v>
      </c>
      <c r="GO837">
        <f>IF(BI837=2,GM837-GX837,0)</f>
        <v>0</v>
      </c>
      <c r="GP837">
        <f>IF(BI837=4,GM837-GX837,0)</f>
        <v>8048.44</v>
      </c>
      <c r="GR837">
        <v>0</v>
      </c>
      <c r="GS837">
        <v>3</v>
      </c>
      <c r="GT837">
        <v>0</v>
      </c>
      <c r="GU837" t="s">
        <v>3</v>
      </c>
      <c r="GV837">
        <f>ROUND((GT837),6)</f>
        <v>0</v>
      </c>
      <c r="GW837">
        <v>1</v>
      </c>
      <c r="GX837">
        <f>ROUND(HC837*I837,2)</f>
        <v>0</v>
      </c>
      <c r="HA837">
        <v>0</v>
      </c>
      <c r="HB837">
        <v>0</v>
      </c>
      <c r="HC837">
        <f>GV837*GW837</f>
        <v>0</v>
      </c>
      <c r="HE837" t="s">
        <v>3</v>
      </c>
      <c r="HF837" t="s">
        <v>3</v>
      </c>
      <c r="HM837" t="s">
        <v>3</v>
      </c>
      <c r="HN837" t="s">
        <v>3</v>
      </c>
      <c r="HO837" t="s">
        <v>3</v>
      </c>
      <c r="HP837" t="s">
        <v>3</v>
      </c>
      <c r="HQ837" t="s">
        <v>3</v>
      </c>
      <c r="IK837">
        <v>0</v>
      </c>
    </row>
    <row r="838" spans="1:245" x14ac:dyDescent="0.2">
      <c r="A838">
        <v>17</v>
      </c>
      <c r="B838">
        <v>1</v>
      </c>
      <c r="D838">
        <f>ROW(EtalonRes!A858)</f>
        <v>858</v>
      </c>
      <c r="E838" t="s">
        <v>3</v>
      </c>
      <c r="F838" t="s">
        <v>764</v>
      </c>
      <c r="G838" t="s">
        <v>765</v>
      </c>
      <c r="H838" t="s">
        <v>141</v>
      </c>
      <c r="I838">
        <f>ROUND((104+16+270)/100,9)</f>
        <v>3.9</v>
      </c>
      <c r="J838">
        <v>0</v>
      </c>
      <c r="K838">
        <f>ROUND((104+16+270)/100,9)</f>
        <v>3.9</v>
      </c>
      <c r="O838">
        <f>ROUND(CP838,2)</f>
        <v>1897.58</v>
      </c>
      <c r="P838">
        <f>ROUND(CQ838*I838,2)</f>
        <v>0</v>
      </c>
      <c r="Q838">
        <f>ROUND(CR838*I838,2)</f>
        <v>0</v>
      </c>
      <c r="R838">
        <f>ROUND(CS838*I838,2)</f>
        <v>0</v>
      </c>
      <c r="S838">
        <f>ROUND(CT838*I838,2)</f>
        <v>1897.58</v>
      </c>
      <c r="T838">
        <f>ROUND(CU838*I838,2)</f>
        <v>0</v>
      </c>
      <c r="U838">
        <f>CV838*I838</f>
        <v>3.7439999999999998</v>
      </c>
      <c r="V838">
        <f>CW838*I838</f>
        <v>0</v>
      </c>
      <c r="W838">
        <f>ROUND(CX838*I838,2)</f>
        <v>0</v>
      </c>
      <c r="X838">
        <f>ROUND(CY838,2)</f>
        <v>1328.31</v>
      </c>
      <c r="Y838">
        <f>ROUND(CZ838,2)</f>
        <v>189.76</v>
      </c>
      <c r="AA838">
        <v>-1</v>
      </c>
      <c r="AB838">
        <f>ROUND((AC838+AD838+AF838),6)</f>
        <v>486.56</v>
      </c>
      <c r="AC838">
        <f>ROUND((ES838),6)</f>
        <v>0</v>
      </c>
      <c r="AD838">
        <f>ROUND((((ET838)-(EU838))+AE838),6)</f>
        <v>0</v>
      </c>
      <c r="AE838">
        <f>ROUND((EU838),6)</f>
        <v>0</v>
      </c>
      <c r="AF838">
        <f>ROUND(((EV838*4)),6)</f>
        <v>486.56</v>
      </c>
      <c r="AG838">
        <f>ROUND((AP838),6)</f>
        <v>0</v>
      </c>
      <c r="AH838">
        <f>((EW838*4))</f>
        <v>0.96</v>
      </c>
      <c r="AI838">
        <f>(EX838)</f>
        <v>0</v>
      </c>
      <c r="AJ838">
        <f>(AS838)</f>
        <v>0</v>
      </c>
      <c r="AK838">
        <v>121.64</v>
      </c>
      <c r="AL838">
        <v>0</v>
      </c>
      <c r="AM838">
        <v>0</v>
      </c>
      <c r="AN838">
        <v>0</v>
      </c>
      <c r="AO838">
        <v>121.64</v>
      </c>
      <c r="AP838">
        <v>0</v>
      </c>
      <c r="AQ838">
        <v>0.24</v>
      </c>
      <c r="AR838">
        <v>0</v>
      </c>
      <c r="AS838">
        <v>0</v>
      </c>
      <c r="AT838">
        <v>70</v>
      </c>
      <c r="AU838">
        <v>10</v>
      </c>
      <c r="AV838">
        <v>1</v>
      </c>
      <c r="AW838">
        <v>1</v>
      </c>
      <c r="AZ838">
        <v>1</v>
      </c>
      <c r="BA838">
        <v>1</v>
      </c>
      <c r="BB838">
        <v>1</v>
      </c>
      <c r="BC838">
        <v>1</v>
      </c>
      <c r="BD838" t="s">
        <v>3</v>
      </c>
      <c r="BE838" t="s">
        <v>3</v>
      </c>
      <c r="BF838" t="s">
        <v>3</v>
      </c>
      <c r="BG838" t="s">
        <v>3</v>
      </c>
      <c r="BH838">
        <v>0</v>
      </c>
      <c r="BI838">
        <v>4</v>
      </c>
      <c r="BJ838" t="s">
        <v>766</v>
      </c>
      <c r="BM838">
        <v>0</v>
      </c>
      <c r="BN838">
        <v>0</v>
      </c>
      <c r="BO838" t="s">
        <v>3</v>
      </c>
      <c r="BP838">
        <v>0</v>
      </c>
      <c r="BQ838">
        <v>1</v>
      </c>
      <c r="BR838">
        <v>0</v>
      </c>
      <c r="BS838">
        <v>1</v>
      </c>
      <c r="BT838">
        <v>1</v>
      </c>
      <c r="BU838">
        <v>1</v>
      </c>
      <c r="BV838">
        <v>1</v>
      </c>
      <c r="BW838">
        <v>1</v>
      </c>
      <c r="BX838">
        <v>1</v>
      </c>
      <c r="BY838" t="s">
        <v>3</v>
      </c>
      <c r="BZ838">
        <v>70</v>
      </c>
      <c r="CA838">
        <v>10</v>
      </c>
      <c r="CB838" t="s">
        <v>3</v>
      </c>
      <c r="CE838">
        <v>0</v>
      </c>
      <c r="CF838">
        <v>0</v>
      </c>
      <c r="CG838">
        <v>0</v>
      </c>
      <c r="CM838">
        <v>0</v>
      </c>
      <c r="CN838" t="s">
        <v>3</v>
      </c>
      <c r="CO838">
        <v>0</v>
      </c>
      <c r="CP838">
        <f>(P838+Q838+S838)</f>
        <v>1897.58</v>
      </c>
      <c r="CQ838">
        <f>(AC838*BC838*AW838)</f>
        <v>0</v>
      </c>
      <c r="CR838">
        <f>((((ET838)*BB838-(EU838)*BS838)+AE838*BS838)*AV838)</f>
        <v>0</v>
      </c>
      <c r="CS838">
        <f>(AE838*BS838*AV838)</f>
        <v>0</v>
      </c>
      <c r="CT838">
        <f>(AF838*BA838*AV838)</f>
        <v>486.56</v>
      </c>
      <c r="CU838">
        <f>AG838</f>
        <v>0</v>
      </c>
      <c r="CV838">
        <f>(AH838*AV838)</f>
        <v>0.96</v>
      </c>
      <c r="CW838">
        <f>AI838</f>
        <v>0</v>
      </c>
      <c r="CX838">
        <f>AJ838</f>
        <v>0</v>
      </c>
      <c r="CY838">
        <f>((S838*BZ838)/100)</f>
        <v>1328.306</v>
      </c>
      <c r="CZ838">
        <f>((S838*CA838)/100)</f>
        <v>189.75799999999998</v>
      </c>
      <c r="DC838" t="s">
        <v>3</v>
      </c>
      <c r="DD838" t="s">
        <v>3</v>
      </c>
      <c r="DE838" t="s">
        <v>3</v>
      </c>
      <c r="DF838" t="s">
        <v>3</v>
      </c>
      <c r="DG838" t="s">
        <v>106</v>
      </c>
      <c r="DH838" t="s">
        <v>3</v>
      </c>
      <c r="DI838" t="s">
        <v>106</v>
      </c>
      <c r="DJ838" t="s">
        <v>3</v>
      </c>
      <c r="DK838" t="s">
        <v>3</v>
      </c>
      <c r="DL838" t="s">
        <v>3</v>
      </c>
      <c r="DM838" t="s">
        <v>3</v>
      </c>
      <c r="DN838">
        <v>0</v>
      </c>
      <c r="DO838">
        <v>0</v>
      </c>
      <c r="DP838">
        <v>1</v>
      </c>
      <c r="DQ838">
        <v>1</v>
      </c>
      <c r="DU838">
        <v>16987630</v>
      </c>
      <c r="DV838" t="s">
        <v>141</v>
      </c>
      <c r="DW838" t="s">
        <v>141</v>
      </c>
      <c r="DX838">
        <v>100</v>
      </c>
      <c r="DZ838" t="s">
        <v>3</v>
      </c>
      <c r="EA838" t="s">
        <v>3</v>
      </c>
      <c r="EB838" t="s">
        <v>3</v>
      </c>
      <c r="EC838" t="s">
        <v>3</v>
      </c>
      <c r="EE838">
        <v>1441815344</v>
      </c>
      <c r="EF838">
        <v>1</v>
      </c>
      <c r="EG838" t="s">
        <v>22</v>
      </c>
      <c r="EH838">
        <v>0</v>
      </c>
      <c r="EI838" t="s">
        <v>3</v>
      </c>
      <c r="EJ838">
        <v>4</v>
      </c>
      <c r="EK838">
        <v>0</v>
      </c>
      <c r="EL838" t="s">
        <v>23</v>
      </c>
      <c r="EM838" t="s">
        <v>24</v>
      </c>
      <c r="EO838" t="s">
        <v>3</v>
      </c>
      <c r="EQ838">
        <v>1024</v>
      </c>
      <c r="ER838">
        <v>121.64</v>
      </c>
      <c r="ES838">
        <v>0</v>
      </c>
      <c r="ET838">
        <v>0</v>
      </c>
      <c r="EU838">
        <v>0</v>
      </c>
      <c r="EV838">
        <v>121.64</v>
      </c>
      <c r="EW838">
        <v>0.24</v>
      </c>
      <c r="EX838">
        <v>0</v>
      </c>
      <c r="EY838">
        <v>0</v>
      </c>
      <c r="FQ838">
        <v>0</v>
      </c>
      <c r="FR838">
        <f>ROUND(IF(BI838=3,GM838,0),2)</f>
        <v>0</v>
      </c>
      <c r="FS838">
        <v>0</v>
      </c>
      <c r="FX838">
        <v>70</v>
      </c>
      <c r="FY838">
        <v>10</v>
      </c>
      <c r="GA838" t="s">
        <v>3</v>
      </c>
      <c r="GD838">
        <v>0</v>
      </c>
      <c r="GF838">
        <v>1019270866</v>
      </c>
      <c r="GG838">
        <v>2</v>
      </c>
      <c r="GH838">
        <v>1</v>
      </c>
      <c r="GI838">
        <v>-2</v>
      </c>
      <c r="GJ838">
        <v>0</v>
      </c>
      <c r="GK838">
        <f>ROUND(R838*(R12)/100,2)</f>
        <v>0</v>
      </c>
      <c r="GL838">
        <f>ROUND(IF(AND(BH838=3,BI838=3,FS838&lt;&gt;0),P838,0),2)</f>
        <v>0</v>
      </c>
      <c r="GM838">
        <f>ROUND(O838+X838+Y838+GK838,2)+GX838</f>
        <v>3415.65</v>
      </c>
      <c r="GN838">
        <f>IF(OR(BI838=0,BI838=1),GM838-GX838,0)</f>
        <v>0</v>
      </c>
      <c r="GO838">
        <f>IF(BI838=2,GM838-GX838,0)</f>
        <v>0</v>
      </c>
      <c r="GP838">
        <f>IF(BI838=4,GM838-GX838,0)</f>
        <v>3415.65</v>
      </c>
      <c r="GR838">
        <v>0</v>
      </c>
      <c r="GS838">
        <v>3</v>
      </c>
      <c r="GT838">
        <v>0</v>
      </c>
      <c r="GU838" t="s">
        <v>3</v>
      </c>
      <c r="GV838">
        <f>ROUND((GT838),6)</f>
        <v>0</v>
      </c>
      <c r="GW838">
        <v>1</v>
      </c>
      <c r="GX838">
        <f>ROUND(HC838*I838,2)</f>
        <v>0</v>
      </c>
      <c r="HA838">
        <v>0</v>
      </c>
      <c r="HB838">
        <v>0</v>
      </c>
      <c r="HC838">
        <f>GV838*GW838</f>
        <v>0</v>
      </c>
      <c r="HE838" t="s">
        <v>3</v>
      </c>
      <c r="HF838" t="s">
        <v>3</v>
      </c>
      <c r="HM838" t="s">
        <v>3</v>
      </c>
      <c r="HN838" t="s">
        <v>3</v>
      </c>
      <c r="HO838" t="s">
        <v>3</v>
      </c>
      <c r="HP838" t="s">
        <v>3</v>
      </c>
      <c r="HQ838" t="s">
        <v>3</v>
      </c>
      <c r="IK838">
        <v>0</v>
      </c>
    </row>
    <row r="839" spans="1:245" x14ac:dyDescent="0.2">
      <c r="A839">
        <v>19</v>
      </c>
      <c r="B839">
        <v>1</v>
      </c>
      <c r="F839" t="s">
        <v>3</v>
      </c>
      <c r="G839" t="s">
        <v>767</v>
      </c>
      <c r="H839" t="s">
        <v>3</v>
      </c>
      <c r="AA839">
        <v>1</v>
      </c>
      <c r="IK839">
        <v>0</v>
      </c>
    </row>
    <row r="840" spans="1:245" x14ac:dyDescent="0.2">
      <c r="A840">
        <v>17</v>
      </c>
      <c r="B840">
        <v>1</v>
      </c>
      <c r="D840">
        <f>ROW(EtalonRes!A860)</f>
        <v>860</v>
      </c>
      <c r="E840" t="s">
        <v>768</v>
      </c>
      <c r="F840" t="s">
        <v>769</v>
      </c>
      <c r="G840" t="s">
        <v>770</v>
      </c>
      <c r="H840" t="s">
        <v>20</v>
      </c>
      <c r="I840">
        <v>857</v>
      </c>
      <c r="J840">
        <v>0</v>
      </c>
      <c r="K840">
        <v>857</v>
      </c>
      <c r="O840">
        <f t="shared" ref="O840:O845" si="834">ROUND(CP840,2)</f>
        <v>101561.01</v>
      </c>
      <c r="P840">
        <f t="shared" ref="P840:P845" si="835">ROUND(CQ840*I840,2)</f>
        <v>1345.49</v>
      </c>
      <c r="Q840">
        <f t="shared" ref="Q840:Q845" si="836">ROUND(CR840*I840,2)</f>
        <v>0</v>
      </c>
      <c r="R840">
        <f t="shared" ref="R840:R845" si="837">ROUND(CS840*I840,2)</f>
        <v>0</v>
      </c>
      <c r="S840">
        <f t="shared" ref="S840:S845" si="838">ROUND(CT840*I840,2)</f>
        <v>100215.52</v>
      </c>
      <c r="T840">
        <f t="shared" ref="T840:T845" si="839">ROUND(CU840*I840,2)</f>
        <v>0</v>
      </c>
      <c r="U840">
        <f t="shared" ref="U840:U845" si="840">CV840*I840</f>
        <v>178.25600000000003</v>
      </c>
      <c r="V840">
        <f t="shared" ref="V840:V845" si="841">CW840*I840</f>
        <v>0</v>
      </c>
      <c r="W840">
        <f t="shared" ref="W840:W845" si="842">ROUND(CX840*I840,2)</f>
        <v>0</v>
      </c>
      <c r="X840">
        <f t="shared" ref="X840:Y845" si="843">ROUND(CY840,2)</f>
        <v>70150.86</v>
      </c>
      <c r="Y840">
        <f t="shared" si="843"/>
        <v>10021.549999999999</v>
      </c>
      <c r="AA840">
        <v>1472506909</v>
      </c>
      <c r="AB840">
        <f t="shared" ref="AB840:AB845" si="844">ROUND((AC840+AD840+AF840),6)</f>
        <v>118.5076</v>
      </c>
      <c r="AC840">
        <f>ROUND((ES840),6)</f>
        <v>1.57</v>
      </c>
      <c r="AD840">
        <f>ROUND((((ET840)-(EU840))+AE840),6)</f>
        <v>0</v>
      </c>
      <c r="AE840">
        <f>ROUND((EU840),6)</f>
        <v>0</v>
      </c>
      <c r="AF840">
        <f>ROUND(((EV840*1.04)),6)</f>
        <v>116.9376</v>
      </c>
      <c r="AG840">
        <f t="shared" ref="AG840:AG845" si="845">ROUND((AP840),6)</f>
        <v>0</v>
      </c>
      <c r="AH840">
        <f>((EW840*1.04))</f>
        <v>0.20800000000000002</v>
      </c>
      <c r="AI840">
        <f>(EX840)</f>
        <v>0</v>
      </c>
      <c r="AJ840">
        <f t="shared" ref="AJ840:AJ845" si="846">(AS840)</f>
        <v>0</v>
      </c>
      <c r="AK840">
        <v>114.01</v>
      </c>
      <c r="AL840">
        <v>1.57</v>
      </c>
      <c r="AM840">
        <v>0</v>
      </c>
      <c r="AN840">
        <v>0</v>
      </c>
      <c r="AO840">
        <v>112.44</v>
      </c>
      <c r="AP840">
        <v>0</v>
      </c>
      <c r="AQ840">
        <v>0.2</v>
      </c>
      <c r="AR840">
        <v>0</v>
      </c>
      <c r="AS840">
        <v>0</v>
      </c>
      <c r="AT840">
        <v>70</v>
      </c>
      <c r="AU840">
        <v>10</v>
      </c>
      <c r="AV840">
        <v>1</v>
      </c>
      <c r="AW840">
        <v>1</v>
      </c>
      <c r="AZ840">
        <v>1</v>
      </c>
      <c r="BA840">
        <v>1</v>
      </c>
      <c r="BB840">
        <v>1</v>
      </c>
      <c r="BC840">
        <v>1</v>
      </c>
      <c r="BD840" t="s">
        <v>3</v>
      </c>
      <c r="BE840" t="s">
        <v>3</v>
      </c>
      <c r="BF840" t="s">
        <v>3</v>
      </c>
      <c r="BG840" t="s">
        <v>3</v>
      </c>
      <c r="BH840">
        <v>0</v>
      </c>
      <c r="BI840">
        <v>4</v>
      </c>
      <c r="BJ840" t="s">
        <v>771</v>
      </c>
      <c r="BM840">
        <v>0</v>
      </c>
      <c r="BN840">
        <v>0</v>
      </c>
      <c r="BO840" t="s">
        <v>3</v>
      </c>
      <c r="BP840">
        <v>0</v>
      </c>
      <c r="BQ840">
        <v>1</v>
      </c>
      <c r="BR840">
        <v>0</v>
      </c>
      <c r="BS840">
        <v>1</v>
      </c>
      <c r="BT840">
        <v>1</v>
      </c>
      <c r="BU840">
        <v>1</v>
      </c>
      <c r="BV840">
        <v>1</v>
      </c>
      <c r="BW840">
        <v>1</v>
      </c>
      <c r="BX840">
        <v>1</v>
      </c>
      <c r="BY840" t="s">
        <v>3</v>
      </c>
      <c r="BZ840">
        <v>70</v>
      </c>
      <c r="CA840">
        <v>10</v>
      </c>
      <c r="CB840" t="s">
        <v>3</v>
      </c>
      <c r="CE840">
        <v>0</v>
      </c>
      <c r="CF840">
        <v>0</v>
      </c>
      <c r="CG840">
        <v>0</v>
      </c>
      <c r="CM840">
        <v>0</v>
      </c>
      <c r="CN840" t="s">
        <v>772</v>
      </c>
      <c r="CO840">
        <v>0</v>
      </c>
      <c r="CP840">
        <f t="shared" ref="CP840:CP845" si="847">(P840+Q840+S840)</f>
        <v>101561.01000000001</v>
      </c>
      <c r="CQ840">
        <f t="shared" ref="CQ840:CQ845" si="848">(AC840*BC840*AW840)</f>
        <v>1.57</v>
      </c>
      <c r="CR840">
        <f>((((ET840)*BB840-(EU840)*BS840)+AE840*BS840)*AV840)</f>
        <v>0</v>
      </c>
      <c r="CS840">
        <f t="shared" ref="CS840:CS845" si="849">(AE840*BS840*AV840)</f>
        <v>0</v>
      </c>
      <c r="CT840">
        <f t="shared" ref="CT840:CT845" si="850">(AF840*BA840*AV840)</f>
        <v>116.9376</v>
      </c>
      <c r="CU840">
        <f t="shared" ref="CU840:CU845" si="851">AG840</f>
        <v>0</v>
      </c>
      <c r="CV840">
        <f t="shared" ref="CV840:CV845" si="852">(AH840*AV840)</f>
        <v>0.20800000000000002</v>
      </c>
      <c r="CW840">
        <f t="shared" ref="CW840:CX845" si="853">AI840</f>
        <v>0</v>
      </c>
      <c r="CX840">
        <f t="shared" si="853"/>
        <v>0</v>
      </c>
      <c r="CY840">
        <f t="shared" ref="CY840:CY845" si="854">((S840*BZ840)/100)</f>
        <v>70150.864000000001</v>
      </c>
      <c r="CZ840">
        <f t="shared" ref="CZ840:CZ845" si="855">((S840*CA840)/100)</f>
        <v>10021.552000000001</v>
      </c>
      <c r="DC840" t="s">
        <v>3</v>
      </c>
      <c r="DD840" t="s">
        <v>3</v>
      </c>
      <c r="DE840" t="s">
        <v>3</v>
      </c>
      <c r="DF840" t="s">
        <v>3</v>
      </c>
      <c r="DG840" t="s">
        <v>773</v>
      </c>
      <c r="DH840" t="s">
        <v>3</v>
      </c>
      <c r="DI840" t="s">
        <v>773</v>
      </c>
      <c r="DJ840" t="s">
        <v>3</v>
      </c>
      <c r="DK840" t="s">
        <v>3</v>
      </c>
      <c r="DL840" t="s">
        <v>3</v>
      </c>
      <c r="DM840" t="s">
        <v>3</v>
      </c>
      <c r="DN840">
        <v>0</v>
      </c>
      <c r="DO840">
        <v>0</v>
      </c>
      <c r="DP840">
        <v>1</v>
      </c>
      <c r="DQ840">
        <v>1</v>
      </c>
      <c r="DU840">
        <v>16987630</v>
      </c>
      <c r="DV840" t="s">
        <v>20</v>
      </c>
      <c r="DW840" t="s">
        <v>20</v>
      </c>
      <c r="DX840">
        <v>1</v>
      </c>
      <c r="DZ840" t="s">
        <v>3</v>
      </c>
      <c r="EA840" t="s">
        <v>3</v>
      </c>
      <c r="EB840" t="s">
        <v>3</v>
      </c>
      <c r="EC840" t="s">
        <v>3</v>
      </c>
      <c r="EE840">
        <v>1441815344</v>
      </c>
      <c r="EF840">
        <v>1</v>
      </c>
      <c r="EG840" t="s">
        <v>22</v>
      </c>
      <c r="EH840">
        <v>0</v>
      </c>
      <c r="EI840" t="s">
        <v>3</v>
      </c>
      <c r="EJ840">
        <v>4</v>
      </c>
      <c r="EK840">
        <v>0</v>
      </c>
      <c r="EL840" t="s">
        <v>23</v>
      </c>
      <c r="EM840" t="s">
        <v>24</v>
      </c>
      <c r="EO840" t="s">
        <v>774</v>
      </c>
      <c r="EQ840">
        <v>768</v>
      </c>
      <c r="ER840">
        <v>114.01</v>
      </c>
      <c r="ES840">
        <v>1.57</v>
      </c>
      <c r="ET840">
        <v>0</v>
      </c>
      <c r="EU840">
        <v>0</v>
      </c>
      <c r="EV840">
        <v>112.44</v>
      </c>
      <c r="EW840">
        <v>0.2</v>
      </c>
      <c r="EX840">
        <v>0</v>
      </c>
      <c r="EY840">
        <v>0</v>
      </c>
      <c r="FQ840">
        <v>0</v>
      </c>
      <c r="FR840">
        <f t="shared" ref="FR840:FR845" si="856">ROUND(IF(BI840=3,GM840,0),2)</f>
        <v>0</v>
      </c>
      <c r="FS840">
        <v>0</v>
      </c>
      <c r="FX840">
        <v>70</v>
      </c>
      <c r="FY840">
        <v>10</v>
      </c>
      <c r="GA840" t="s">
        <v>3</v>
      </c>
      <c r="GD840">
        <v>0</v>
      </c>
      <c r="GF840">
        <v>622162327</v>
      </c>
      <c r="GG840">
        <v>2</v>
      </c>
      <c r="GH840">
        <v>1</v>
      </c>
      <c r="GI840">
        <v>-2</v>
      </c>
      <c r="GJ840">
        <v>0</v>
      </c>
      <c r="GK840">
        <f>ROUND(R840*(R12)/100,2)</f>
        <v>0</v>
      </c>
      <c r="GL840">
        <f t="shared" ref="GL840:GL845" si="857">ROUND(IF(AND(BH840=3,BI840=3,FS840&lt;&gt;0),P840,0),2)</f>
        <v>0</v>
      </c>
      <c r="GM840">
        <f t="shared" ref="GM840:GM845" si="858">ROUND(O840+X840+Y840+GK840,2)+GX840</f>
        <v>181733.42</v>
      </c>
      <c r="GN840">
        <f t="shared" ref="GN840:GN845" si="859">IF(OR(BI840=0,BI840=1),GM840-GX840,0)</f>
        <v>0</v>
      </c>
      <c r="GO840">
        <f t="shared" ref="GO840:GO845" si="860">IF(BI840=2,GM840-GX840,0)</f>
        <v>0</v>
      </c>
      <c r="GP840">
        <f t="shared" ref="GP840:GP845" si="861">IF(BI840=4,GM840-GX840,0)</f>
        <v>181733.42</v>
      </c>
      <c r="GR840">
        <v>0</v>
      </c>
      <c r="GS840">
        <v>3</v>
      </c>
      <c r="GT840">
        <v>0</v>
      </c>
      <c r="GU840" t="s">
        <v>3</v>
      </c>
      <c r="GV840">
        <f t="shared" ref="GV840:GV845" si="862">ROUND((GT840),6)</f>
        <v>0</v>
      </c>
      <c r="GW840">
        <v>1</v>
      </c>
      <c r="GX840">
        <f t="shared" ref="GX840:GX845" si="863">ROUND(HC840*I840,2)</f>
        <v>0</v>
      </c>
      <c r="HA840">
        <v>0</v>
      </c>
      <c r="HB840">
        <v>0</v>
      </c>
      <c r="HC840">
        <f t="shared" ref="HC840:HC845" si="864">GV840*GW840</f>
        <v>0</v>
      </c>
      <c r="HE840" t="s">
        <v>3</v>
      </c>
      <c r="HF840" t="s">
        <v>3</v>
      </c>
      <c r="HM840" t="s">
        <v>3</v>
      </c>
      <c r="HN840" t="s">
        <v>3</v>
      </c>
      <c r="HO840" t="s">
        <v>3</v>
      </c>
      <c r="HP840" t="s">
        <v>3</v>
      </c>
      <c r="HQ840" t="s">
        <v>3</v>
      </c>
      <c r="IK840">
        <v>0</v>
      </c>
    </row>
    <row r="841" spans="1:245" x14ac:dyDescent="0.2">
      <c r="A841">
        <v>17</v>
      </c>
      <c r="B841">
        <v>1</v>
      </c>
      <c r="D841">
        <f>ROW(EtalonRes!A862)</f>
        <v>862</v>
      </c>
      <c r="E841" t="s">
        <v>775</v>
      </c>
      <c r="F841" t="s">
        <v>776</v>
      </c>
      <c r="G841" t="s">
        <v>777</v>
      </c>
      <c r="H841" t="s">
        <v>20</v>
      </c>
      <c r="I841">
        <v>54</v>
      </c>
      <c r="J841">
        <v>0</v>
      </c>
      <c r="K841">
        <v>54</v>
      </c>
      <c r="O841">
        <f t="shared" si="834"/>
        <v>15238.99</v>
      </c>
      <c r="P841">
        <f t="shared" si="835"/>
        <v>84.78</v>
      </c>
      <c r="Q841">
        <f t="shared" si="836"/>
        <v>0</v>
      </c>
      <c r="R841">
        <f t="shared" si="837"/>
        <v>0</v>
      </c>
      <c r="S841">
        <f t="shared" si="838"/>
        <v>15154.21</v>
      </c>
      <c r="T841">
        <f t="shared" si="839"/>
        <v>0</v>
      </c>
      <c r="U841">
        <f t="shared" si="840"/>
        <v>26.956799999999998</v>
      </c>
      <c r="V841">
        <f t="shared" si="841"/>
        <v>0</v>
      </c>
      <c r="W841">
        <f t="shared" si="842"/>
        <v>0</v>
      </c>
      <c r="X841">
        <f t="shared" si="843"/>
        <v>10607.95</v>
      </c>
      <c r="Y841">
        <f t="shared" si="843"/>
        <v>1515.42</v>
      </c>
      <c r="AA841">
        <v>1472506909</v>
      </c>
      <c r="AB841">
        <f t="shared" si="844"/>
        <v>282.20359999999999</v>
      </c>
      <c r="AC841">
        <f>ROUND((ES841),6)</f>
        <v>1.57</v>
      </c>
      <c r="AD841">
        <f>ROUND((((ET841)-(EU841))+AE841),6)</f>
        <v>0</v>
      </c>
      <c r="AE841">
        <f>ROUND((EU841),6)</f>
        <v>0</v>
      </c>
      <c r="AF841">
        <f>ROUND(((EV841*1.04)),6)</f>
        <v>280.6336</v>
      </c>
      <c r="AG841">
        <f t="shared" si="845"/>
        <v>0</v>
      </c>
      <c r="AH841">
        <f>((EW841*1.04))</f>
        <v>0.49919999999999998</v>
      </c>
      <c r="AI841">
        <f>(EX841)</f>
        <v>0</v>
      </c>
      <c r="AJ841">
        <f t="shared" si="846"/>
        <v>0</v>
      </c>
      <c r="AK841">
        <v>271.41000000000003</v>
      </c>
      <c r="AL841">
        <v>1.57</v>
      </c>
      <c r="AM841">
        <v>0</v>
      </c>
      <c r="AN841">
        <v>0</v>
      </c>
      <c r="AO841">
        <v>269.83999999999997</v>
      </c>
      <c r="AP841">
        <v>0</v>
      </c>
      <c r="AQ841">
        <v>0.48</v>
      </c>
      <c r="AR841">
        <v>0</v>
      </c>
      <c r="AS841">
        <v>0</v>
      </c>
      <c r="AT841">
        <v>70</v>
      </c>
      <c r="AU841">
        <v>10</v>
      </c>
      <c r="AV841">
        <v>1</v>
      </c>
      <c r="AW841">
        <v>1</v>
      </c>
      <c r="AZ841">
        <v>1</v>
      </c>
      <c r="BA841">
        <v>1</v>
      </c>
      <c r="BB841">
        <v>1</v>
      </c>
      <c r="BC841">
        <v>1</v>
      </c>
      <c r="BD841" t="s">
        <v>3</v>
      </c>
      <c r="BE841" t="s">
        <v>3</v>
      </c>
      <c r="BF841" t="s">
        <v>3</v>
      </c>
      <c r="BG841" t="s">
        <v>3</v>
      </c>
      <c r="BH841">
        <v>0</v>
      </c>
      <c r="BI841">
        <v>4</v>
      </c>
      <c r="BJ841" t="s">
        <v>778</v>
      </c>
      <c r="BM841">
        <v>0</v>
      </c>
      <c r="BN841">
        <v>0</v>
      </c>
      <c r="BO841" t="s">
        <v>3</v>
      </c>
      <c r="BP841">
        <v>0</v>
      </c>
      <c r="BQ841">
        <v>1</v>
      </c>
      <c r="BR841">
        <v>0</v>
      </c>
      <c r="BS841">
        <v>1</v>
      </c>
      <c r="BT841">
        <v>1</v>
      </c>
      <c r="BU841">
        <v>1</v>
      </c>
      <c r="BV841">
        <v>1</v>
      </c>
      <c r="BW841">
        <v>1</v>
      </c>
      <c r="BX841">
        <v>1</v>
      </c>
      <c r="BY841" t="s">
        <v>3</v>
      </c>
      <c r="BZ841">
        <v>70</v>
      </c>
      <c r="CA841">
        <v>10</v>
      </c>
      <c r="CB841" t="s">
        <v>3</v>
      </c>
      <c r="CE841">
        <v>0</v>
      </c>
      <c r="CF841">
        <v>0</v>
      </c>
      <c r="CG841">
        <v>0</v>
      </c>
      <c r="CM841">
        <v>0</v>
      </c>
      <c r="CN841" t="s">
        <v>772</v>
      </c>
      <c r="CO841">
        <v>0</v>
      </c>
      <c r="CP841">
        <f t="shared" si="847"/>
        <v>15238.99</v>
      </c>
      <c r="CQ841">
        <f t="shared" si="848"/>
        <v>1.57</v>
      </c>
      <c r="CR841">
        <f>((((ET841)*BB841-(EU841)*BS841)+AE841*BS841)*AV841)</f>
        <v>0</v>
      </c>
      <c r="CS841">
        <f t="shared" si="849"/>
        <v>0</v>
      </c>
      <c r="CT841">
        <f t="shared" si="850"/>
        <v>280.6336</v>
      </c>
      <c r="CU841">
        <f t="shared" si="851"/>
        <v>0</v>
      </c>
      <c r="CV841">
        <f t="shared" si="852"/>
        <v>0.49919999999999998</v>
      </c>
      <c r="CW841">
        <f t="shared" si="853"/>
        <v>0</v>
      </c>
      <c r="CX841">
        <f t="shared" si="853"/>
        <v>0</v>
      </c>
      <c r="CY841">
        <f t="shared" si="854"/>
        <v>10607.947</v>
      </c>
      <c r="CZ841">
        <f t="shared" si="855"/>
        <v>1515.4209999999998</v>
      </c>
      <c r="DC841" t="s">
        <v>3</v>
      </c>
      <c r="DD841" t="s">
        <v>3</v>
      </c>
      <c r="DE841" t="s">
        <v>3</v>
      </c>
      <c r="DF841" t="s">
        <v>3</v>
      </c>
      <c r="DG841" t="s">
        <v>773</v>
      </c>
      <c r="DH841" t="s">
        <v>3</v>
      </c>
      <c r="DI841" t="s">
        <v>773</v>
      </c>
      <c r="DJ841" t="s">
        <v>3</v>
      </c>
      <c r="DK841" t="s">
        <v>3</v>
      </c>
      <c r="DL841" t="s">
        <v>3</v>
      </c>
      <c r="DM841" t="s">
        <v>3</v>
      </c>
      <c r="DN841">
        <v>0</v>
      </c>
      <c r="DO841">
        <v>0</v>
      </c>
      <c r="DP841">
        <v>1</v>
      </c>
      <c r="DQ841">
        <v>1</v>
      </c>
      <c r="DU841">
        <v>16987630</v>
      </c>
      <c r="DV841" t="s">
        <v>20</v>
      </c>
      <c r="DW841" t="s">
        <v>20</v>
      </c>
      <c r="DX841">
        <v>1</v>
      </c>
      <c r="DZ841" t="s">
        <v>3</v>
      </c>
      <c r="EA841" t="s">
        <v>3</v>
      </c>
      <c r="EB841" t="s">
        <v>3</v>
      </c>
      <c r="EC841" t="s">
        <v>3</v>
      </c>
      <c r="EE841">
        <v>1441815344</v>
      </c>
      <c r="EF841">
        <v>1</v>
      </c>
      <c r="EG841" t="s">
        <v>22</v>
      </c>
      <c r="EH841">
        <v>0</v>
      </c>
      <c r="EI841" t="s">
        <v>3</v>
      </c>
      <c r="EJ841">
        <v>4</v>
      </c>
      <c r="EK841">
        <v>0</v>
      </c>
      <c r="EL841" t="s">
        <v>23</v>
      </c>
      <c r="EM841" t="s">
        <v>24</v>
      </c>
      <c r="EO841" t="s">
        <v>774</v>
      </c>
      <c r="EQ841">
        <v>768</v>
      </c>
      <c r="ER841">
        <v>271.41000000000003</v>
      </c>
      <c r="ES841">
        <v>1.57</v>
      </c>
      <c r="ET841">
        <v>0</v>
      </c>
      <c r="EU841">
        <v>0</v>
      </c>
      <c r="EV841">
        <v>269.83999999999997</v>
      </c>
      <c r="EW841">
        <v>0.48</v>
      </c>
      <c r="EX841">
        <v>0</v>
      </c>
      <c r="EY841">
        <v>0</v>
      </c>
      <c r="FQ841">
        <v>0</v>
      </c>
      <c r="FR841">
        <f t="shared" si="856"/>
        <v>0</v>
      </c>
      <c r="FS841">
        <v>0</v>
      </c>
      <c r="FX841">
        <v>70</v>
      </c>
      <c r="FY841">
        <v>10</v>
      </c>
      <c r="GA841" t="s">
        <v>3</v>
      </c>
      <c r="GD841">
        <v>0</v>
      </c>
      <c r="GF841">
        <v>775284010</v>
      </c>
      <c r="GG841">
        <v>2</v>
      </c>
      <c r="GH841">
        <v>1</v>
      </c>
      <c r="GI841">
        <v>-2</v>
      </c>
      <c r="GJ841">
        <v>0</v>
      </c>
      <c r="GK841">
        <f>ROUND(R841*(R12)/100,2)</f>
        <v>0</v>
      </c>
      <c r="GL841">
        <f t="shared" si="857"/>
        <v>0</v>
      </c>
      <c r="GM841">
        <f t="shared" si="858"/>
        <v>27362.36</v>
      </c>
      <c r="GN841">
        <f t="shared" si="859"/>
        <v>0</v>
      </c>
      <c r="GO841">
        <f t="shared" si="860"/>
        <v>0</v>
      </c>
      <c r="GP841">
        <f t="shared" si="861"/>
        <v>27362.36</v>
      </c>
      <c r="GR841">
        <v>0</v>
      </c>
      <c r="GS841">
        <v>3</v>
      </c>
      <c r="GT841">
        <v>0</v>
      </c>
      <c r="GU841" t="s">
        <v>3</v>
      </c>
      <c r="GV841">
        <f t="shared" si="862"/>
        <v>0</v>
      </c>
      <c r="GW841">
        <v>1</v>
      </c>
      <c r="GX841">
        <f t="shared" si="863"/>
        <v>0</v>
      </c>
      <c r="HA841">
        <v>0</v>
      </c>
      <c r="HB841">
        <v>0</v>
      </c>
      <c r="HC841">
        <f t="shared" si="864"/>
        <v>0</v>
      </c>
      <c r="HE841" t="s">
        <v>3</v>
      </c>
      <c r="HF841" t="s">
        <v>3</v>
      </c>
      <c r="HM841" t="s">
        <v>3</v>
      </c>
      <c r="HN841" t="s">
        <v>3</v>
      </c>
      <c r="HO841" t="s">
        <v>3</v>
      </c>
      <c r="HP841" t="s">
        <v>3</v>
      </c>
      <c r="HQ841" t="s">
        <v>3</v>
      </c>
      <c r="IK841">
        <v>0</v>
      </c>
    </row>
    <row r="842" spans="1:245" x14ac:dyDescent="0.2">
      <c r="A842">
        <v>17</v>
      </c>
      <c r="B842">
        <v>1</v>
      </c>
      <c r="D842">
        <f>ROW(EtalonRes!A864)</f>
        <v>864</v>
      </c>
      <c r="E842" t="s">
        <v>779</v>
      </c>
      <c r="F842" t="s">
        <v>780</v>
      </c>
      <c r="G842" t="s">
        <v>781</v>
      </c>
      <c r="H842" t="s">
        <v>20</v>
      </c>
      <c r="I842">
        <v>167</v>
      </c>
      <c r="J842">
        <v>0</v>
      </c>
      <c r="K842">
        <v>167</v>
      </c>
      <c r="O842">
        <f t="shared" si="834"/>
        <v>39265.839999999997</v>
      </c>
      <c r="P842">
        <f t="shared" si="835"/>
        <v>210.42</v>
      </c>
      <c r="Q842">
        <f t="shared" si="836"/>
        <v>0</v>
      </c>
      <c r="R842">
        <f t="shared" si="837"/>
        <v>0</v>
      </c>
      <c r="S842">
        <f t="shared" si="838"/>
        <v>39055.42</v>
      </c>
      <c r="T842">
        <f t="shared" si="839"/>
        <v>0</v>
      </c>
      <c r="U842">
        <f t="shared" si="840"/>
        <v>69.472000000000008</v>
      </c>
      <c r="V842">
        <f t="shared" si="841"/>
        <v>0</v>
      </c>
      <c r="W842">
        <f t="shared" si="842"/>
        <v>0</v>
      </c>
      <c r="X842">
        <f t="shared" si="843"/>
        <v>27338.79</v>
      </c>
      <c r="Y842">
        <f t="shared" si="843"/>
        <v>3905.54</v>
      </c>
      <c r="AA842">
        <v>1472506909</v>
      </c>
      <c r="AB842">
        <f t="shared" si="844"/>
        <v>235.12479999999999</v>
      </c>
      <c r="AC842">
        <f>ROUND((ES842),6)</f>
        <v>1.26</v>
      </c>
      <c r="AD842">
        <f>ROUND((((ET842)-(EU842))+AE842),6)</f>
        <v>0</v>
      </c>
      <c r="AE842">
        <f>ROUND((EU842),6)</f>
        <v>0</v>
      </c>
      <c r="AF842">
        <f>ROUND(((EV842*1.04)),6)</f>
        <v>233.8648</v>
      </c>
      <c r="AG842">
        <f t="shared" si="845"/>
        <v>0</v>
      </c>
      <c r="AH842">
        <f>((EW842*1.04))</f>
        <v>0.41600000000000004</v>
      </c>
      <c r="AI842">
        <f>(EX842)</f>
        <v>0</v>
      </c>
      <c r="AJ842">
        <f t="shared" si="846"/>
        <v>0</v>
      </c>
      <c r="AK842">
        <v>226.13</v>
      </c>
      <c r="AL842">
        <v>1.26</v>
      </c>
      <c r="AM842">
        <v>0</v>
      </c>
      <c r="AN842">
        <v>0</v>
      </c>
      <c r="AO842">
        <v>224.87</v>
      </c>
      <c r="AP842">
        <v>0</v>
      </c>
      <c r="AQ842">
        <v>0.4</v>
      </c>
      <c r="AR842">
        <v>0</v>
      </c>
      <c r="AS842">
        <v>0</v>
      </c>
      <c r="AT842">
        <v>70</v>
      </c>
      <c r="AU842">
        <v>10</v>
      </c>
      <c r="AV842">
        <v>1</v>
      </c>
      <c r="AW842">
        <v>1</v>
      </c>
      <c r="AZ842">
        <v>1</v>
      </c>
      <c r="BA842">
        <v>1</v>
      </c>
      <c r="BB842">
        <v>1</v>
      </c>
      <c r="BC842">
        <v>1</v>
      </c>
      <c r="BD842" t="s">
        <v>3</v>
      </c>
      <c r="BE842" t="s">
        <v>3</v>
      </c>
      <c r="BF842" t="s">
        <v>3</v>
      </c>
      <c r="BG842" t="s">
        <v>3</v>
      </c>
      <c r="BH842">
        <v>0</v>
      </c>
      <c r="BI842">
        <v>4</v>
      </c>
      <c r="BJ842" t="s">
        <v>782</v>
      </c>
      <c r="BM842">
        <v>0</v>
      </c>
      <c r="BN842">
        <v>0</v>
      </c>
      <c r="BO842" t="s">
        <v>3</v>
      </c>
      <c r="BP842">
        <v>0</v>
      </c>
      <c r="BQ842">
        <v>1</v>
      </c>
      <c r="BR842">
        <v>0</v>
      </c>
      <c r="BS842">
        <v>1</v>
      </c>
      <c r="BT842">
        <v>1</v>
      </c>
      <c r="BU842">
        <v>1</v>
      </c>
      <c r="BV842">
        <v>1</v>
      </c>
      <c r="BW842">
        <v>1</v>
      </c>
      <c r="BX842">
        <v>1</v>
      </c>
      <c r="BY842" t="s">
        <v>3</v>
      </c>
      <c r="BZ842">
        <v>70</v>
      </c>
      <c r="CA842">
        <v>10</v>
      </c>
      <c r="CB842" t="s">
        <v>3</v>
      </c>
      <c r="CE842">
        <v>0</v>
      </c>
      <c r="CF842">
        <v>0</v>
      </c>
      <c r="CG842">
        <v>0</v>
      </c>
      <c r="CM842">
        <v>0</v>
      </c>
      <c r="CN842" t="s">
        <v>772</v>
      </c>
      <c r="CO842">
        <v>0</v>
      </c>
      <c r="CP842">
        <f t="shared" si="847"/>
        <v>39265.839999999997</v>
      </c>
      <c r="CQ842">
        <f t="shared" si="848"/>
        <v>1.26</v>
      </c>
      <c r="CR842">
        <f>((((ET842)*BB842-(EU842)*BS842)+AE842*BS842)*AV842)</f>
        <v>0</v>
      </c>
      <c r="CS842">
        <f t="shared" si="849"/>
        <v>0</v>
      </c>
      <c r="CT842">
        <f t="shared" si="850"/>
        <v>233.8648</v>
      </c>
      <c r="CU842">
        <f t="shared" si="851"/>
        <v>0</v>
      </c>
      <c r="CV842">
        <f t="shared" si="852"/>
        <v>0.41600000000000004</v>
      </c>
      <c r="CW842">
        <f t="shared" si="853"/>
        <v>0</v>
      </c>
      <c r="CX842">
        <f t="shared" si="853"/>
        <v>0</v>
      </c>
      <c r="CY842">
        <f t="shared" si="854"/>
        <v>27338.793999999998</v>
      </c>
      <c r="CZ842">
        <f t="shared" si="855"/>
        <v>3905.5419999999995</v>
      </c>
      <c r="DC842" t="s">
        <v>3</v>
      </c>
      <c r="DD842" t="s">
        <v>3</v>
      </c>
      <c r="DE842" t="s">
        <v>3</v>
      </c>
      <c r="DF842" t="s">
        <v>3</v>
      </c>
      <c r="DG842" t="s">
        <v>773</v>
      </c>
      <c r="DH842" t="s">
        <v>3</v>
      </c>
      <c r="DI842" t="s">
        <v>773</v>
      </c>
      <c r="DJ842" t="s">
        <v>3</v>
      </c>
      <c r="DK842" t="s">
        <v>3</v>
      </c>
      <c r="DL842" t="s">
        <v>3</v>
      </c>
      <c r="DM842" t="s">
        <v>3</v>
      </c>
      <c r="DN842">
        <v>0</v>
      </c>
      <c r="DO842">
        <v>0</v>
      </c>
      <c r="DP842">
        <v>1</v>
      </c>
      <c r="DQ842">
        <v>1</v>
      </c>
      <c r="DU842">
        <v>16987630</v>
      </c>
      <c r="DV842" t="s">
        <v>20</v>
      </c>
      <c r="DW842" t="s">
        <v>20</v>
      </c>
      <c r="DX842">
        <v>1</v>
      </c>
      <c r="DZ842" t="s">
        <v>3</v>
      </c>
      <c r="EA842" t="s">
        <v>3</v>
      </c>
      <c r="EB842" t="s">
        <v>3</v>
      </c>
      <c r="EC842" t="s">
        <v>3</v>
      </c>
      <c r="EE842">
        <v>1441815344</v>
      </c>
      <c r="EF842">
        <v>1</v>
      </c>
      <c r="EG842" t="s">
        <v>22</v>
      </c>
      <c r="EH842">
        <v>0</v>
      </c>
      <c r="EI842" t="s">
        <v>3</v>
      </c>
      <c r="EJ842">
        <v>4</v>
      </c>
      <c r="EK842">
        <v>0</v>
      </c>
      <c r="EL842" t="s">
        <v>23</v>
      </c>
      <c r="EM842" t="s">
        <v>24</v>
      </c>
      <c r="EO842" t="s">
        <v>774</v>
      </c>
      <c r="EQ842">
        <v>768</v>
      </c>
      <c r="ER842">
        <v>226.13</v>
      </c>
      <c r="ES842">
        <v>1.26</v>
      </c>
      <c r="ET842">
        <v>0</v>
      </c>
      <c r="EU842">
        <v>0</v>
      </c>
      <c r="EV842">
        <v>224.87</v>
      </c>
      <c r="EW842">
        <v>0.4</v>
      </c>
      <c r="EX842">
        <v>0</v>
      </c>
      <c r="EY842">
        <v>0</v>
      </c>
      <c r="FQ842">
        <v>0</v>
      </c>
      <c r="FR842">
        <f t="shared" si="856"/>
        <v>0</v>
      </c>
      <c r="FS842">
        <v>0</v>
      </c>
      <c r="FX842">
        <v>70</v>
      </c>
      <c r="FY842">
        <v>10</v>
      </c>
      <c r="GA842" t="s">
        <v>3</v>
      </c>
      <c r="GD842">
        <v>0</v>
      </c>
      <c r="GF842">
        <v>-287878839</v>
      </c>
      <c r="GG842">
        <v>2</v>
      </c>
      <c r="GH842">
        <v>1</v>
      </c>
      <c r="GI842">
        <v>-2</v>
      </c>
      <c r="GJ842">
        <v>0</v>
      </c>
      <c r="GK842">
        <f>ROUND(R842*(R12)/100,2)</f>
        <v>0</v>
      </c>
      <c r="GL842">
        <f t="shared" si="857"/>
        <v>0</v>
      </c>
      <c r="GM842">
        <f t="shared" si="858"/>
        <v>70510.17</v>
      </c>
      <c r="GN842">
        <f t="shared" si="859"/>
        <v>0</v>
      </c>
      <c r="GO842">
        <f t="shared" si="860"/>
        <v>0</v>
      </c>
      <c r="GP842">
        <f t="shared" si="861"/>
        <v>70510.17</v>
      </c>
      <c r="GR842">
        <v>0</v>
      </c>
      <c r="GS842">
        <v>3</v>
      </c>
      <c r="GT842">
        <v>0</v>
      </c>
      <c r="GU842" t="s">
        <v>3</v>
      </c>
      <c r="GV842">
        <f t="shared" si="862"/>
        <v>0</v>
      </c>
      <c r="GW842">
        <v>1</v>
      </c>
      <c r="GX842">
        <f t="shared" si="863"/>
        <v>0</v>
      </c>
      <c r="HA842">
        <v>0</v>
      </c>
      <c r="HB842">
        <v>0</v>
      </c>
      <c r="HC842">
        <f t="shared" si="864"/>
        <v>0</v>
      </c>
      <c r="HE842" t="s">
        <v>3</v>
      </c>
      <c r="HF842" t="s">
        <v>3</v>
      </c>
      <c r="HM842" t="s">
        <v>3</v>
      </c>
      <c r="HN842" t="s">
        <v>3</v>
      </c>
      <c r="HO842" t="s">
        <v>3</v>
      </c>
      <c r="HP842" t="s">
        <v>3</v>
      </c>
      <c r="HQ842" t="s">
        <v>3</v>
      </c>
      <c r="IK842">
        <v>0</v>
      </c>
    </row>
    <row r="843" spans="1:245" x14ac:dyDescent="0.2">
      <c r="A843">
        <v>17</v>
      </c>
      <c r="B843">
        <v>1</v>
      </c>
      <c r="D843">
        <f>ROW(EtalonRes!A867)</f>
        <v>867</v>
      </c>
      <c r="E843" t="s">
        <v>783</v>
      </c>
      <c r="F843" t="s">
        <v>784</v>
      </c>
      <c r="G843" t="s">
        <v>785</v>
      </c>
      <c r="H843" t="s">
        <v>94</v>
      </c>
      <c r="I843">
        <f>ROUND(102/10,9)</f>
        <v>10.199999999999999</v>
      </c>
      <c r="J843">
        <v>0</v>
      </c>
      <c r="K843">
        <f>ROUND(102/10,9)</f>
        <v>10.199999999999999</v>
      </c>
      <c r="O843">
        <f t="shared" si="834"/>
        <v>934.52</v>
      </c>
      <c r="P843">
        <f t="shared" si="835"/>
        <v>52.73</v>
      </c>
      <c r="Q843">
        <f t="shared" si="836"/>
        <v>0</v>
      </c>
      <c r="R843">
        <f t="shared" si="837"/>
        <v>0</v>
      </c>
      <c r="S843">
        <f t="shared" si="838"/>
        <v>881.79</v>
      </c>
      <c r="T843">
        <f t="shared" si="839"/>
        <v>0</v>
      </c>
      <c r="U843">
        <f t="shared" si="840"/>
        <v>1.4279999999999997</v>
      </c>
      <c r="V843">
        <f t="shared" si="841"/>
        <v>0</v>
      </c>
      <c r="W843">
        <f t="shared" si="842"/>
        <v>0</v>
      </c>
      <c r="X843">
        <f t="shared" si="843"/>
        <v>617.25</v>
      </c>
      <c r="Y843">
        <f t="shared" si="843"/>
        <v>88.18</v>
      </c>
      <c r="AA843">
        <v>1472506909</v>
      </c>
      <c r="AB843">
        <f t="shared" si="844"/>
        <v>91.62</v>
      </c>
      <c r="AC843">
        <f>ROUND(((ES843*1)),6)</f>
        <v>5.17</v>
      </c>
      <c r="AD843">
        <f>ROUND(((((ET843*0.7))-((EU843*0.7)))+AE843),6)</f>
        <v>0</v>
      </c>
      <c r="AE843">
        <f>ROUND(((EU843*0.7)),6)</f>
        <v>0</v>
      </c>
      <c r="AF843">
        <f>ROUND(((EV843*0.7)),6)</f>
        <v>86.45</v>
      </c>
      <c r="AG843">
        <f t="shared" si="845"/>
        <v>0</v>
      </c>
      <c r="AH843">
        <f>((EW843*0.7))</f>
        <v>0.13999999999999999</v>
      </c>
      <c r="AI843">
        <f>((EX843*0.7))</f>
        <v>0</v>
      </c>
      <c r="AJ843">
        <f t="shared" si="846"/>
        <v>0</v>
      </c>
      <c r="AK843">
        <v>128.66999999999999</v>
      </c>
      <c r="AL843">
        <v>5.17</v>
      </c>
      <c r="AM843">
        <v>0</v>
      </c>
      <c r="AN843">
        <v>0</v>
      </c>
      <c r="AO843">
        <v>123.5</v>
      </c>
      <c r="AP843">
        <v>0</v>
      </c>
      <c r="AQ843">
        <v>0.2</v>
      </c>
      <c r="AR843">
        <v>0</v>
      </c>
      <c r="AS843">
        <v>0</v>
      </c>
      <c r="AT843">
        <v>70</v>
      </c>
      <c r="AU843">
        <v>10</v>
      </c>
      <c r="AV843">
        <v>1</v>
      </c>
      <c r="AW843">
        <v>1</v>
      </c>
      <c r="AZ843">
        <v>1</v>
      </c>
      <c r="BA843">
        <v>1</v>
      </c>
      <c r="BB843">
        <v>1</v>
      </c>
      <c r="BC843">
        <v>1</v>
      </c>
      <c r="BD843" t="s">
        <v>3</v>
      </c>
      <c r="BE843" t="s">
        <v>3</v>
      </c>
      <c r="BF843" t="s">
        <v>3</v>
      </c>
      <c r="BG843" t="s">
        <v>3</v>
      </c>
      <c r="BH843">
        <v>0</v>
      </c>
      <c r="BI843">
        <v>4</v>
      </c>
      <c r="BJ843" t="s">
        <v>786</v>
      </c>
      <c r="BM843">
        <v>0</v>
      </c>
      <c r="BN843">
        <v>0</v>
      </c>
      <c r="BO843" t="s">
        <v>3</v>
      </c>
      <c r="BP843">
        <v>0</v>
      </c>
      <c r="BQ843">
        <v>1</v>
      </c>
      <c r="BR843">
        <v>0</v>
      </c>
      <c r="BS843">
        <v>1</v>
      </c>
      <c r="BT843">
        <v>1</v>
      </c>
      <c r="BU843">
        <v>1</v>
      </c>
      <c r="BV843">
        <v>1</v>
      </c>
      <c r="BW843">
        <v>1</v>
      </c>
      <c r="BX843">
        <v>1</v>
      </c>
      <c r="BY843" t="s">
        <v>3</v>
      </c>
      <c r="BZ843">
        <v>70</v>
      </c>
      <c r="CA843">
        <v>10</v>
      </c>
      <c r="CB843" t="s">
        <v>3</v>
      </c>
      <c r="CE843">
        <v>0</v>
      </c>
      <c r="CF843">
        <v>0</v>
      </c>
      <c r="CG843">
        <v>0</v>
      </c>
      <c r="CM843">
        <v>0</v>
      </c>
      <c r="CN843" t="s">
        <v>1069</v>
      </c>
      <c r="CO843">
        <v>0</v>
      </c>
      <c r="CP843">
        <f t="shared" si="847"/>
        <v>934.52</v>
      </c>
      <c r="CQ843">
        <f t="shared" si="848"/>
        <v>5.17</v>
      </c>
      <c r="CR843">
        <f>(((((ET843*0.7))*BB843-((EU843*0.7))*BS843)+AE843*BS843)*AV843)</f>
        <v>0</v>
      </c>
      <c r="CS843">
        <f t="shared" si="849"/>
        <v>0</v>
      </c>
      <c r="CT843">
        <f t="shared" si="850"/>
        <v>86.45</v>
      </c>
      <c r="CU843">
        <f t="shared" si="851"/>
        <v>0</v>
      </c>
      <c r="CV843">
        <f t="shared" si="852"/>
        <v>0.13999999999999999</v>
      </c>
      <c r="CW843">
        <f t="shared" si="853"/>
        <v>0</v>
      </c>
      <c r="CX843">
        <f t="shared" si="853"/>
        <v>0</v>
      </c>
      <c r="CY843">
        <f t="shared" si="854"/>
        <v>617.25299999999993</v>
      </c>
      <c r="CZ843">
        <f t="shared" si="855"/>
        <v>88.179000000000002</v>
      </c>
      <c r="DC843" t="s">
        <v>3</v>
      </c>
      <c r="DD843" t="s">
        <v>235</v>
      </c>
      <c r="DE843" t="s">
        <v>236</v>
      </c>
      <c r="DF843" t="s">
        <v>236</v>
      </c>
      <c r="DG843" t="s">
        <v>236</v>
      </c>
      <c r="DH843" t="s">
        <v>3</v>
      </c>
      <c r="DI843" t="s">
        <v>236</v>
      </c>
      <c r="DJ843" t="s">
        <v>236</v>
      </c>
      <c r="DK843" t="s">
        <v>3</v>
      </c>
      <c r="DL843" t="s">
        <v>3</v>
      </c>
      <c r="DM843" t="s">
        <v>3</v>
      </c>
      <c r="DN843">
        <v>0</v>
      </c>
      <c r="DO843">
        <v>0</v>
      </c>
      <c r="DP843">
        <v>1</v>
      </c>
      <c r="DQ843">
        <v>1</v>
      </c>
      <c r="DU843">
        <v>16987630</v>
      </c>
      <c r="DV843" t="s">
        <v>94</v>
      </c>
      <c r="DW843" t="s">
        <v>94</v>
      </c>
      <c r="DX843">
        <v>10</v>
      </c>
      <c r="DZ843" t="s">
        <v>3</v>
      </c>
      <c r="EA843" t="s">
        <v>3</v>
      </c>
      <c r="EB843" t="s">
        <v>3</v>
      </c>
      <c r="EC843" t="s">
        <v>3</v>
      </c>
      <c r="EE843">
        <v>1441815344</v>
      </c>
      <c r="EF843">
        <v>1</v>
      </c>
      <c r="EG843" t="s">
        <v>22</v>
      </c>
      <c r="EH843">
        <v>0</v>
      </c>
      <c r="EI843" t="s">
        <v>3</v>
      </c>
      <c r="EJ843">
        <v>4</v>
      </c>
      <c r="EK843">
        <v>0</v>
      </c>
      <c r="EL843" t="s">
        <v>23</v>
      </c>
      <c r="EM843" t="s">
        <v>24</v>
      </c>
      <c r="EO843" t="s">
        <v>237</v>
      </c>
      <c r="EQ843">
        <v>768</v>
      </c>
      <c r="ER843">
        <v>128.66999999999999</v>
      </c>
      <c r="ES843">
        <v>5.17</v>
      </c>
      <c r="ET843">
        <v>0</v>
      </c>
      <c r="EU843">
        <v>0</v>
      </c>
      <c r="EV843">
        <v>123.5</v>
      </c>
      <c r="EW843">
        <v>0.2</v>
      </c>
      <c r="EX843">
        <v>0</v>
      </c>
      <c r="EY843">
        <v>0</v>
      </c>
      <c r="FQ843">
        <v>0</v>
      </c>
      <c r="FR843">
        <f t="shared" si="856"/>
        <v>0</v>
      </c>
      <c r="FS843">
        <v>0</v>
      </c>
      <c r="FX843">
        <v>70</v>
      </c>
      <c r="FY843">
        <v>10</v>
      </c>
      <c r="GA843" t="s">
        <v>3</v>
      </c>
      <c r="GD843">
        <v>0</v>
      </c>
      <c r="GF843">
        <v>102689618</v>
      </c>
      <c r="GG843">
        <v>2</v>
      </c>
      <c r="GH843">
        <v>1</v>
      </c>
      <c r="GI843">
        <v>-2</v>
      </c>
      <c r="GJ843">
        <v>0</v>
      </c>
      <c r="GK843">
        <f>ROUND(R843*(R12)/100,2)</f>
        <v>0</v>
      </c>
      <c r="GL843">
        <f t="shared" si="857"/>
        <v>0</v>
      </c>
      <c r="GM843">
        <f t="shared" si="858"/>
        <v>1639.95</v>
      </c>
      <c r="GN843">
        <f t="shared" si="859"/>
        <v>0</v>
      </c>
      <c r="GO843">
        <f t="shared" si="860"/>
        <v>0</v>
      </c>
      <c r="GP843">
        <f t="shared" si="861"/>
        <v>1639.95</v>
      </c>
      <c r="GR843">
        <v>0</v>
      </c>
      <c r="GS843">
        <v>3</v>
      </c>
      <c r="GT843">
        <v>0</v>
      </c>
      <c r="GU843" t="s">
        <v>3</v>
      </c>
      <c r="GV843">
        <f t="shared" si="862"/>
        <v>0</v>
      </c>
      <c r="GW843">
        <v>1</v>
      </c>
      <c r="GX843">
        <f t="shared" si="863"/>
        <v>0</v>
      </c>
      <c r="HA843">
        <v>0</v>
      </c>
      <c r="HB843">
        <v>0</v>
      </c>
      <c r="HC843">
        <f t="shared" si="864"/>
        <v>0</v>
      </c>
      <c r="HE843" t="s">
        <v>3</v>
      </c>
      <c r="HF843" t="s">
        <v>3</v>
      </c>
      <c r="HM843" t="s">
        <v>3</v>
      </c>
      <c r="HN843" t="s">
        <v>3</v>
      </c>
      <c r="HO843" t="s">
        <v>3</v>
      </c>
      <c r="HP843" t="s">
        <v>3</v>
      </c>
      <c r="HQ843" t="s">
        <v>3</v>
      </c>
      <c r="IK843">
        <v>0</v>
      </c>
    </row>
    <row r="844" spans="1:245" x14ac:dyDescent="0.2">
      <c r="A844">
        <v>17</v>
      </c>
      <c r="B844">
        <v>1</v>
      </c>
      <c r="D844">
        <f>ROW(EtalonRes!A871)</f>
        <v>871</v>
      </c>
      <c r="E844" t="s">
        <v>3</v>
      </c>
      <c r="F844" t="s">
        <v>787</v>
      </c>
      <c r="G844" t="s">
        <v>788</v>
      </c>
      <c r="H844" t="s">
        <v>20</v>
      </c>
      <c r="I844">
        <v>102</v>
      </c>
      <c r="J844">
        <v>0</v>
      </c>
      <c r="K844">
        <v>102</v>
      </c>
      <c r="O844">
        <f t="shared" si="834"/>
        <v>22678.43</v>
      </c>
      <c r="P844">
        <f t="shared" si="835"/>
        <v>143.82</v>
      </c>
      <c r="Q844">
        <f t="shared" si="836"/>
        <v>2990.39</v>
      </c>
      <c r="R844">
        <f t="shared" si="837"/>
        <v>1895.67</v>
      </c>
      <c r="S844">
        <f t="shared" si="838"/>
        <v>19544.22</v>
      </c>
      <c r="T844">
        <f t="shared" si="839"/>
        <v>0</v>
      </c>
      <c r="U844">
        <f t="shared" si="840"/>
        <v>27.540000000000003</v>
      </c>
      <c r="V844">
        <f t="shared" si="841"/>
        <v>0</v>
      </c>
      <c r="W844">
        <f t="shared" si="842"/>
        <v>0</v>
      </c>
      <c r="X844">
        <f t="shared" si="843"/>
        <v>13680.95</v>
      </c>
      <c r="Y844">
        <f t="shared" si="843"/>
        <v>1954.42</v>
      </c>
      <c r="AA844">
        <v>-1</v>
      </c>
      <c r="AB844">
        <f t="shared" si="844"/>
        <v>222.33750000000001</v>
      </c>
      <c r="AC844">
        <f>ROUND((((ES844*3)*1)),6)</f>
        <v>1.41</v>
      </c>
      <c r="AD844">
        <f>ROUND((((((ET844*3)*0.75))-(((EU844*3)*0.75)))+AE844),6)</f>
        <v>29.317499999999999</v>
      </c>
      <c r="AE844">
        <f>ROUND((((EU844*3)*0.75)),6)</f>
        <v>18.585000000000001</v>
      </c>
      <c r="AF844">
        <f>ROUND((((EV844*3)*0.75)),6)</f>
        <v>191.61</v>
      </c>
      <c r="AG844">
        <f t="shared" si="845"/>
        <v>0</v>
      </c>
      <c r="AH844">
        <f>(((EW844*3)*0.75))</f>
        <v>0.27</v>
      </c>
      <c r="AI844">
        <f>(((EX844*3)*0.75))</f>
        <v>0</v>
      </c>
      <c r="AJ844">
        <f t="shared" si="846"/>
        <v>0</v>
      </c>
      <c r="AK844">
        <v>98.66</v>
      </c>
      <c r="AL844">
        <v>0.47</v>
      </c>
      <c r="AM844">
        <v>13.03</v>
      </c>
      <c r="AN844">
        <v>8.26</v>
      </c>
      <c r="AO844">
        <v>85.16</v>
      </c>
      <c r="AP844">
        <v>0</v>
      </c>
      <c r="AQ844">
        <v>0.12</v>
      </c>
      <c r="AR844">
        <v>0</v>
      </c>
      <c r="AS844">
        <v>0</v>
      </c>
      <c r="AT844">
        <v>70</v>
      </c>
      <c r="AU844">
        <v>10</v>
      </c>
      <c r="AV844">
        <v>1</v>
      </c>
      <c r="AW844">
        <v>1</v>
      </c>
      <c r="AZ844">
        <v>1</v>
      </c>
      <c r="BA844">
        <v>1</v>
      </c>
      <c r="BB844">
        <v>1</v>
      </c>
      <c r="BC844">
        <v>1</v>
      </c>
      <c r="BD844" t="s">
        <v>3</v>
      </c>
      <c r="BE844" t="s">
        <v>3</v>
      </c>
      <c r="BF844" t="s">
        <v>3</v>
      </c>
      <c r="BG844" t="s">
        <v>3</v>
      </c>
      <c r="BH844">
        <v>0</v>
      </c>
      <c r="BI844">
        <v>4</v>
      </c>
      <c r="BJ844" t="s">
        <v>789</v>
      </c>
      <c r="BM844">
        <v>0</v>
      </c>
      <c r="BN844">
        <v>0</v>
      </c>
      <c r="BO844" t="s">
        <v>3</v>
      </c>
      <c r="BP844">
        <v>0</v>
      </c>
      <c r="BQ844">
        <v>1</v>
      </c>
      <c r="BR844">
        <v>0</v>
      </c>
      <c r="BS844">
        <v>1</v>
      </c>
      <c r="BT844">
        <v>1</v>
      </c>
      <c r="BU844">
        <v>1</v>
      </c>
      <c r="BV844">
        <v>1</v>
      </c>
      <c r="BW844">
        <v>1</v>
      </c>
      <c r="BX844">
        <v>1</v>
      </c>
      <c r="BY844" t="s">
        <v>3</v>
      </c>
      <c r="BZ844">
        <v>70</v>
      </c>
      <c r="CA844">
        <v>10</v>
      </c>
      <c r="CB844" t="s">
        <v>3</v>
      </c>
      <c r="CE844">
        <v>0</v>
      </c>
      <c r="CF844">
        <v>0</v>
      </c>
      <c r="CG844">
        <v>0</v>
      </c>
      <c r="CM844">
        <v>0</v>
      </c>
      <c r="CN844" t="s">
        <v>1070</v>
      </c>
      <c r="CO844">
        <v>0</v>
      </c>
      <c r="CP844">
        <f t="shared" si="847"/>
        <v>22678.43</v>
      </c>
      <c r="CQ844">
        <f t="shared" si="848"/>
        <v>1.41</v>
      </c>
      <c r="CR844">
        <f>((((((ET844*3)*0.75))*BB844-(((EU844*3)*0.75))*BS844)+AE844*BS844)*AV844)</f>
        <v>29.317499999999995</v>
      </c>
      <c r="CS844">
        <f t="shared" si="849"/>
        <v>18.585000000000001</v>
      </c>
      <c r="CT844">
        <f t="shared" si="850"/>
        <v>191.61</v>
      </c>
      <c r="CU844">
        <f t="shared" si="851"/>
        <v>0</v>
      </c>
      <c r="CV844">
        <f t="shared" si="852"/>
        <v>0.27</v>
      </c>
      <c r="CW844">
        <f t="shared" si="853"/>
        <v>0</v>
      </c>
      <c r="CX844">
        <f t="shared" si="853"/>
        <v>0</v>
      </c>
      <c r="CY844">
        <f t="shared" si="854"/>
        <v>13680.954000000002</v>
      </c>
      <c r="CZ844">
        <f t="shared" si="855"/>
        <v>1954.422</v>
      </c>
      <c r="DC844" t="s">
        <v>3</v>
      </c>
      <c r="DD844" t="s">
        <v>241</v>
      </c>
      <c r="DE844" t="s">
        <v>242</v>
      </c>
      <c r="DF844" t="s">
        <v>242</v>
      </c>
      <c r="DG844" t="s">
        <v>242</v>
      </c>
      <c r="DH844" t="s">
        <v>3</v>
      </c>
      <c r="DI844" t="s">
        <v>242</v>
      </c>
      <c r="DJ844" t="s">
        <v>242</v>
      </c>
      <c r="DK844" t="s">
        <v>3</v>
      </c>
      <c r="DL844" t="s">
        <v>3</v>
      </c>
      <c r="DM844" t="s">
        <v>3</v>
      </c>
      <c r="DN844">
        <v>0</v>
      </c>
      <c r="DO844">
        <v>0</v>
      </c>
      <c r="DP844">
        <v>1</v>
      </c>
      <c r="DQ844">
        <v>1</v>
      </c>
      <c r="DU844">
        <v>16987630</v>
      </c>
      <c r="DV844" t="s">
        <v>20</v>
      </c>
      <c r="DW844" t="s">
        <v>20</v>
      </c>
      <c r="DX844">
        <v>1</v>
      </c>
      <c r="DZ844" t="s">
        <v>3</v>
      </c>
      <c r="EA844" t="s">
        <v>3</v>
      </c>
      <c r="EB844" t="s">
        <v>3</v>
      </c>
      <c r="EC844" t="s">
        <v>3</v>
      </c>
      <c r="EE844">
        <v>1441815344</v>
      </c>
      <c r="EF844">
        <v>1</v>
      </c>
      <c r="EG844" t="s">
        <v>22</v>
      </c>
      <c r="EH844">
        <v>0</v>
      </c>
      <c r="EI844" t="s">
        <v>3</v>
      </c>
      <c r="EJ844">
        <v>4</v>
      </c>
      <c r="EK844">
        <v>0</v>
      </c>
      <c r="EL844" t="s">
        <v>23</v>
      </c>
      <c r="EM844" t="s">
        <v>24</v>
      </c>
      <c r="EO844" t="s">
        <v>243</v>
      </c>
      <c r="EQ844">
        <v>1792</v>
      </c>
      <c r="ER844">
        <v>98.66</v>
      </c>
      <c r="ES844">
        <v>0.47</v>
      </c>
      <c r="ET844">
        <v>13.03</v>
      </c>
      <c r="EU844">
        <v>8.26</v>
      </c>
      <c r="EV844">
        <v>85.16</v>
      </c>
      <c r="EW844">
        <v>0.12</v>
      </c>
      <c r="EX844">
        <v>0</v>
      </c>
      <c r="EY844">
        <v>0</v>
      </c>
      <c r="FQ844">
        <v>0</v>
      </c>
      <c r="FR844">
        <f t="shared" si="856"/>
        <v>0</v>
      </c>
      <c r="FS844">
        <v>0</v>
      </c>
      <c r="FX844">
        <v>70</v>
      </c>
      <c r="FY844">
        <v>10</v>
      </c>
      <c r="GA844" t="s">
        <v>3</v>
      </c>
      <c r="GD844">
        <v>0</v>
      </c>
      <c r="GF844">
        <v>1227584291</v>
      </c>
      <c r="GG844">
        <v>2</v>
      </c>
      <c r="GH844">
        <v>1</v>
      </c>
      <c r="GI844">
        <v>-2</v>
      </c>
      <c r="GJ844">
        <v>0</v>
      </c>
      <c r="GK844">
        <f>ROUND(R844*(R12)/100,2)</f>
        <v>2047.32</v>
      </c>
      <c r="GL844">
        <f t="shared" si="857"/>
        <v>0</v>
      </c>
      <c r="GM844">
        <f t="shared" si="858"/>
        <v>40361.120000000003</v>
      </c>
      <c r="GN844">
        <f t="shared" si="859"/>
        <v>0</v>
      </c>
      <c r="GO844">
        <f t="shared" si="860"/>
        <v>0</v>
      </c>
      <c r="GP844">
        <f t="shared" si="861"/>
        <v>40361.120000000003</v>
      </c>
      <c r="GR844">
        <v>0</v>
      </c>
      <c r="GS844">
        <v>3</v>
      </c>
      <c r="GT844">
        <v>0</v>
      </c>
      <c r="GU844" t="s">
        <v>3</v>
      </c>
      <c r="GV844">
        <f t="shared" si="862"/>
        <v>0</v>
      </c>
      <c r="GW844">
        <v>1</v>
      </c>
      <c r="GX844">
        <f t="shared" si="863"/>
        <v>0</v>
      </c>
      <c r="HA844">
        <v>0</v>
      </c>
      <c r="HB844">
        <v>0</v>
      </c>
      <c r="HC844">
        <f t="shared" si="864"/>
        <v>0</v>
      </c>
      <c r="HE844" t="s">
        <v>3</v>
      </c>
      <c r="HF844" t="s">
        <v>3</v>
      </c>
      <c r="HM844" t="s">
        <v>3</v>
      </c>
      <c r="HN844" t="s">
        <v>3</v>
      </c>
      <c r="HO844" t="s">
        <v>3</v>
      </c>
      <c r="HP844" t="s">
        <v>3</v>
      </c>
      <c r="HQ844" t="s">
        <v>3</v>
      </c>
      <c r="IK844">
        <v>0</v>
      </c>
    </row>
    <row r="845" spans="1:245" x14ac:dyDescent="0.2">
      <c r="A845">
        <v>17</v>
      </c>
      <c r="B845">
        <v>1</v>
      </c>
      <c r="D845">
        <f>ROW(EtalonRes!A873)</f>
        <v>873</v>
      </c>
      <c r="E845" t="s">
        <v>790</v>
      </c>
      <c r="F845" t="s">
        <v>791</v>
      </c>
      <c r="G845" t="s">
        <v>1072</v>
      </c>
      <c r="H845" t="s">
        <v>20</v>
      </c>
      <c r="I845">
        <v>16</v>
      </c>
      <c r="J845">
        <v>0</v>
      </c>
      <c r="K845">
        <v>16</v>
      </c>
      <c r="O845">
        <f t="shared" si="834"/>
        <v>2816.42</v>
      </c>
      <c r="P845">
        <f t="shared" si="835"/>
        <v>10.08</v>
      </c>
      <c r="Q845">
        <f t="shared" si="836"/>
        <v>0</v>
      </c>
      <c r="R845">
        <f t="shared" si="837"/>
        <v>0</v>
      </c>
      <c r="S845">
        <f t="shared" si="838"/>
        <v>2806.34</v>
      </c>
      <c r="T845">
        <f t="shared" si="839"/>
        <v>0</v>
      </c>
      <c r="U845">
        <f t="shared" si="840"/>
        <v>4.992</v>
      </c>
      <c r="V845">
        <f t="shared" si="841"/>
        <v>0</v>
      </c>
      <c r="W845">
        <f t="shared" si="842"/>
        <v>0</v>
      </c>
      <c r="X845">
        <f t="shared" si="843"/>
        <v>1964.44</v>
      </c>
      <c r="Y845">
        <f t="shared" si="843"/>
        <v>280.63</v>
      </c>
      <c r="AA845">
        <v>1472506909</v>
      </c>
      <c r="AB845">
        <f t="shared" si="844"/>
        <v>176.02600000000001</v>
      </c>
      <c r="AC845">
        <f>ROUND((ES845),6)</f>
        <v>0.63</v>
      </c>
      <c r="AD845">
        <f>ROUND((((ET845)-(EU845))+AE845),6)</f>
        <v>0</v>
      </c>
      <c r="AE845">
        <f>ROUND((EU845),6)</f>
        <v>0</v>
      </c>
      <c r="AF845">
        <f>ROUND(((EV845*1.04)),6)</f>
        <v>175.39599999999999</v>
      </c>
      <c r="AG845">
        <f t="shared" si="845"/>
        <v>0</v>
      </c>
      <c r="AH845">
        <f>((EW845*1.04))</f>
        <v>0.312</v>
      </c>
      <c r="AI845">
        <f>(EX845)</f>
        <v>0</v>
      </c>
      <c r="AJ845">
        <f t="shared" si="846"/>
        <v>0</v>
      </c>
      <c r="AK845">
        <v>169.28</v>
      </c>
      <c r="AL845">
        <v>0.63</v>
      </c>
      <c r="AM845">
        <v>0</v>
      </c>
      <c r="AN845">
        <v>0</v>
      </c>
      <c r="AO845">
        <v>168.65</v>
      </c>
      <c r="AP845">
        <v>0</v>
      </c>
      <c r="AQ845">
        <v>0.3</v>
      </c>
      <c r="AR845">
        <v>0</v>
      </c>
      <c r="AS845">
        <v>0</v>
      </c>
      <c r="AT845">
        <v>70</v>
      </c>
      <c r="AU845">
        <v>10</v>
      </c>
      <c r="AV845">
        <v>1</v>
      </c>
      <c r="AW845">
        <v>1</v>
      </c>
      <c r="AZ845">
        <v>1</v>
      </c>
      <c r="BA845">
        <v>1</v>
      </c>
      <c r="BB845">
        <v>1</v>
      </c>
      <c r="BC845">
        <v>1</v>
      </c>
      <c r="BD845" t="s">
        <v>3</v>
      </c>
      <c r="BE845" t="s">
        <v>3</v>
      </c>
      <c r="BF845" t="s">
        <v>3</v>
      </c>
      <c r="BG845" t="s">
        <v>3</v>
      </c>
      <c r="BH845">
        <v>0</v>
      </c>
      <c r="BI845">
        <v>4</v>
      </c>
      <c r="BJ845" t="s">
        <v>792</v>
      </c>
      <c r="BM845">
        <v>0</v>
      </c>
      <c r="BN845">
        <v>0</v>
      </c>
      <c r="BO845" t="s">
        <v>3</v>
      </c>
      <c r="BP845">
        <v>0</v>
      </c>
      <c r="BQ845">
        <v>1</v>
      </c>
      <c r="BR845">
        <v>0</v>
      </c>
      <c r="BS845">
        <v>1</v>
      </c>
      <c r="BT845">
        <v>1</v>
      </c>
      <c r="BU845">
        <v>1</v>
      </c>
      <c r="BV845">
        <v>1</v>
      </c>
      <c r="BW845">
        <v>1</v>
      </c>
      <c r="BX845">
        <v>1</v>
      </c>
      <c r="BY845" t="s">
        <v>3</v>
      </c>
      <c r="BZ845">
        <v>70</v>
      </c>
      <c r="CA845">
        <v>10</v>
      </c>
      <c r="CB845" t="s">
        <v>3</v>
      </c>
      <c r="CE845">
        <v>0</v>
      </c>
      <c r="CF845">
        <v>0</v>
      </c>
      <c r="CG845">
        <v>0</v>
      </c>
      <c r="CM845">
        <v>0</v>
      </c>
      <c r="CN845" t="s">
        <v>772</v>
      </c>
      <c r="CO845">
        <v>0</v>
      </c>
      <c r="CP845">
        <f t="shared" si="847"/>
        <v>2816.42</v>
      </c>
      <c r="CQ845">
        <f t="shared" si="848"/>
        <v>0.63</v>
      </c>
      <c r="CR845">
        <f>((((ET845)*BB845-(EU845)*BS845)+AE845*BS845)*AV845)</f>
        <v>0</v>
      </c>
      <c r="CS845">
        <f t="shared" si="849"/>
        <v>0</v>
      </c>
      <c r="CT845">
        <f t="shared" si="850"/>
        <v>175.39599999999999</v>
      </c>
      <c r="CU845">
        <f t="shared" si="851"/>
        <v>0</v>
      </c>
      <c r="CV845">
        <f t="shared" si="852"/>
        <v>0.312</v>
      </c>
      <c r="CW845">
        <f t="shared" si="853"/>
        <v>0</v>
      </c>
      <c r="CX845">
        <f t="shared" si="853"/>
        <v>0</v>
      </c>
      <c r="CY845">
        <f t="shared" si="854"/>
        <v>1964.4380000000001</v>
      </c>
      <c r="CZ845">
        <f t="shared" si="855"/>
        <v>280.63400000000001</v>
      </c>
      <c r="DC845" t="s">
        <v>3</v>
      </c>
      <c r="DD845" t="s">
        <v>3</v>
      </c>
      <c r="DE845" t="s">
        <v>3</v>
      </c>
      <c r="DF845" t="s">
        <v>3</v>
      </c>
      <c r="DG845" t="s">
        <v>773</v>
      </c>
      <c r="DH845" t="s">
        <v>3</v>
      </c>
      <c r="DI845" t="s">
        <v>773</v>
      </c>
      <c r="DJ845" t="s">
        <v>3</v>
      </c>
      <c r="DK845" t="s">
        <v>3</v>
      </c>
      <c r="DL845" t="s">
        <v>3</v>
      </c>
      <c r="DM845" t="s">
        <v>3</v>
      </c>
      <c r="DN845">
        <v>0</v>
      </c>
      <c r="DO845">
        <v>0</v>
      </c>
      <c r="DP845">
        <v>1</v>
      </c>
      <c r="DQ845">
        <v>1</v>
      </c>
      <c r="DU845">
        <v>16987630</v>
      </c>
      <c r="DV845" t="s">
        <v>20</v>
      </c>
      <c r="DW845" t="s">
        <v>20</v>
      </c>
      <c r="DX845">
        <v>1</v>
      </c>
      <c r="DZ845" t="s">
        <v>3</v>
      </c>
      <c r="EA845" t="s">
        <v>3</v>
      </c>
      <c r="EB845" t="s">
        <v>3</v>
      </c>
      <c r="EC845" t="s">
        <v>3</v>
      </c>
      <c r="EE845">
        <v>1441815344</v>
      </c>
      <c r="EF845">
        <v>1</v>
      </c>
      <c r="EG845" t="s">
        <v>22</v>
      </c>
      <c r="EH845">
        <v>0</v>
      </c>
      <c r="EI845" t="s">
        <v>3</v>
      </c>
      <c r="EJ845">
        <v>4</v>
      </c>
      <c r="EK845">
        <v>0</v>
      </c>
      <c r="EL845" t="s">
        <v>23</v>
      </c>
      <c r="EM845" t="s">
        <v>24</v>
      </c>
      <c r="EO845" t="s">
        <v>774</v>
      </c>
      <c r="EQ845">
        <v>768</v>
      </c>
      <c r="ER845">
        <v>169.28</v>
      </c>
      <c r="ES845">
        <v>0.63</v>
      </c>
      <c r="ET845">
        <v>0</v>
      </c>
      <c r="EU845">
        <v>0</v>
      </c>
      <c r="EV845">
        <v>168.65</v>
      </c>
      <c r="EW845">
        <v>0.3</v>
      </c>
      <c r="EX845">
        <v>0</v>
      </c>
      <c r="EY845">
        <v>0</v>
      </c>
      <c r="FQ845">
        <v>0</v>
      </c>
      <c r="FR845">
        <f t="shared" si="856"/>
        <v>0</v>
      </c>
      <c r="FS845">
        <v>0</v>
      </c>
      <c r="FX845">
        <v>70</v>
      </c>
      <c r="FY845">
        <v>10</v>
      </c>
      <c r="GA845" t="s">
        <v>3</v>
      </c>
      <c r="GD845">
        <v>0</v>
      </c>
      <c r="GF845">
        <v>513635738</v>
      </c>
      <c r="GG845">
        <v>2</v>
      </c>
      <c r="GH845">
        <v>1</v>
      </c>
      <c r="GI845">
        <v>-2</v>
      </c>
      <c r="GJ845">
        <v>0</v>
      </c>
      <c r="GK845">
        <f>ROUND(R845*(R12)/100,2)</f>
        <v>0</v>
      </c>
      <c r="GL845">
        <f t="shared" si="857"/>
        <v>0</v>
      </c>
      <c r="GM845">
        <f t="shared" si="858"/>
        <v>5061.49</v>
      </c>
      <c r="GN845">
        <f t="shared" si="859"/>
        <v>0</v>
      </c>
      <c r="GO845">
        <f t="shared" si="860"/>
        <v>0</v>
      </c>
      <c r="GP845">
        <f t="shared" si="861"/>
        <v>5061.49</v>
      </c>
      <c r="GR845">
        <v>0</v>
      </c>
      <c r="GS845">
        <v>3</v>
      </c>
      <c r="GT845">
        <v>0</v>
      </c>
      <c r="GU845" t="s">
        <v>3</v>
      </c>
      <c r="GV845">
        <f t="shared" si="862"/>
        <v>0</v>
      </c>
      <c r="GW845">
        <v>1</v>
      </c>
      <c r="GX845">
        <f t="shared" si="863"/>
        <v>0</v>
      </c>
      <c r="HA845">
        <v>0</v>
      </c>
      <c r="HB845">
        <v>0</v>
      </c>
      <c r="HC845">
        <f t="shared" si="864"/>
        <v>0</v>
      </c>
      <c r="HE845" t="s">
        <v>3</v>
      </c>
      <c r="HF845" t="s">
        <v>3</v>
      </c>
      <c r="HM845" t="s">
        <v>3</v>
      </c>
      <c r="HN845" t="s">
        <v>3</v>
      </c>
      <c r="HO845" t="s">
        <v>3</v>
      </c>
      <c r="HP845" t="s">
        <v>3</v>
      </c>
      <c r="HQ845" t="s">
        <v>3</v>
      </c>
      <c r="IK845">
        <v>0</v>
      </c>
    </row>
    <row r="846" spans="1:245" x14ac:dyDescent="0.2">
      <c r="A846">
        <v>19</v>
      </c>
      <c r="B846">
        <v>1</v>
      </c>
      <c r="F846" t="s">
        <v>3</v>
      </c>
      <c r="G846" t="s">
        <v>793</v>
      </c>
      <c r="H846" t="s">
        <v>3</v>
      </c>
      <c r="AA846">
        <v>1</v>
      </c>
      <c r="IK846">
        <v>0</v>
      </c>
    </row>
    <row r="847" spans="1:245" x14ac:dyDescent="0.2">
      <c r="A847">
        <v>17</v>
      </c>
      <c r="B847">
        <v>1</v>
      </c>
      <c r="D847">
        <f>ROW(EtalonRes!A875)</f>
        <v>875</v>
      </c>
      <c r="E847" t="s">
        <v>794</v>
      </c>
      <c r="F847" t="s">
        <v>795</v>
      </c>
      <c r="G847" t="s">
        <v>796</v>
      </c>
      <c r="H847" t="s">
        <v>104</v>
      </c>
      <c r="I847">
        <f>ROUND((1500+1000+750+750+20+2500+2500)*0.2*0.1/100,9)</f>
        <v>1.804</v>
      </c>
      <c r="J847">
        <v>0</v>
      </c>
      <c r="K847">
        <f>ROUND((1500+1000+750+750+20+2500+2500)*0.2*0.1/100,9)</f>
        <v>1.804</v>
      </c>
      <c r="O847">
        <f t="shared" ref="O847:O858" si="865">ROUND(CP847,2)</f>
        <v>6935.77</v>
      </c>
      <c r="P847">
        <f t="shared" ref="P847:P858" si="866">ROUND(CQ847*I847,2)</f>
        <v>40.61</v>
      </c>
      <c r="Q847">
        <f t="shared" ref="Q847:Q858" si="867">ROUND(CR847*I847,2)</f>
        <v>0</v>
      </c>
      <c r="R847">
        <f t="shared" ref="R847:R858" si="868">ROUND(CS847*I847,2)</f>
        <v>0</v>
      </c>
      <c r="S847">
        <f t="shared" ref="S847:S858" si="869">ROUND(CT847*I847,2)</f>
        <v>6895.16</v>
      </c>
      <c r="T847">
        <f t="shared" ref="T847:T858" si="870">ROUND(CU847*I847,2)</f>
        <v>0</v>
      </c>
      <c r="U847">
        <f t="shared" ref="U847:U858" si="871">CV847*I847</f>
        <v>12.880559999999999</v>
      </c>
      <c r="V847">
        <f t="shared" ref="V847:V858" si="872">CW847*I847</f>
        <v>0</v>
      </c>
      <c r="W847">
        <f t="shared" ref="W847:W858" si="873">ROUND(CX847*I847,2)</f>
        <v>0</v>
      </c>
      <c r="X847">
        <f t="shared" ref="X847:X858" si="874">ROUND(CY847,2)</f>
        <v>4826.6099999999997</v>
      </c>
      <c r="Y847">
        <f t="shared" ref="Y847:Y858" si="875">ROUND(CZ847,2)</f>
        <v>689.52</v>
      </c>
      <c r="AA847">
        <v>1472506909</v>
      </c>
      <c r="AB847">
        <f t="shared" ref="AB847:AB858" si="876">ROUND((AC847+AD847+AF847),6)</f>
        <v>3844.66</v>
      </c>
      <c r="AC847">
        <f t="shared" ref="AC847:AC858" si="877">ROUND((ES847),6)</f>
        <v>22.51</v>
      </c>
      <c r="AD847">
        <f t="shared" ref="AD847:AD858" si="878">ROUND((((ET847)-(EU847))+AE847),6)</f>
        <v>0</v>
      </c>
      <c r="AE847">
        <f t="shared" ref="AE847:AE858" si="879">ROUND((EU847),6)</f>
        <v>0</v>
      </c>
      <c r="AF847">
        <f t="shared" ref="AF847:AF858" si="880">ROUND((EV847),6)</f>
        <v>3822.15</v>
      </c>
      <c r="AG847">
        <f t="shared" ref="AG847:AG858" si="881">ROUND((AP847),6)</f>
        <v>0</v>
      </c>
      <c r="AH847">
        <f t="shared" ref="AH847:AH858" si="882">(EW847)</f>
        <v>7.14</v>
      </c>
      <c r="AI847">
        <f t="shared" ref="AI847:AI858" si="883">(EX847)</f>
        <v>0</v>
      </c>
      <c r="AJ847">
        <f t="shared" ref="AJ847:AJ858" si="884">(AS847)</f>
        <v>0</v>
      </c>
      <c r="AK847">
        <v>3844.66</v>
      </c>
      <c r="AL847">
        <v>22.51</v>
      </c>
      <c r="AM847">
        <v>0</v>
      </c>
      <c r="AN847">
        <v>0</v>
      </c>
      <c r="AO847">
        <v>3822.15</v>
      </c>
      <c r="AP847">
        <v>0</v>
      </c>
      <c r="AQ847">
        <v>7.14</v>
      </c>
      <c r="AR847">
        <v>0</v>
      </c>
      <c r="AS847">
        <v>0</v>
      </c>
      <c r="AT847">
        <v>70</v>
      </c>
      <c r="AU847">
        <v>10</v>
      </c>
      <c r="AV847">
        <v>1</v>
      </c>
      <c r="AW847">
        <v>1</v>
      </c>
      <c r="AZ847">
        <v>1</v>
      </c>
      <c r="BA847">
        <v>1</v>
      </c>
      <c r="BB847">
        <v>1</v>
      </c>
      <c r="BC847">
        <v>1</v>
      </c>
      <c r="BD847" t="s">
        <v>3</v>
      </c>
      <c r="BE847" t="s">
        <v>3</v>
      </c>
      <c r="BF847" t="s">
        <v>3</v>
      </c>
      <c r="BG847" t="s">
        <v>3</v>
      </c>
      <c r="BH847">
        <v>0</v>
      </c>
      <c r="BI847">
        <v>4</v>
      </c>
      <c r="BJ847" t="s">
        <v>797</v>
      </c>
      <c r="BM847">
        <v>0</v>
      </c>
      <c r="BN847">
        <v>0</v>
      </c>
      <c r="BO847" t="s">
        <v>3</v>
      </c>
      <c r="BP847">
        <v>0</v>
      </c>
      <c r="BQ847">
        <v>1</v>
      </c>
      <c r="BR847">
        <v>0</v>
      </c>
      <c r="BS847">
        <v>1</v>
      </c>
      <c r="BT847">
        <v>1</v>
      </c>
      <c r="BU847">
        <v>1</v>
      </c>
      <c r="BV847">
        <v>1</v>
      </c>
      <c r="BW847">
        <v>1</v>
      </c>
      <c r="BX847">
        <v>1</v>
      </c>
      <c r="BY847" t="s">
        <v>3</v>
      </c>
      <c r="BZ847">
        <v>70</v>
      </c>
      <c r="CA847">
        <v>10</v>
      </c>
      <c r="CB847" t="s">
        <v>3</v>
      </c>
      <c r="CE847">
        <v>0</v>
      </c>
      <c r="CF847">
        <v>0</v>
      </c>
      <c r="CG847">
        <v>0</v>
      </c>
      <c r="CM847">
        <v>0</v>
      </c>
      <c r="CN847" t="s">
        <v>3</v>
      </c>
      <c r="CO847">
        <v>0</v>
      </c>
      <c r="CP847">
        <f t="shared" ref="CP847:CP858" si="885">(P847+Q847+S847)</f>
        <v>6935.7699999999995</v>
      </c>
      <c r="CQ847">
        <f t="shared" ref="CQ847:CQ858" si="886">(AC847*BC847*AW847)</f>
        <v>22.51</v>
      </c>
      <c r="CR847">
        <f t="shared" ref="CR847:CR858" si="887">((((ET847)*BB847-(EU847)*BS847)+AE847*BS847)*AV847)</f>
        <v>0</v>
      </c>
      <c r="CS847">
        <f t="shared" ref="CS847:CS858" si="888">(AE847*BS847*AV847)</f>
        <v>0</v>
      </c>
      <c r="CT847">
        <f t="shared" ref="CT847:CT858" si="889">(AF847*BA847*AV847)</f>
        <v>3822.15</v>
      </c>
      <c r="CU847">
        <f t="shared" ref="CU847:CU858" si="890">AG847</f>
        <v>0</v>
      </c>
      <c r="CV847">
        <f t="shared" ref="CV847:CV858" si="891">(AH847*AV847)</f>
        <v>7.14</v>
      </c>
      <c r="CW847">
        <f t="shared" ref="CW847:CW858" si="892">AI847</f>
        <v>0</v>
      </c>
      <c r="CX847">
        <f t="shared" ref="CX847:CX858" si="893">AJ847</f>
        <v>0</v>
      </c>
      <c r="CY847">
        <f t="shared" ref="CY847:CY858" si="894">((S847*BZ847)/100)</f>
        <v>4826.6120000000001</v>
      </c>
      <c r="CZ847">
        <f t="shared" ref="CZ847:CZ858" si="895">((S847*CA847)/100)</f>
        <v>689.51600000000008</v>
      </c>
      <c r="DC847" t="s">
        <v>3</v>
      </c>
      <c r="DD847" t="s">
        <v>3</v>
      </c>
      <c r="DE847" t="s">
        <v>3</v>
      </c>
      <c r="DF847" t="s">
        <v>3</v>
      </c>
      <c r="DG847" t="s">
        <v>3</v>
      </c>
      <c r="DH847" t="s">
        <v>3</v>
      </c>
      <c r="DI847" t="s">
        <v>3</v>
      </c>
      <c r="DJ847" t="s">
        <v>3</v>
      </c>
      <c r="DK847" t="s">
        <v>3</v>
      </c>
      <c r="DL847" t="s">
        <v>3</v>
      </c>
      <c r="DM847" t="s">
        <v>3</v>
      </c>
      <c r="DN847">
        <v>0</v>
      </c>
      <c r="DO847">
        <v>0</v>
      </c>
      <c r="DP847">
        <v>1</v>
      </c>
      <c r="DQ847">
        <v>1</v>
      </c>
      <c r="DU847">
        <v>1003</v>
      </c>
      <c r="DV847" t="s">
        <v>104</v>
      </c>
      <c r="DW847" t="s">
        <v>104</v>
      </c>
      <c r="DX847">
        <v>100</v>
      </c>
      <c r="DZ847" t="s">
        <v>3</v>
      </c>
      <c r="EA847" t="s">
        <v>3</v>
      </c>
      <c r="EB847" t="s">
        <v>3</v>
      </c>
      <c r="EC847" t="s">
        <v>3</v>
      </c>
      <c r="EE847">
        <v>1441815344</v>
      </c>
      <c r="EF847">
        <v>1</v>
      </c>
      <c r="EG847" t="s">
        <v>22</v>
      </c>
      <c r="EH847">
        <v>0</v>
      </c>
      <c r="EI847" t="s">
        <v>3</v>
      </c>
      <c r="EJ847">
        <v>4</v>
      </c>
      <c r="EK847">
        <v>0</v>
      </c>
      <c r="EL847" t="s">
        <v>23</v>
      </c>
      <c r="EM847" t="s">
        <v>24</v>
      </c>
      <c r="EO847" t="s">
        <v>3</v>
      </c>
      <c r="EQ847">
        <v>0</v>
      </c>
      <c r="ER847">
        <v>3844.66</v>
      </c>
      <c r="ES847">
        <v>22.51</v>
      </c>
      <c r="ET847">
        <v>0</v>
      </c>
      <c r="EU847">
        <v>0</v>
      </c>
      <c r="EV847">
        <v>3822.15</v>
      </c>
      <c r="EW847">
        <v>7.14</v>
      </c>
      <c r="EX847">
        <v>0</v>
      </c>
      <c r="EY847">
        <v>0</v>
      </c>
      <c r="FQ847">
        <v>0</v>
      </c>
      <c r="FR847">
        <f t="shared" ref="FR847:FR858" si="896">ROUND(IF(BI847=3,GM847,0),2)</f>
        <v>0</v>
      </c>
      <c r="FS847">
        <v>0</v>
      </c>
      <c r="FX847">
        <v>70</v>
      </c>
      <c r="FY847">
        <v>10</v>
      </c>
      <c r="GA847" t="s">
        <v>3</v>
      </c>
      <c r="GD847">
        <v>0</v>
      </c>
      <c r="GF847">
        <v>795463706</v>
      </c>
      <c r="GG847">
        <v>2</v>
      </c>
      <c r="GH847">
        <v>1</v>
      </c>
      <c r="GI847">
        <v>-2</v>
      </c>
      <c r="GJ847">
        <v>0</v>
      </c>
      <c r="GK847">
        <f>ROUND(R847*(R12)/100,2)</f>
        <v>0</v>
      </c>
      <c r="GL847">
        <f t="shared" ref="GL847:GL858" si="897">ROUND(IF(AND(BH847=3,BI847=3,FS847&lt;&gt;0),P847,0),2)</f>
        <v>0</v>
      </c>
      <c r="GM847">
        <f t="shared" ref="GM847:GM858" si="898">ROUND(O847+X847+Y847+GK847,2)+GX847</f>
        <v>12451.9</v>
      </c>
      <c r="GN847">
        <f t="shared" ref="GN847:GN858" si="899">IF(OR(BI847=0,BI847=1),GM847-GX847,0)</f>
        <v>0</v>
      </c>
      <c r="GO847">
        <f t="shared" ref="GO847:GO858" si="900">IF(BI847=2,GM847-GX847,0)</f>
        <v>0</v>
      </c>
      <c r="GP847">
        <f t="shared" ref="GP847:GP858" si="901">IF(BI847=4,GM847-GX847,0)</f>
        <v>12451.9</v>
      </c>
      <c r="GR847">
        <v>0</v>
      </c>
      <c r="GS847">
        <v>3</v>
      </c>
      <c r="GT847">
        <v>0</v>
      </c>
      <c r="GU847" t="s">
        <v>3</v>
      </c>
      <c r="GV847">
        <f t="shared" ref="GV847:GV858" si="902">ROUND((GT847),6)</f>
        <v>0</v>
      </c>
      <c r="GW847">
        <v>1</v>
      </c>
      <c r="GX847">
        <f t="shared" ref="GX847:GX858" si="903">ROUND(HC847*I847,2)</f>
        <v>0</v>
      </c>
      <c r="HA847">
        <v>0</v>
      </c>
      <c r="HB847">
        <v>0</v>
      </c>
      <c r="HC847">
        <f t="shared" ref="HC847:HC858" si="904">GV847*GW847</f>
        <v>0</v>
      </c>
      <c r="HE847" t="s">
        <v>3</v>
      </c>
      <c r="HF847" t="s">
        <v>3</v>
      </c>
      <c r="HM847" t="s">
        <v>3</v>
      </c>
      <c r="HN847" t="s">
        <v>3</v>
      </c>
      <c r="HO847" t="s">
        <v>3</v>
      </c>
      <c r="HP847" t="s">
        <v>3</v>
      </c>
      <c r="HQ847" t="s">
        <v>3</v>
      </c>
      <c r="IK847">
        <v>0</v>
      </c>
    </row>
    <row r="848" spans="1:245" x14ac:dyDescent="0.2">
      <c r="A848">
        <v>17</v>
      </c>
      <c r="B848">
        <v>1</v>
      </c>
      <c r="D848">
        <f>ROW(EtalonRes!A876)</f>
        <v>876</v>
      </c>
      <c r="E848" t="s">
        <v>3</v>
      </c>
      <c r="F848" t="s">
        <v>798</v>
      </c>
      <c r="G848" t="s">
        <v>799</v>
      </c>
      <c r="H848" t="s">
        <v>104</v>
      </c>
      <c r="I848">
        <f>ROUND((1500+1000+750+750+20+2500+2500)*0.1/100,9)</f>
        <v>9.02</v>
      </c>
      <c r="J848">
        <v>0</v>
      </c>
      <c r="K848">
        <f>ROUND((1500+1000+750+750+20+2500+2500)*0.1/100,9)</f>
        <v>9.02</v>
      </c>
      <c r="O848">
        <f t="shared" si="865"/>
        <v>1158.8900000000001</v>
      </c>
      <c r="P848">
        <f t="shared" si="866"/>
        <v>0</v>
      </c>
      <c r="Q848">
        <f t="shared" si="867"/>
        <v>0</v>
      </c>
      <c r="R848">
        <f t="shared" si="868"/>
        <v>0</v>
      </c>
      <c r="S848">
        <f t="shared" si="869"/>
        <v>1158.8900000000001</v>
      </c>
      <c r="T848">
        <f t="shared" si="870"/>
        <v>0</v>
      </c>
      <c r="U848">
        <f t="shared" si="871"/>
        <v>2.1647999999999996</v>
      </c>
      <c r="V848">
        <f t="shared" si="872"/>
        <v>0</v>
      </c>
      <c r="W848">
        <f t="shared" si="873"/>
        <v>0</v>
      </c>
      <c r="X848">
        <f t="shared" si="874"/>
        <v>811.22</v>
      </c>
      <c r="Y848">
        <f t="shared" si="875"/>
        <v>115.89</v>
      </c>
      <c r="AA848">
        <v>-1</v>
      </c>
      <c r="AB848">
        <f t="shared" si="876"/>
        <v>128.47999999999999</v>
      </c>
      <c r="AC848">
        <f t="shared" si="877"/>
        <v>0</v>
      </c>
      <c r="AD848">
        <f t="shared" si="878"/>
        <v>0</v>
      </c>
      <c r="AE848">
        <f t="shared" si="879"/>
        <v>0</v>
      </c>
      <c r="AF848">
        <f t="shared" si="880"/>
        <v>128.47999999999999</v>
      </c>
      <c r="AG848">
        <f t="shared" si="881"/>
        <v>0</v>
      </c>
      <c r="AH848">
        <f t="shared" si="882"/>
        <v>0.24</v>
      </c>
      <c r="AI848">
        <f t="shared" si="883"/>
        <v>0</v>
      </c>
      <c r="AJ848">
        <f t="shared" si="884"/>
        <v>0</v>
      </c>
      <c r="AK848">
        <v>128.47999999999999</v>
      </c>
      <c r="AL848">
        <v>0</v>
      </c>
      <c r="AM848">
        <v>0</v>
      </c>
      <c r="AN848">
        <v>0</v>
      </c>
      <c r="AO848">
        <v>128.47999999999999</v>
      </c>
      <c r="AP848">
        <v>0</v>
      </c>
      <c r="AQ848">
        <v>0.24</v>
      </c>
      <c r="AR848">
        <v>0</v>
      </c>
      <c r="AS848">
        <v>0</v>
      </c>
      <c r="AT848">
        <v>70</v>
      </c>
      <c r="AU848">
        <v>10</v>
      </c>
      <c r="AV848">
        <v>1</v>
      </c>
      <c r="AW848">
        <v>1</v>
      </c>
      <c r="AZ848">
        <v>1</v>
      </c>
      <c r="BA848">
        <v>1</v>
      </c>
      <c r="BB848">
        <v>1</v>
      </c>
      <c r="BC848">
        <v>1</v>
      </c>
      <c r="BD848" t="s">
        <v>3</v>
      </c>
      <c r="BE848" t="s">
        <v>3</v>
      </c>
      <c r="BF848" t="s">
        <v>3</v>
      </c>
      <c r="BG848" t="s">
        <v>3</v>
      </c>
      <c r="BH848">
        <v>0</v>
      </c>
      <c r="BI848">
        <v>4</v>
      </c>
      <c r="BJ848" t="s">
        <v>800</v>
      </c>
      <c r="BM848">
        <v>0</v>
      </c>
      <c r="BN848">
        <v>0</v>
      </c>
      <c r="BO848" t="s">
        <v>3</v>
      </c>
      <c r="BP848">
        <v>0</v>
      </c>
      <c r="BQ848">
        <v>1</v>
      </c>
      <c r="BR848">
        <v>0</v>
      </c>
      <c r="BS848">
        <v>1</v>
      </c>
      <c r="BT848">
        <v>1</v>
      </c>
      <c r="BU848">
        <v>1</v>
      </c>
      <c r="BV848">
        <v>1</v>
      </c>
      <c r="BW848">
        <v>1</v>
      </c>
      <c r="BX848">
        <v>1</v>
      </c>
      <c r="BY848" t="s">
        <v>3</v>
      </c>
      <c r="BZ848">
        <v>70</v>
      </c>
      <c r="CA848">
        <v>10</v>
      </c>
      <c r="CB848" t="s">
        <v>3</v>
      </c>
      <c r="CE848">
        <v>0</v>
      </c>
      <c r="CF848">
        <v>0</v>
      </c>
      <c r="CG848">
        <v>0</v>
      </c>
      <c r="CM848">
        <v>0</v>
      </c>
      <c r="CN848" t="s">
        <v>3</v>
      </c>
      <c r="CO848">
        <v>0</v>
      </c>
      <c r="CP848">
        <f t="shared" si="885"/>
        <v>1158.8900000000001</v>
      </c>
      <c r="CQ848">
        <f t="shared" si="886"/>
        <v>0</v>
      </c>
      <c r="CR848">
        <f t="shared" si="887"/>
        <v>0</v>
      </c>
      <c r="CS848">
        <f t="shared" si="888"/>
        <v>0</v>
      </c>
      <c r="CT848">
        <f t="shared" si="889"/>
        <v>128.47999999999999</v>
      </c>
      <c r="CU848">
        <f t="shared" si="890"/>
        <v>0</v>
      </c>
      <c r="CV848">
        <f t="shared" si="891"/>
        <v>0.24</v>
      </c>
      <c r="CW848">
        <f t="shared" si="892"/>
        <v>0</v>
      </c>
      <c r="CX848">
        <f t="shared" si="893"/>
        <v>0</v>
      </c>
      <c r="CY848">
        <f t="shared" si="894"/>
        <v>811.22300000000007</v>
      </c>
      <c r="CZ848">
        <f t="shared" si="895"/>
        <v>115.88900000000001</v>
      </c>
      <c r="DC848" t="s">
        <v>3</v>
      </c>
      <c r="DD848" t="s">
        <v>3</v>
      </c>
      <c r="DE848" t="s">
        <v>3</v>
      </c>
      <c r="DF848" t="s">
        <v>3</v>
      </c>
      <c r="DG848" t="s">
        <v>3</v>
      </c>
      <c r="DH848" t="s">
        <v>3</v>
      </c>
      <c r="DI848" t="s">
        <v>3</v>
      </c>
      <c r="DJ848" t="s">
        <v>3</v>
      </c>
      <c r="DK848" t="s">
        <v>3</v>
      </c>
      <c r="DL848" t="s">
        <v>3</v>
      </c>
      <c r="DM848" t="s">
        <v>3</v>
      </c>
      <c r="DN848">
        <v>0</v>
      </c>
      <c r="DO848">
        <v>0</v>
      </c>
      <c r="DP848">
        <v>1</v>
      </c>
      <c r="DQ848">
        <v>1</v>
      </c>
      <c r="DU848">
        <v>1003</v>
      </c>
      <c r="DV848" t="s">
        <v>104</v>
      </c>
      <c r="DW848" t="s">
        <v>104</v>
      </c>
      <c r="DX848">
        <v>100</v>
      </c>
      <c r="DZ848" t="s">
        <v>3</v>
      </c>
      <c r="EA848" t="s">
        <v>3</v>
      </c>
      <c r="EB848" t="s">
        <v>3</v>
      </c>
      <c r="EC848" t="s">
        <v>3</v>
      </c>
      <c r="EE848">
        <v>1441815344</v>
      </c>
      <c r="EF848">
        <v>1</v>
      </c>
      <c r="EG848" t="s">
        <v>22</v>
      </c>
      <c r="EH848">
        <v>0</v>
      </c>
      <c r="EI848" t="s">
        <v>3</v>
      </c>
      <c r="EJ848">
        <v>4</v>
      </c>
      <c r="EK848">
        <v>0</v>
      </c>
      <c r="EL848" t="s">
        <v>23</v>
      </c>
      <c r="EM848" t="s">
        <v>24</v>
      </c>
      <c r="EO848" t="s">
        <v>3</v>
      </c>
      <c r="EQ848">
        <v>1024</v>
      </c>
      <c r="ER848">
        <v>128.47999999999999</v>
      </c>
      <c r="ES848">
        <v>0</v>
      </c>
      <c r="ET848">
        <v>0</v>
      </c>
      <c r="EU848">
        <v>0</v>
      </c>
      <c r="EV848">
        <v>128.47999999999999</v>
      </c>
      <c r="EW848">
        <v>0.24</v>
      </c>
      <c r="EX848">
        <v>0</v>
      </c>
      <c r="EY848">
        <v>0</v>
      </c>
      <c r="FQ848">
        <v>0</v>
      </c>
      <c r="FR848">
        <f t="shared" si="896"/>
        <v>0</v>
      </c>
      <c r="FS848">
        <v>0</v>
      </c>
      <c r="FX848">
        <v>70</v>
      </c>
      <c r="FY848">
        <v>10</v>
      </c>
      <c r="GA848" t="s">
        <v>3</v>
      </c>
      <c r="GD848">
        <v>0</v>
      </c>
      <c r="GF848">
        <v>-711825031</v>
      </c>
      <c r="GG848">
        <v>2</v>
      </c>
      <c r="GH848">
        <v>1</v>
      </c>
      <c r="GI848">
        <v>-2</v>
      </c>
      <c r="GJ848">
        <v>0</v>
      </c>
      <c r="GK848">
        <f>ROUND(R848*(R12)/100,2)</f>
        <v>0</v>
      </c>
      <c r="GL848">
        <f t="shared" si="897"/>
        <v>0</v>
      </c>
      <c r="GM848">
        <f t="shared" si="898"/>
        <v>2086</v>
      </c>
      <c r="GN848">
        <f t="shared" si="899"/>
        <v>0</v>
      </c>
      <c r="GO848">
        <f t="shared" si="900"/>
        <v>0</v>
      </c>
      <c r="GP848">
        <f t="shared" si="901"/>
        <v>2086</v>
      </c>
      <c r="GR848">
        <v>0</v>
      </c>
      <c r="GS848">
        <v>3</v>
      </c>
      <c r="GT848">
        <v>0</v>
      </c>
      <c r="GU848" t="s">
        <v>3</v>
      </c>
      <c r="GV848">
        <f t="shared" si="902"/>
        <v>0</v>
      </c>
      <c r="GW848">
        <v>1</v>
      </c>
      <c r="GX848">
        <f t="shared" si="903"/>
        <v>0</v>
      </c>
      <c r="HA848">
        <v>0</v>
      </c>
      <c r="HB848">
        <v>0</v>
      </c>
      <c r="HC848">
        <f t="shared" si="904"/>
        <v>0</v>
      </c>
      <c r="HE848" t="s">
        <v>3</v>
      </c>
      <c r="HF848" t="s">
        <v>3</v>
      </c>
      <c r="HM848" t="s">
        <v>3</v>
      </c>
      <c r="HN848" t="s">
        <v>3</v>
      </c>
      <c r="HO848" t="s">
        <v>3</v>
      </c>
      <c r="HP848" t="s">
        <v>3</v>
      </c>
      <c r="HQ848" t="s">
        <v>3</v>
      </c>
      <c r="IK848">
        <v>0</v>
      </c>
    </row>
    <row r="849" spans="1:245" x14ac:dyDescent="0.2">
      <c r="A849">
        <v>17</v>
      </c>
      <c r="B849">
        <v>1</v>
      </c>
      <c r="D849">
        <f>ROW(EtalonRes!A878)</f>
        <v>878</v>
      </c>
      <c r="E849" t="s">
        <v>801</v>
      </c>
      <c r="F849" t="s">
        <v>802</v>
      </c>
      <c r="G849" t="s">
        <v>803</v>
      </c>
      <c r="H849" t="s">
        <v>104</v>
      </c>
      <c r="I849">
        <f>ROUND((3500+9070+1000+600+4500+220+800)*0.2*0.1/100,9)</f>
        <v>3.9380000000000002</v>
      </c>
      <c r="J849">
        <v>0</v>
      </c>
      <c r="K849">
        <f>ROUND((3500+9070+1000+600+4500+220+800)*0.2*0.1/100,9)</f>
        <v>3.9380000000000002</v>
      </c>
      <c r="O849">
        <f t="shared" si="865"/>
        <v>21169.34</v>
      </c>
      <c r="P849">
        <f t="shared" si="866"/>
        <v>88.64</v>
      </c>
      <c r="Q849">
        <f t="shared" si="867"/>
        <v>0</v>
      </c>
      <c r="R849">
        <f t="shared" si="868"/>
        <v>0</v>
      </c>
      <c r="S849">
        <f t="shared" si="869"/>
        <v>21080.7</v>
      </c>
      <c r="T849">
        <f t="shared" si="870"/>
        <v>0</v>
      </c>
      <c r="U849">
        <f t="shared" si="871"/>
        <v>39.380000000000003</v>
      </c>
      <c r="V849">
        <f t="shared" si="872"/>
        <v>0</v>
      </c>
      <c r="W849">
        <f t="shared" si="873"/>
        <v>0</v>
      </c>
      <c r="X849">
        <f t="shared" si="874"/>
        <v>14756.49</v>
      </c>
      <c r="Y849">
        <f t="shared" si="875"/>
        <v>2108.0700000000002</v>
      </c>
      <c r="AA849">
        <v>1472506909</v>
      </c>
      <c r="AB849">
        <f t="shared" si="876"/>
        <v>5375.66</v>
      </c>
      <c r="AC849">
        <f t="shared" si="877"/>
        <v>22.51</v>
      </c>
      <c r="AD849">
        <f t="shared" si="878"/>
        <v>0</v>
      </c>
      <c r="AE849">
        <f t="shared" si="879"/>
        <v>0</v>
      </c>
      <c r="AF849">
        <f t="shared" si="880"/>
        <v>5353.15</v>
      </c>
      <c r="AG849">
        <f t="shared" si="881"/>
        <v>0</v>
      </c>
      <c r="AH849">
        <f t="shared" si="882"/>
        <v>10</v>
      </c>
      <c r="AI849">
        <f t="shared" si="883"/>
        <v>0</v>
      </c>
      <c r="AJ849">
        <f t="shared" si="884"/>
        <v>0</v>
      </c>
      <c r="AK849">
        <v>5375.66</v>
      </c>
      <c r="AL849">
        <v>22.51</v>
      </c>
      <c r="AM849">
        <v>0</v>
      </c>
      <c r="AN849">
        <v>0</v>
      </c>
      <c r="AO849">
        <v>5353.15</v>
      </c>
      <c r="AP849">
        <v>0</v>
      </c>
      <c r="AQ849">
        <v>10</v>
      </c>
      <c r="AR849">
        <v>0</v>
      </c>
      <c r="AS849">
        <v>0</v>
      </c>
      <c r="AT849">
        <v>70</v>
      </c>
      <c r="AU849">
        <v>10</v>
      </c>
      <c r="AV849">
        <v>1</v>
      </c>
      <c r="AW849">
        <v>1</v>
      </c>
      <c r="AZ849">
        <v>1</v>
      </c>
      <c r="BA849">
        <v>1</v>
      </c>
      <c r="BB849">
        <v>1</v>
      </c>
      <c r="BC849">
        <v>1</v>
      </c>
      <c r="BD849" t="s">
        <v>3</v>
      </c>
      <c r="BE849" t="s">
        <v>3</v>
      </c>
      <c r="BF849" t="s">
        <v>3</v>
      </c>
      <c r="BG849" t="s">
        <v>3</v>
      </c>
      <c r="BH849">
        <v>0</v>
      </c>
      <c r="BI849">
        <v>4</v>
      </c>
      <c r="BJ849" t="s">
        <v>804</v>
      </c>
      <c r="BM849">
        <v>0</v>
      </c>
      <c r="BN849">
        <v>0</v>
      </c>
      <c r="BO849" t="s">
        <v>3</v>
      </c>
      <c r="BP849">
        <v>0</v>
      </c>
      <c r="BQ849">
        <v>1</v>
      </c>
      <c r="BR849">
        <v>0</v>
      </c>
      <c r="BS849">
        <v>1</v>
      </c>
      <c r="BT849">
        <v>1</v>
      </c>
      <c r="BU849">
        <v>1</v>
      </c>
      <c r="BV849">
        <v>1</v>
      </c>
      <c r="BW849">
        <v>1</v>
      </c>
      <c r="BX849">
        <v>1</v>
      </c>
      <c r="BY849" t="s">
        <v>3</v>
      </c>
      <c r="BZ849">
        <v>70</v>
      </c>
      <c r="CA849">
        <v>10</v>
      </c>
      <c r="CB849" t="s">
        <v>3</v>
      </c>
      <c r="CE849">
        <v>0</v>
      </c>
      <c r="CF849">
        <v>0</v>
      </c>
      <c r="CG849">
        <v>0</v>
      </c>
      <c r="CM849">
        <v>0</v>
      </c>
      <c r="CN849" t="s">
        <v>3</v>
      </c>
      <c r="CO849">
        <v>0</v>
      </c>
      <c r="CP849">
        <f t="shared" si="885"/>
        <v>21169.34</v>
      </c>
      <c r="CQ849">
        <f t="shared" si="886"/>
        <v>22.51</v>
      </c>
      <c r="CR849">
        <f t="shared" si="887"/>
        <v>0</v>
      </c>
      <c r="CS849">
        <f t="shared" si="888"/>
        <v>0</v>
      </c>
      <c r="CT849">
        <f t="shared" si="889"/>
        <v>5353.15</v>
      </c>
      <c r="CU849">
        <f t="shared" si="890"/>
        <v>0</v>
      </c>
      <c r="CV849">
        <f t="shared" si="891"/>
        <v>10</v>
      </c>
      <c r="CW849">
        <f t="shared" si="892"/>
        <v>0</v>
      </c>
      <c r="CX849">
        <f t="shared" si="893"/>
        <v>0</v>
      </c>
      <c r="CY849">
        <f t="shared" si="894"/>
        <v>14756.49</v>
      </c>
      <c r="CZ849">
        <f t="shared" si="895"/>
        <v>2108.0700000000002</v>
      </c>
      <c r="DC849" t="s">
        <v>3</v>
      </c>
      <c r="DD849" t="s">
        <v>3</v>
      </c>
      <c r="DE849" t="s">
        <v>3</v>
      </c>
      <c r="DF849" t="s">
        <v>3</v>
      </c>
      <c r="DG849" t="s">
        <v>3</v>
      </c>
      <c r="DH849" t="s">
        <v>3</v>
      </c>
      <c r="DI849" t="s">
        <v>3</v>
      </c>
      <c r="DJ849" t="s">
        <v>3</v>
      </c>
      <c r="DK849" t="s">
        <v>3</v>
      </c>
      <c r="DL849" t="s">
        <v>3</v>
      </c>
      <c r="DM849" t="s">
        <v>3</v>
      </c>
      <c r="DN849">
        <v>0</v>
      </c>
      <c r="DO849">
        <v>0</v>
      </c>
      <c r="DP849">
        <v>1</v>
      </c>
      <c r="DQ849">
        <v>1</v>
      </c>
      <c r="DU849">
        <v>1003</v>
      </c>
      <c r="DV849" t="s">
        <v>104</v>
      </c>
      <c r="DW849" t="s">
        <v>104</v>
      </c>
      <c r="DX849">
        <v>100</v>
      </c>
      <c r="DZ849" t="s">
        <v>3</v>
      </c>
      <c r="EA849" t="s">
        <v>3</v>
      </c>
      <c r="EB849" t="s">
        <v>3</v>
      </c>
      <c r="EC849" t="s">
        <v>3</v>
      </c>
      <c r="EE849">
        <v>1441815344</v>
      </c>
      <c r="EF849">
        <v>1</v>
      </c>
      <c r="EG849" t="s">
        <v>22</v>
      </c>
      <c r="EH849">
        <v>0</v>
      </c>
      <c r="EI849" t="s">
        <v>3</v>
      </c>
      <c r="EJ849">
        <v>4</v>
      </c>
      <c r="EK849">
        <v>0</v>
      </c>
      <c r="EL849" t="s">
        <v>23</v>
      </c>
      <c r="EM849" t="s">
        <v>24</v>
      </c>
      <c r="EO849" t="s">
        <v>3</v>
      </c>
      <c r="EQ849">
        <v>0</v>
      </c>
      <c r="ER849">
        <v>5375.66</v>
      </c>
      <c r="ES849">
        <v>22.51</v>
      </c>
      <c r="ET849">
        <v>0</v>
      </c>
      <c r="EU849">
        <v>0</v>
      </c>
      <c r="EV849">
        <v>5353.15</v>
      </c>
      <c r="EW849">
        <v>10</v>
      </c>
      <c r="EX849">
        <v>0</v>
      </c>
      <c r="EY849">
        <v>0</v>
      </c>
      <c r="FQ849">
        <v>0</v>
      </c>
      <c r="FR849">
        <f t="shared" si="896"/>
        <v>0</v>
      </c>
      <c r="FS849">
        <v>0</v>
      </c>
      <c r="FX849">
        <v>70</v>
      </c>
      <c r="FY849">
        <v>10</v>
      </c>
      <c r="GA849" t="s">
        <v>3</v>
      </c>
      <c r="GD849">
        <v>0</v>
      </c>
      <c r="GF849">
        <v>409781007</v>
      </c>
      <c r="GG849">
        <v>2</v>
      </c>
      <c r="GH849">
        <v>1</v>
      </c>
      <c r="GI849">
        <v>-2</v>
      </c>
      <c r="GJ849">
        <v>0</v>
      </c>
      <c r="GK849">
        <f>ROUND(R849*(R12)/100,2)</f>
        <v>0</v>
      </c>
      <c r="GL849">
        <f t="shared" si="897"/>
        <v>0</v>
      </c>
      <c r="GM849">
        <f t="shared" si="898"/>
        <v>38033.9</v>
      </c>
      <c r="GN849">
        <f t="shared" si="899"/>
        <v>0</v>
      </c>
      <c r="GO849">
        <f t="shared" si="900"/>
        <v>0</v>
      </c>
      <c r="GP849">
        <f t="shared" si="901"/>
        <v>38033.9</v>
      </c>
      <c r="GR849">
        <v>0</v>
      </c>
      <c r="GS849">
        <v>3</v>
      </c>
      <c r="GT849">
        <v>0</v>
      </c>
      <c r="GU849" t="s">
        <v>3</v>
      </c>
      <c r="GV849">
        <f t="shared" si="902"/>
        <v>0</v>
      </c>
      <c r="GW849">
        <v>1</v>
      </c>
      <c r="GX849">
        <f t="shared" si="903"/>
        <v>0</v>
      </c>
      <c r="HA849">
        <v>0</v>
      </c>
      <c r="HB849">
        <v>0</v>
      </c>
      <c r="HC849">
        <f t="shared" si="904"/>
        <v>0</v>
      </c>
      <c r="HE849" t="s">
        <v>3</v>
      </c>
      <c r="HF849" t="s">
        <v>3</v>
      </c>
      <c r="HM849" t="s">
        <v>3</v>
      </c>
      <c r="HN849" t="s">
        <v>3</v>
      </c>
      <c r="HO849" t="s">
        <v>3</v>
      </c>
      <c r="HP849" t="s">
        <v>3</v>
      </c>
      <c r="HQ849" t="s">
        <v>3</v>
      </c>
      <c r="IK849">
        <v>0</v>
      </c>
    </row>
    <row r="850" spans="1:245" x14ac:dyDescent="0.2">
      <c r="A850">
        <v>17</v>
      </c>
      <c r="B850">
        <v>1</v>
      </c>
      <c r="D850">
        <f>ROW(EtalonRes!A879)</f>
        <v>879</v>
      </c>
      <c r="E850" t="s">
        <v>3</v>
      </c>
      <c r="F850" t="s">
        <v>805</v>
      </c>
      <c r="G850" t="s">
        <v>806</v>
      </c>
      <c r="H850" t="s">
        <v>104</v>
      </c>
      <c r="I850">
        <f>ROUND((3500+9070+1000+600+4500+220+800)*0.1/100,9)</f>
        <v>19.690000000000001</v>
      </c>
      <c r="J850">
        <v>0</v>
      </c>
      <c r="K850">
        <f>ROUND((3500+9070+1000+600+4500+220+800)*0.1/100,9)</f>
        <v>19.690000000000001</v>
      </c>
      <c r="O850">
        <f t="shared" si="865"/>
        <v>3478.44</v>
      </c>
      <c r="P850">
        <f t="shared" si="866"/>
        <v>0</v>
      </c>
      <c r="Q850">
        <f t="shared" si="867"/>
        <v>0</v>
      </c>
      <c r="R850">
        <f t="shared" si="868"/>
        <v>0</v>
      </c>
      <c r="S850">
        <f t="shared" si="869"/>
        <v>3478.44</v>
      </c>
      <c r="T850">
        <f t="shared" si="870"/>
        <v>0</v>
      </c>
      <c r="U850">
        <f t="shared" si="871"/>
        <v>6.4977000000000009</v>
      </c>
      <c r="V850">
        <f t="shared" si="872"/>
        <v>0</v>
      </c>
      <c r="W850">
        <f t="shared" si="873"/>
        <v>0</v>
      </c>
      <c r="X850">
        <f t="shared" si="874"/>
        <v>2434.91</v>
      </c>
      <c r="Y850">
        <f t="shared" si="875"/>
        <v>347.84</v>
      </c>
      <c r="AA850">
        <v>-1</v>
      </c>
      <c r="AB850">
        <f t="shared" si="876"/>
        <v>176.66</v>
      </c>
      <c r="AC850">
        <f t="shared" si="877"/>
        <v>0</v>
      </c>
      <c r="AD850">
        <f t="shared" si="878"/>
        <v>0</v>
      </c>
      <c r="AE850">
        <f t="shared" si="879"/>
        <v>0</v>
      </c>
      <c r="AF850">
        <f t="shared" si="880"/>
        <v>176.66</v>
      </c>
      <c r="AG850">
        <f t="shared" si="881"/>
        <v>0</v>
      </c>
      <c r="AH850">
        <f t="shared" si="882"/>
        <v>0.33</v>
      </c>
      <c r="AI850">
        <f t="shared" si="883"/>
        <v>0</v>
      </c>
      <c r="AJ850">
        <f t="shared" si="884"/>
        <v>0</v>
      </c>
      <c r="AK850">
        <v>176.66</v>
      </c>
      <c r="AL850">
        <v>0</v>
      </c>
      <c r="AM850">
        <v>0</v>
      </c>
      <c r="AN850">
        <v>0</v>
      </c>
      <c r="AO850">
        <v>176.66</v>
      </c>
      <c r="AP850">
        <v>0</v>
      </c>
      <c r="AQ850">
        <v>0.33</v>
      </c>
      <c r="AR850">
        <v>0</v>
      </c>
      <c r="AS850">
        <v>0</v>
      </c>
      <c r="AT850">
        <v>70</v>
      </c>
      <c r="AU850">
        <v>10</v>
      </c>
      <c r="AV850">
        <v>1</v>
      </c>
      <c r="AW850">
        <v>1</v>
      </c>
      <c r="AZ850">
        <v>1</v>
      </c>
      <c r="BA850">
        <v>1</v>
      </c>
      <c r="BB850">
        <v>1</v>
      </c>
      <c r="BC850">
        <v>1</v>
      </c>
      <c r="BD850" t="s">
        <v>3</v>
      </c>
      <c r="BE850" t="s">
        <v>3</v>
      </c>
      <c r="BF850" t="s">
        <v>3</v>
      </c>
      <c r="BG850" t="s">
        <v>3</v>
      </c>
      <c r="BH850">
        <v>0</v>
      </c>
      <c r="BI850">
        <v>4</v>
      </c>
      <c r="BJ850" t="s">
        <v>807</v>
      </c>
      <c r="BM850">
        <v>0</v>
      </c>
      <c r="BN850">
        <v>0</v>
      </c>
      <c r="BO850" t="s">
        <v>3</v>
      </c>
      <c r="BP850">
        <v>0</v>
      </c>
      <c r="BQ850">
        <v>1</v>
      </c>
      <c r="BR850">
        <v>0</v>
      </c>
      <c r="BS850">
        <v>1</v>
      </c>
      <c r="BT850">
        <v>1</v>
      </c>
      <c r="BU850">
        <v>1</v>
      </c>
      <c r="BV850">
        <v>1</v>
      </c>
      <c r="BW850">
        <v>1</v>
      </c>
      <c r="BX850">
        <v>1</v>
      </c>
      <c r="BY850" t="s">
        <v>3</v>
      </c>
      <c r="BZ850">
        <v>70</v>
      </c>
      <c r="CA850">
        <v>10</v>
      </c>
      <c r="CB850" t="s">
        <v>3</v>
      </c>
      <c r="CE850">
        <v>0</v>
      </c>
      <c r="CF850">
        <v>0</v>
      </c>
      <c r="CG850">
        <v>0</v>
      </c>
      <c r="CM850">
        <v>0</v>
      </c>
      <c r="CN850" t="s">
        <v>3</v>
      </c>
      <c r="CO850">
        <v>0</v>
      </c>
      <c r="CP850">
        <f t="shared" si="885"/>
        <v>3478.44</v>
      </c>
      <c r="CQ850">
        <f t="shared" si="886"/>
        <v>0</v>
      </c>
      <c r="CR850">
        <f t="shared" si="887"/>
        <v>0</v>
      </c>
      <c r="CS850">
        <f t="shared" si="888"/>
        <v>0</v>
      </c>
      <c r="CT850">
        <f t="shared" si="889"/>
        <v>176.66</v>
      </c>
      <c r="CU850">
        <f t="shared" si="890"/>
        <v>0</v>
      </c>
      <c r="CV850">
        <f t="shared" si="891"/>
        <v>0.33</v>
      </c>
      <c r="CW850">
        <f t="shared" si="892"/>
        <v>0</v>
      </c>
      <c r="CX850">
        <f t="shared" si="893"/>
        <v>0</v>
      </c>
      <c r="CY850">
        <f t="shared" si="894"/>
        <v>2434.9080000000004</v>
      </c>
      <c r="CZ850">
        <f t="shared" si="895"/>
        <v>347.84399999999999</v>
      </c>
      <c r="DC850" t="s">
        <v>3</v>
      </c>
      <c r="DD850" t="s">
        <v>3</v>
      </c>
      <c r="DE850" t="s">
        <v>3</v>
      </c>
      <c r="DF850" t="s">
        <v>3</v>
      </c>
      <c r="DG850" t="s">
        <v>3</v>
      </c>
      <c r="DH850" t="s">
        <v>3</v>
      </c>
      <c r="DI850" t="s">
        <v>3</v>
      </c>
      <c r="DJ850" t="s">
        <v>3</v>
      </c>
      <c r="DK850" t="s">
        <v>3</v>
      </c>
      <c r="DL850" t="s">
        <v>3</v>
      </c>
      <c r="DM850" t="s">
        <v>3</v>
      </c>
      <c r="DN850">
        <v>0</v>
      </c>
      <c r="DO850">
        <v>0</v>
      </c>
      <c r="DP850">
        <v>1</v>
      </c>
      <c r="DQ850">
        <v>1</v>
      </c>
      <c r="DU850">
        <v>1003</v>
      </c>
      <c r="DV850" t="s">
        <v>104</v>
      </c>
      <c r="DW850" t="s">
        <v>104</v>
      </c>
      <c r="DX850">
        <v>100</v>
      </c>
      <c r="DZ850" t="s">
        <v>3</v>
      </c>
      <c r="EA850" t="s">
        <v>3</v>
      </c>
      <c r="EB850" t="s">
        <v>3</v>
      </c>
      <c r="EC850" t="s">
        <v>3</v>
      </c>
      <c r="EE850">
        <v>1441815344</v>
      </c>
      <c r="EF850">
        <v>1</v>
      </c>
      <c r="EG850" t="s">
        <v>22</v>
      </c>
      <c r="EH850">
        <v>0</v>
      </c>
      <c r="EI850" t="s">
        <v>3</v>
      </c>
      <c r="EJ850">
        <v>4</v>
      </c>
      <c r="EK850">
        <v>0</v>
      </c>
      <c r="EL850" t="s">
        <v>23</v>
      </c>
      <c r="EM850" t="s">
        <v>24</v>
      </c>
      <c r="EO850" t="s">
        <v>3</v>
      </c>
      <c r="EQ850">
        <v>1024</v>
      </c>
      <c r="ER850">
        <v>176.66</v>
      </c>
      <c r="ES850">
        <v>0</v>
      </c>
      <c r="ET850">
        <v>0</v>
      </c>
      <c r="EU850">
        <v>0</v>
      </c>
      <c r="EV850">
        <v>176.66</v>
      </c>
      <c r="EW850">
        <v>0.33</v>
      </c>
      <c r="EX850">
        <v>0</v>
      </c>
      <c r="EY850">
        <v>0</v>
      </c>
      <c r="FQ850">
        <v>0</v>
      </c>
      <c r="FR850">
        <f t="shared" si="896"/>
        <v>0</v>
      </c>
      <c r="FS850">
        <v>0</v>
      </c>
      <c r="FX850">
        <v>70</v>
      </c>
      <c r="FY850">
        <v>10</v>
      </c>
      <c r="GA850" t="s">
        <v>3</v>
      </c>
      <c r="GD850">
        <v>0</v>
      </c>
      <c r="GF850">
        <v>-89122687</v>
      </c>
      <c r="GG850">
        <v>2</v>
      </c>
      <c r="GH850">
        <v>1</v>
      </c>
      <c r="GI850">
        <v>-2</v>
      </c>
      <c r="GJ850">
        <v>0</v>
      </c>
      <c r="GK850">
        <f>ROUND(R850*(R12)/100,2)</f>
        <v>0</v>
      </c>
      <c r="GL850">
        <f t="shared" si="897"/>
        <v>0</v>
      </c>
      <c r="GM850">
        <f t="shared" si="898"/>
        <v>6261.19</v>
      </c>
      <c r="GN850">
        <f t="shared" si="899"/>
        <v>0</v>
      </c>
      <c r="GO850">
        <f t="shared" si="900"/>
        <v>0</v>
      </c>
      <c r="GP850">
        <f t="shared" si="901"/>
        <v>6261.19</v>
      </c>
      <c r="GR850">
        <v>0</v>
      </c>
      <c r="GS850">
        <v>3</v>
      </c>
      <c r="GT850">
        <v>0</v>
      </c>
      <c r="GU850" t="s">
        <v>3</v>
      </c>
      <c r="GV850">
        <f t="shared" si="902"/>
        <v>0</v>
      </c>
      <c r="GW850">
        <v>1</v>
      </c>
      <c r="GX850">
        <f t="shared" si="903"/>
        <v>0</v>
      </c>
      <c r="HA850">
        <v>0</v>
      </c>
      <c r="HB850">
        <v>0</v>
      </c>
      <c r="HC850">
        <f t="shared" si="904"/>
        <v>0</v>
      </c>
      <c r="HE850" t="s">
        <v>3</v>
      </c>
      <c r="HF850" t="s">
        <v>3</v>
      </c>
      <c r="HM850" t="s">
        <v>3</v>
      </c>
      <c r="HN850" t="s">
        <v>3</v>
      </c>
      <c r="HO850" t="s">
        <v>3</v>
      </c>
      <c r="HP850" t="s">
        <v>3</v>
      </c>
      <c r="HQ850" t="s">
        <v>3</v>
      </c>
      <c r="IK850">
        <v>0</v>
      </c>
    </row>
    <row r="851" spans="1:245" x14ac:dyDescent="0.2">
      <c r="A851">
        <v>17</v>
      </c>
      <c r="B851">
        <v>1</v>
      </c>
      <c r="D851">
        <f>ROW(EtalonRes!A881)</f>
        <v>881</v>
      </c>
      <c r="E851" t="s">
        <v>808</v>
      </c>
      <c r="F851" t="s">
        <v>623</v>
      </c>
      <c r="G851" t="s">
        <v>624</v>
      </c>
      <c r="H851" t="s">
        <v>104</v>
      </c>
      <c r="I851">
        <f>ROUND((60+185+55+70+3107+538+791)*0.2*0.1/100,9)</f>
        <v>0.96120000000000005</v>
      </c>
      <c r="J851">
        <v>0</v>
      </c>
      <c r="K851">
        <f>ROUND((60+185+55+70+3107+538+791)*0.2*0.1/100,9)</f>
        <v>0.96120000000000005</v>
      </c>
      <c r="O851">
        <f t="shared" si="865"/>
        <v>5787.26</v>
      </c>
      <c r="P851">
        <f t="shared" si="866"/>
        <v>14.06</v>
      </c>
      <c r="Q851">
        <f t="shared" si="867"/>
        <v>0</v>
      </c>
      <c r="R851">
        <f t="shared" si="868"/>
        <v>0</v>
      </c>
      <c r="S851">
        <f t="shared" si="869"/>
        <v>5773.2</v>
      </c>
      <c r="T851">
        <f t="shared" si="870"/>
        <v>0</v>
      </c>
      <c r="U851">
        <f t="shared" si="871"/>
        <v>10.784664000000001</v>
      </c>
      <c r="V851">
        <f t="shared" si="872"/>
        <v>0</v>
      </c>
      <c r="W851">
        <f t="shared" si="873"/>
        <v>0</v>
      </c>
      <c r="X851">
        <f t="shared" si="874"/>
        <v>4041.24</v>
      </c>
      <c r="Y851">
        <f t="shared" si="875"/>
        <v>577.32000000000005</v>
      </c>
      <c r="AA851">
        <v>1472506909</v>
      </c>
      <c r="AB851">
        <f t="shared" si="876"/>
        <v>6020.87</v>
      </c>
      <c r="AC851">
        <f t="shared" si="877"/>
        <v>14.63</v>
      </c>
      <c r="AD851">
        <f t="shared" si="878"/>
        <v>0</v>
      </c>
      <c r="AE851">
        <f t="shared" si="879"/>
        <v>0</v>
      </c>
      <c r="AF851">
        <f t="shared" si="880"/>
        <v>6006.24</v>
      </c>
      <c r="AG851">
        <f t="shared" si="881"/>
        <v>0</v>
      </c>
      <c r="AH851">
        <f t="shared" si="882"/>
        <v>11.22</v>
      </c>
      <c r="AI851">
        <f t="shared" si="883"/>
        <v>0</v>
      </c>
      <c r="AJ851">
        <f t="shared" si="884"/>
        <v>0</v>
      </c>
      <c r="AK851">
        <v>6020.87</v>
      </c>
      <c r="AL851">
        <v>14.63</v>
      </c>
      <c r="AM851">
        <v>0</v>
      </c>
      <c r="AN851">
        <v>0</v>
      </c>
      <c r="AO851">
        <v>6006.24</v>
      </c>
      <c r="AP851">
        <v>0</v>
      </c>
      <c r="AQ851">
        <v>11.22</v>
      </c>
      <c r="AR851">
        <v>0</v>
      </c>
      <c r="AS851">
        <v>0</v>
      </c>
      <c r="AT851">
        <v>70</v>
      </c>
      <c r="AU851">
        <v>10</v>
      </c>
      <c r="AV851">
        <v>1</v>
      </c>
      <c r="AW851">
        <v>1</v>
      </c>
      <c r="AZ851">
        <v>1</v>
      </c>
      <c r="BA851">
        <v>1</v>
      </c>
      <c r="BB851">
        <v>1</v>
      </c>
      <c r="BC851">
        <v>1</v>
      </c>
      <c r="BD851" t="s">
        <v>3</v>
      </c>
      <c r="BE851" t="s">
        <v>3</v>
      </c>
      <c r="BF851" t="s">
        <v>3</v>
      </c>
      <c r="BG851" t="s">
        <v>3</v>
      </c>
      <c r="BH851">
        <v>0</v>
      </c>
      <c r="BI851">
        <v>4</v>
      </c>
      <c r="BJ851" t="s">
        <v>625</v>
      </c>
      <c r="BM851">
        <v>0</v>
      </c>
      <c r="BN851">
        <v>0</v>
      </c>
      <c r="BO851" t="s">
        <v>3</v>
      </c>
      <c r="BP851">
        <v>0</v>
      </c>
      <c r="BQ851">
        <v>1</v>
      </c>
      <c r="BR851">
        <v>0</v>
      </c>
      <c r="BS851">
        <v>1</v>
      </c>
      <c r="BT851">
        <v>1</v>
      </c>
      <c r="BU851">
        <v>1</v>
      </c>
      <c r="BV851">
        <v>1</v>
      </c>
      <c r="BW851">
        <v>1</v>
      </c>
      <c r="BX851">
        <v>1</v>
      </c>
      <c r="BY851" t="s">
        <v>3</v>
      </c>
      <c r="BZ851">
        <v>70</v>
      </c>
      <c r="CA851">
        <v>10</v>
      </c>
      <c r="CB851" t="s">
        <v>3</v>
      </c>
      <c r="CE851">
        <v>0</v>
      </c>
      <c r="CF851">
        <v>0</v>
      </c>
      <c r="CG851">
        <v>0</v>
      </c>
      <c r="CM851">
        <v>0</v>
      </c>
      <c r="CN851" t="s">
        <v>3</v>
      </c>
      <c r="CO851">
        <v>0</v>
      </c>
      <c r="CP851">
        <f t="shared" si="885"/>
        <v>5787.26</v>
      </c>
      <c r="CQ851">
        <f t="shared" si="886"/>
        <v>14.63</v>
      </c>
      <c r="CR851">
        <f t="shared" si="887"/>
        <v>0</v>
      </c>
      <c r="CS851">
        <f t="shared" si="888"/>
        <v>0</v>
      </c>
      <c r="CT851">
        <f t="shared" si="889"/>
        <v>6006.24</v>
      </c>
      <c r="CU851">
        <f t="shared" si="890"/>
        <v>0</v>
      </c>
      <c r="CV851">
        <f t="shared" si="891"/>
        <v>11.22</v>
      </c>
      <c r="CW851">
        <f t="shared" si="892"/>
        <v>0</v>
      </c>
      <c r="CX851">
        <f t="shared" si="893"/>
        <v>0</v>
      </c>
      <c r="CY851">
        <f t="shared" si="894"/>
        <v>4041.24</v>
      </c>
      <c r="CZ851">
        <f t="shared" si="895"/>
        <v>577.32000000000005</v>
      </c>
      <c r="DC851" t="s">
        <v>3</v>
      </c>
      <c r="DD851" t="s">
        <v>3</v>
      </c>
      <c r="DE851" t="s">
        <v>3</v>
      </c>
      <c r="DF851" t="s">
        <v>3</v>
      </c>
      <c r="DG851" t="s">
        <v>3</v>
      </c>
      <c r="DH851" t="s">
        <v>3</v>
      </c>
      <c r="DI851" t="s">
        <v>3</v>
      </c>
      <c r="DJ851" t="s">
        <v>3</v>
      </c>
      <c r="DK851" t="s">
        <v>3</v>
      </c>
      <c r="DL851" t="s">
        <v>3</v>
      </c>
      <c r="DM851" t="s">
        <v>3</v>
      </c>
      <c r="DN851">
        <v>0</v>
      </c>
      <c r="DO851">
        <v>0</v>
      </c>
      <c r="DP851">
        <v>1</v>
      </c>
      <c r="DQ851">
        <v>1</v>
      </c>
      <c r="DU851">
        <v>1003</v>
      </c>
      <c r="DV851" t="s">
        <v>104</v>
      </c>
      <c r="DW851" t="s">
        <v>104</v>
      </c>
      <c r="DX851">
        <v>100</v>
      </c>
      <c r="DZ851" t="s">
        <v>3</v>
      </c>
      <c r="EA851" t="s">
        <v>3</v>
      </c>
      <c r="EB851" t="s">
        <v>3</v>
      </c>
      <c r="EC851" t="s">
        <v>3</v>
      </c>
      <c r="EE851">
        <v>1441815344</v>
      </c>
      <c r="EF851">
        <v>1</v>
      </c>
      <c r="EG851" t="s">
        <v>22</v>
      </c>
      <c r="EH851">
        <v>0</v>
      </c>
      <c r="EI851" t="s">
        <v>3</v>
      </c>
      <c r="EJ851">
        <v>4</v>
      </c>
      <c r="EK851">
        <v>0</v>
      </c>
      <c r="EL851" t="s">
        <v>23</v>
      </c>
      <c r="EM851" t="s">
        <v>24</v>
      </c>
      <c r="EO851" t="s">
        <v>3</v>
      </c>
      <c r="EQ851">
        <v>0</v>
      </c>
      <c r="ER851">
        <v>6020.87</v>
      </c>
      <c r="ES851">
        <v>14.63</v>
      </c>
      <c r="ET851">
        <v>0</v>
      </c>
      <c r="EU851">
        <v>0</v>
      </c>
      <c r="EV851">
        <v>6006.24</v>
      </c>
      <c r="EW851">
        <v>11.22</v>
      </c>
      <c r="EX851">
        <v>0</v>
      </c>
      <c r="EY851">
        <v>0</v>
      </c>
      <c r="FQ851">
        <v>0</v>
      </c>
      <c r="FR851">
        <f t="shared" si="896"/>
        <v>0</v>
      </c>
      <c r="FS851">
        <v>0</v>
      </c>
      <c r="FX851">
        <v>70</v>
      </c>
      <c r="FY851">
        <v>10</v>
      </c>
      <c r="GA851" t="s">
        <v>3</v>
      </c>
      <c r="GD851">
        <v>0</v>
      </c>
      <c r="GF851">
        <v>-1811468466</v>
      </c>
      <c r="GG851">
        <v>2</v>
      </c>
      <c r="GH851">
        <v>1</v>
      </c>
      <c r="GI851">
        <v>-2</v>
      </c>
      <c r="GJ851">
        <v>0</v>
      </c>
      <c r="GK851">
        <f>ROUND(R851*(R12)/100,2)</f>
        <v>0</v>
      </c>
      <c r="GL851">
        <f t="shared" si="897"/>
        <v>0</v>
      </c>
      <c r="GM851">
        <f t="shared" si="898"/>
        <v>10405.82</v>
      </c>
      <c r="GN851">
        <f t="shared" si="899"/>
        <v>0</v>
      </c>
      <c r="GO851">
        <f t="shared" si="900"/>
        <v>0</v>
      </c>
      <c r="GP851">
        <f t="shared" si="901"/>
        <v>10405.82</v>
      </c>
      <c r="GR851">
        <v>0</v>
      </c>
      <c r="GS851">
        <v>3</v>
      </c>
      <c r="GT851">
        <v>0</v>
      </c>
      <c r="GU851" t="s">
        <v>3</v>
      </c>
      <c r="GV851">
        <f t="shared" si="902"/>
        <v>0</v>
      </c>
      <c r="GW851">
        <v>1</v>
      </c>
      <c r="GX851">
        <f t="shared" si="903"/>
        <v>0</v>
      </c>
      <c r="HA851">
        <v>0</v>
      </c>
      <c r="HB851">
        <v>0</v>
      </c>
      <c r="HC851">
        <f t="shared" si="904"/>
        <v>0</v>
      </c>
      <c r="HE851" t="s">
        <v>3</v>
      </c>
      <c r="HF851" t="s">
        <v>3</v>
      </c>
      <c r="HM851" t="s">
        <v>3</v>
      </c>
      <c r="HN851" t="s">
        <v>3</v>
      </c>
      <c r="HO851" t="s">
        <v>3</v>
      </c>
      <c r="HP851" t="s">
        <v>3</v>
      </c>
      <c r="HQ851" t="s">
        <v>3</v>
      </c>
      <c r="IK851">
        <v>0</v>
      </c>
    </row>
    <row r="852" spans="1:245" x14ac:dyDescent="0.2">
      <c r="A852">
        <v>17</v>
      </c>
      <c r="B852">
        <v>1</v>
      </c>
      <c r="D852">
        <f>ROW(EtalonRes!A883)</f>
        <v>883</v>
      </c>
      <c r="E852" t="s">
        <v>3</v>
      </c>
      <c r="F852" t="s">
        <v>809</v>
      </c>
      <c r="G852" t="s">
        <v>810</v>
      </c>
      <c r="H852" t="s">
        <v>104</v>
      </c>
      <c r="I852">
        <f>ROUND((60+185+55+70+3107+538+791)*0.1/100,9)</f>
        <v>4.806</v>
      </c>
      <c r="J852">
        <v>0</v>
      </c>
      <c r="K852">
        <f>ROUND((60+185+55+70+3107+538+791)*0.1/100,9)</f>
        <v>4.806</v>
      </c>
      <c r="O852">
        <f t="shared" si="865"/>
        <v>979.47</v>
      </c>
      <c r="P852">
        <f t="shared" si="866"/>
        <v>1.83</v>
      </c>
      <c r="Q852">
        <f t="shared" si="867"/>
        <v>0</v>
      </c>
      <c r="R852">
        <f t="shared" si="868"/>
        <v>0</v>
      </c>
      <c r="S852">
        <f t="shared" si="869"/>
        <v>977.64</v>
      </c>
      <c r="T852">
        <f t="shared" si="870"/>
        <v>0</v>
      </c>
      <c r="U852">
        <f t="shared" si="871"/>
        <v>1.8262800000000001</v>
      </c>
      <c r="V852">
        <f t="shared" si="872"/>
        <v>0</v>
      </c>
      <c r="W852">
        <f t="shared" si="873"/>
        <v>0</v>
      </c>
      <c r="X852">
        <f t="shared" si="874"/>
        <v>684.35</v>
      </c>
      <c r="Y852">
        <f t="shared" si="875"/>
        <v>97.76</v>
      </c>
      <c r="AA852">
        <v>-1</v>
      </c>
      <c r="AB852">
        <f t="shared" si="876"/>
        <v>203.8</v>
      </c>
      <c r="AC852">
        <f t="shared" si="877"/>
        <v>0.38</v>
      </c>
      <c r="AD852">
        <f t="shared" si="878"/>
        <v>0</v>
      </c>
      <c r="AE852">
        <f t="shared" si="879"/>
        <v>0</v>
      </c>
      <c r="AF852">
        <f t="shared" si="880"/>
        <v>203.42</v>
      </c>
      <c r="AG852">
        <f t="shared" si="881"/>
        <v>0</v>
      </c>
      <c r="AH852">
        <f t="shared" si="882"/>
        <v>0.38</v>
      </c>
      <c r="AI852">
        <f t="shared" si="883"/>
        <v>0</v>
      </c>
      <c r="AJ852">
        <f t="shared" si="884"/>
        <v>0</v>
      </c>
      <c r="AK852">
        <v>203.8</v>
      </c>
      <c r="AL852">
        <v>0.38</v>
      </c>
      <c r="AM852">
        <v>0</v>
      </c>
      <c r="AN852">
        <v>0</v>
      </c>
      <c r="AO852">
        <v>203.42</v>
      </c>
      <c r="AP852">
        <v>0</v>
      </c>
      <c r="AQ852">
        <v>0.38</v>
      </c>
      <c r="AR852">
        <v>0</v>
      </c>
      <c r="AS852">
        <v>0</v>
      </c>
      <c r="AT852">
        <v>70</v>
      </c>
      <c r="AU852">
        <v>10</v>
      </c>
      <c r="AV852">
        <v>1</v>
      </c>
      <c r="AW852">
        <v>1</v>
      </c>
      <c r="AZ852">
        <v>1</v>
      </c>
      <c r="BA852">
        <v>1</v>
      </c>
      <c r="BB852">
        <v>1</v>
      </c>
      <c r="BC852">
        <v>1</v>
      </c>
      <c r="BD852" t="s">
        <v>3</v>
      </c>
      <c r="BE852" t="s">
        <v>3</v>
      </c>
      <c r="BF852" t="s">
        <v>3</v>
      </c>
      <c r="BG852" t="s">
        <v>3</v>
      </c>
      <c r="BH852">
        <v>0</v>
      </c>
      <c r="BI852">
        <v>4</v>
      </c>
      <c r="BJ852" t="s">
        <v>811</v>
      </c>
      <c r="BM852">
        <v>0</v>
      </c>
      <c r="BN852">
        <v>0</v>
      </c>
      <c r="BO852" t="s">
        <v>3</v>
      </c>
      <c r="BP852">
        <v>0</v>
      </c>
      <c r="BQ852">
        <v>1</v>
      </c>
      <c r="BR852">
        <v>0</v>
      </c>
      <c r="BS852">
        <v>1</v>
      </c>
      <c r="BT852">
        <v>1</v>
      </c>
      <c r="BU852">
        <v>1</v>
      </c>
      <c r="BV852">
        <v>1</v>
      </c>
      <c r="BW852">
        <v>1</v>
      </c>
      <c r="BX852">
        <v>1</v>
      </c>
      <c r="BY852" t="s">
        <v>3</v>
      </c>
      <c r="BZ852">
        <v>70</v>
      </c>
      <c r="CA852">
        <v>10</v>
      </c>
      <c r="CB852" t="s">
        <v>3</v>
      </c>
      <c r="CE852">
        <v>0</v>
      </c>
      <c r="CF852">
        <v>0</v>
      </c>
      <c r="CG852">
        <v>0</v>
      </c>
      <c r="CM852">
        <v>0</v>
      </c>
      <c r="CN852" t="s">
        <v>3</v>
      </c>
      <c r="CO852">
        <v>0</v>
      </c>
      <c r="CP852">
        <f t="shared" si="885"/>
        <v>979.47</v>
      </c>
      <c r="CQ852">
        <f t="shared" si="886"/>
        <v>0.38</v>
      </c>
      <c r="CR852">
        <f t="shared" si="887"/>
        <v>0</v>
      </c>
      <c r="CS852">
        <f t="shared" si="888"/>
        <v>0</v>
      </c>
      <c r="CT852">
        <f t="shared" si="889"/>
        <v>203.42</v>
      </c>
      <c r="CU852">
        <f t="shared" si="890"/>
        <v>0</v>
      </c>
      <c r="CV852">
        <f t="shared" si="891"/>
        <v>0.38</v>
      </c>
      <c r="CW852">
        <f t="shared" si="892"/>
        <v>0</v>
      </c>
      <c r="CX852">
        <f t="shared" si="893"/>
        <v>0</v>
      </c>
      <c r="CY852">
        <f t="shared" si="894"/>
        <v>684.34800000000007</v>
      </c>
      <c r="CZ852">
        <f t="shared" si="895"/>
        <v>97.763999999999996</v>
      </c>
      <c r="DC852" t="s">
        <v>3</v>
      </c>
      <c r="DD852" t="s">
        <v>3</v>
      </c>
      <c r="DE852" t="s">
        <v>3</v>
      </c>
      <c r="DF852" t="s">
        <v>3</v>
      </c>
      <c r="DG852" t="s">
        <v>3</v>
      </c>
      <c r="DH852" t="s">
        <v>3</v>
      </c>
      <c r="DI852" t="s">
        <v>3</v>
      </c>
      <c r="DJ852" t="s">
        <v>3</v>
      </c>
      <c r="DK852" t="s">
        <v>3</v>
      </c>
      <c r="DL852" t="s">
        <v>3</v>
      </c>
      <c r="DM852" t="s">
        <v>3</v>
      </c>
      <c r="DN852">
        <v>0</v>
      </c>
      <c r="DO852">
        <v>0</v>
      </c>
      <c r="DP852">
        <v>1</v>
      </c>
      <c r="DQ852">
        <v>1</v>
      </c>
      <c r="DU852">
        <v>1003</v>
      </c>
      <c r="DV852" t="s">
        <v>104</v>
      </c>
      <c r="DW852" t="s">
        <v>104</v>
      </c>
      <c r="DX852">
        <v>100</v>
      </c>
      <c r="DZ852" t="s">
        <v>3</v>
      </c>
      <c r="EA852" t="s">
        <v>3</v>
      </c>
      <c r="EB852" t="s">
        <v>3</v>
      </c>
      <c r="EC852" t="s">
        <v>3</v>
      </c>
      <c r="EE852">
        <v>1441815344</v>
      </c>
      <c r="EF852">
        <v>1</v>
      </c>
      <c r="EG852" t="s">
        <v>22</v>
      </c>
      <c r="EH852">
        <v>0</v>
      </c>
      <c r="EI852" t="s">
        <v>3</v>
      </c>
      <c r="EJ852">
        <v>4</v>
      </c>
      <c r="EK852">
        <v>0</v>
      </c>
      <c r="EL852" t="s">
        <v>23</v>
      </c>
      <c r="EM852" t="s">
        <v>24</v>
      </c>
      <c r="EO852" t="s">
        <v>3</v>
      </c>
      <c r="EQ852">
        <v>1024</v>
      </c>
      <c r="ER852">
        <v>203.8</v>
      </c>
      <c r="ES852">
        <v>0.38</v>
      </c>
      <c r="ET852">
        <v>0</v>
      </c>
      <c r="EU852">
        <v>0</v>
      </c>
      <c r="EV852">
        <v>203.42</v>
      </c>
      <c r="EW852">
        <v>0.38</v>
      </c>
      <c r="EX852">
        <v>0</v>
      </c>
      <c r="EY852">
        <v>0</v>
      </c>
      <c r="FQ852">
        <v>0</v>
      </c>
      <c r="FR852">
        <f t="shared" si="896"/>
        <v>0</v>
      </c>
      <c r="FS852">
        <v>0</v>
      </c>
      <c r="FX852">
        <v>70</v>
      </c>
      <c r="FY852">
        <v>10</v>
      </c>
      <c r="GA852" t="s">
        <v>3</v>
      </c>
      <c r="GD852">
        <v>0</v>
      </c>
      <c r="GF852">
        <v>1716780614</v>
      </c>
      <c r="GG852">
        <v>2</v>
      </c>
      <c r="GH852">
        <v>1</v>
      </c>
      <c r="GI852">
        <v>-2</v>
      </c>
      <c r="GJ852">
        <v>0</v>
      </c>
      <c r="GK852">
        <f>ROUND(R852*(R12)/100,2)</f>
        <v>0</v>
      </c>
      <c r="GL852">
        <f t="shared" si="897"/>
        <v>0</v>
      </c>
      <c r="GM852">
        <f t="shared" si="898"/>
        <v>1761.58</v>
      </c>
      <c r="GN852">
        <f t="shared" si="899"/>
        <v>0</v>
      </c>
      <c r="GO852">
        <f t="shared" si="900"/>
        <v>0</v>
      </c>
      <c r="GP852">
        <f t="shared" si="901"/>
        <v>1761.58</v>
      </c>
      <c r="GR852">
        <v>0</v>
      </c>
      <c r="GS852">
        <v>3</v>
      </c>
      <c r="GT852">
        <v>0</v>
      </c>
      <c r="GU852" t="s">
        <v>3</v>
      </c>
      <c r="GV852">
        <f t="shared" si="902"/>
        <v>0</v>
      </c>
      <c r="GW852">
        <v>1</v>
      </c>
      <c r="GX852">
        <f t="shared" si="903"/>
        <v>0</v>
      </c>
      <c r="HA852">
        <v>0</v>
      </c>
      <c r="HB852">
        <v>0</v>
      </c>
      <c r="HC852">
        <f t="shared" si="904"/>
        <v>0</v>
      </c>
      <c r="HE852" t="s">
        <v>3</v>
      </c>
      <c r="HF852" t="s">
        <v>3</v>
      </c>
      <c r="HM852" t="s">
        <v>3</v>
      </c>
      <c r="HN852" t="s">
        <v>3</v>
      </c>
      <c r="HO852" t="s">
        <v>3</v>
      </c>
      <c r="HP852" t="s">
        <v>3</v>
      </c>
      <c r="HQ852" t="s">
        <v>3</v>
      </c>
      <c r="IK852">
        <v>0</v>
      </c>
    </row>
    <row r="853" spans="1:245" x14ac:dyDescent="0.2">
      <c r="A853">
        <v>17</v>
      </c>
      <c r="B853">
        <v>1</v>
      </c>
      <c r="D853">
        <f>ROW(EtalonRes!A885)</f>
        <v>885</v>
      </c>
      <c r="E853" t="s">
        <v>812</v>
      </c>
      <c r="F853" t="s">
        <v>813</v>
      </c>
      <c r="G853" t="s">
        <v>814</v>
      </c>
      <c r="H853" t="s">
        <v>104</v>
      </c>
      <c r="I853">
        <f>ROUND((932+127+874)*0.2*0.1/100,9)</f>
        <v>0.3866</v>
      </c>
      <c r="J853">
        <v>0</v>
      </c>
      <c r="K853">
        <f>ROUND((932+127+874)*0.2*0.1/100,9)</f>
        <v>0.3866</v>
      </c>
      <c r="O853">
        <f t="shared" si="865"/>
        <v>2464.69</v>
      </c>
      <c r="P853">
        <f t="shared" si="866"/>
        <v>6.09</v>
      </c>
      <c r="Q853">
        <f t="shared" si="867"/>
        <v>0</v>
      </c>
      <c r="R853">
        <f t="shared" si="868"/>
        <v>0</v>
      </c>
      <c r="S853">
        <f t="shared" si="869"/>
        <v>2458.6</v>
      </c>
      <c r="T853">
        <f t="shared" si="870"/>
        <v>0</v>
      </c>
      <c r="U853">
        <f t="shared" si="871"/>
        <v>4.5928080000000007</v>
      </c>
      <c r="V853">
        <f t="shared" si="872"/>
        <v>0</v>
      </c>
      <c r="W853">
        <f t="shared" si="873"/>
        <v>0</v>
      </c>
      <c r="X853">
        <f t="shared" si="874"/>
        <v>1721.02</v>
      </c>
      <c r="Y853">
        <f t="shared" si="875"/>
        <v>245.86</v>
      </c>
      <c r="AA853">
        <v>1472506909</v>
      </c>
      <c r="AB853">
        <f t="shared" si="876"/>
        <v>6375.3</v>
      </c>
      <c r="AC853">
        <f t="shared" si="877"/>
        <v>15.76</v>
      </c>
      <c r="AD853">
        <f t="shared" si="878"/>
        <v>0</v>
      </c>
      <c r="AE853">
        <f t="shared" si="879"/>
        <v>0</v>
      </c>
      <c r="AF853">
        <f t="shared" si="880"/>
        <v>6359.54</v>
      </c>
      <c r="AG853">
        <f t="shared" si="881"/>
        <v>0</v>
      </c>
      <c r="AH853">
        <f t="shared" si="882"/>
        <v>11.88</v>
      </c>
      <c r="AI853">
        <f t="shared" si="883"/>
        <v>0</v>
      </c>
      <c r="AJ853">
        <f t="shared" si="884"/>
        <v>0</v>
      </c>
      <c r="AK853">
        <v>6375.3</v>
      </c>
      <c r="AL853">
        <v>15.76</v>
      </c>
      <c r="AM853">
        <v>0</v>
      </c>
      <c r="AN853">
        <v>0</v>
      </c>
      <c r="AO853">
        <v>6359.54</v>
      </c>
      <c r="AP853">
        <v>0</v>
      </c>
      <c r="AQ853">
        <v>11.88</v>
      </c>
      <c r="AR853">
        <v>0</v>
      </c>
      <c r="AS853">
        <v>0</v>
      </c>
      <c r="AT853">
        <v>70</v>
      </c>
      <c r="AU853">
        <v>10</v>
      </c>
      <c r="AV853">
        <v>1</v>
      </c>
      <c r="AW853">
        <v>1</v>
      </c>
      <c r="AZ853">
        <v>1</v>
      </c>
      <c r="BA853">
        <v>1</v>
      </c>
      <c r="BB853">
        <v>1</v>
      </c>
      <c r="BC853">
        <v>1</v>
      </c>
      <c r="BD853" t="s">
        <v>3</v>
      </c>
      <c r="BE853" t="s">
        <v>3</v>
      </c>
      <c r="BF853" t="s">
        <v>3</v>
      </c>
      <c r="BG853" t="s">
        <v>3</v>
      </c>
      <c r="BH853">
        <v>0</v>
      </c>
      <c r="BI853">
        <v>4</v>
      </c>
      <c r="BJ853" t="s">
        <v>815</v>
      </c>
      <c r="BM853">
        <v>0</v>
      </c>
      <c r="BN853">
        <v>0</v>
      </c>
      <c r="BO853" t="s">
        <v>3</v>
      </c>
      <c r="BP853">
        <v>0</v>
      </c>
      <c r="BQ853">
        <v>1</v>
      </c>
      <c r="BR853">
        <v>0</v>
      </c>
      <c r="BS853">
        <v>1</v>
      </c>
      <c r="BT853">
        <v>1</v>
      </c>
      <c r="BU853">
        <v>1</v>
      </c>
      <c r="BV853">
        <v>1</v>
      </c>
      <c r="BW853">
        <v>1</v>
      </c>
      <c r="BX853">
        <v>1</v>
      </c>
      <c r="BY853" t="s">
        <v>3</v>
      </c>
      <c r="BZ853">
        <v>70</v>
      </c>
      <c r="CA853">
        <v>10</v>
      </c>
      <c r="CB853" t="s">
        <v>3</v>
      </c>
      <c r="CE853">
        <v>0</v>
      </c>
      <c r="CF853">
        <v>0</v>
      </c>
      <c r="CG853">
        <v>0</v>
      </c>
      <c r="CM853">
        <v>0</v>
      </c>
      <c r="CN853" t="s">
        <v>3</v>
      </c>
      <c r="CO853">
        <v>0</v>
      </c>
      <c r="CP853">
        <f t="shared" si="885"/>
        <v>2464.69</v>
      </c>
      <c r="CQ853">
        <f t="shared" si="886"/>
        <v>15.76</v>
      </c>
      <c r="CR853">
        <f t="shared" si="887"/>
        <v>0</v>
      </c>
      <c r="CS853">
        <f t="shared" si="888"/>
        <v>0</v>
      </c>
      <c r="CT853">
        <f t="shared" si="889"/>
        <v>6359.54</v>
      </c>
      <c r="CU853">
        <f t="shared" si="890"/>
        <v>0</v>
      </c>
      <c r="CV853">
        <f t="shared" si="891"/>
        <v>11.88</v>
      </c>
      <c r="CW853">
        <f t="shared" si="892"/>
        <v>0</v>
      </c>
      <c r="CX853">
        <f t="shared" si="893"/>
        <v>0</v>
      </c>
      <c r="CY853">
        <f t="shared" si="894"/>
        <v>1721.02</v>
      </c>
      <c r="CZ853">
        <f t="shared" si="895"/>
        <v>245.86</v>
      </c>
      <c r="DC853" t="s">
        <v>3</v>
      </c>
      <c r="DD853" t="s">
        <v>3</v>
      </c>
      <c r="DE853" t="s">
        <v>3</v>
      </c>
      <c r="DF853" t="s">
        <v>3</v>
      </c>
      <c r="DG853" t="s">
        <v>3</v>
      </c>
      <c r="DH853" t="s">
        <v>3</v>
      </c>
      <c r="DI853" t="s">
        <v>3</v>
      </c>
      <c r="DJ853" t="s">
        <v>3</v>
      </c>
      <c r="DK853" t="s">
        <v>3</v>
      </c>
      <c r="DL853" t="s">
        <v>3</v>
      </c>
      <c r="DM853" t="s">
        <v>3</v>
      </c>
      <c r="DN853">
        <v>0</v>
      </c>
      <c r="DO853">
        <v>0</v>
      </c>
      <c r="DP853">
        <v>1</v>
      </c>
      <c r="DQ853">
        <v>1</v>
      </c>
      <c r="DU853">
        <v>1003</v>
      </c>
      <c r="DV853" t="s">
        <v>104</v>
      </c>
      <c r="DW853" t="s">
        <v>104</v>
      </c>
      <c r="DX853">
        <v>100</v>
      </c>
      <c r="DZ853" t="s">
        <v>3</v>
      </c>
      <c r="EA853" t="s">
        <v>3</v>
      </c>
      <c r="EB853" t="s">
        <v>3</v>
      </c>
      <c r="EC853" t="s">
        <v>3</v>
      </c>
      <c r="EE853">
        <v>1441815344</v>
      </c>
      <c r="EF853">
        <v>1</v>
      </c>
      <c r="EG853" t="s">
        <v>22</v>
      </c>
      <c r="EH853">
        <v>0</v>
      </c>
      <c r="EI853" t="s">
        <v>3</v>
      </c>
      <c r="EJ853">
        <v>4</v>
      </c>
      <c r="EK853">
        <v>0</v>
      </c>
      <c r="EL853" t="s">
        <v>23</v>
      </c>
      <c r="EM853" t="s">
        <v>24</v>
      </c>
      <c r="EO853" t="s">
        <v>3</v>
      </c>
      <c r="EQ853">
        <v>0</v>
      </c>
      <c r="ER853">
        <v>6375.3</v>
      </c>
      <c r="ES853">
        <v>15.76</v>
      </c>
      <c r="ET853">
        <v>0</v>
      </c>
      <c r="EU853">
        <v>0</v>
      </c>
      <c r="EV853">
        <v>6359.54</v>
      </c>
      <c r="EW853">
        <v>11.88</v>
      </c>
      <c r="EX853">
        <v>0</v>
      </c>
      <c r="EY853">
        <v>0</v>
      </c>
      <c r="FQ853">
        <v>0</v>
      </c>
      <c r="FR853">
        <f t="shared" si="896"/>
        <v>0</v>
      </c>
      <c r="FS853">
        <v>0</v>
      </c>
      <c r="FX853">
        <v>70</v>
      </c>
      <c r="FY853">
        <v>10</v>
      </c>
      <c r="GA853" t="s">
        <v>3</v>
      </c>
      <c r="GD853">
        <v>0</v>
      </c>
      <c r="GF853">
        <v>368761667</v>
      </c>
      <c r="GG853">
        <v>2</v>
      </c>
      <c r="GH853">
        <v>1</v>
      </c>
      <c r="GI853">
        <v>-2</v>
      </c>
      <c r="GJ853">
        <v>0</v>
      </c>
      <c r="GK853">
        <f>ROUND(R853*(R12)/100,2)</f>
        <v>0</v>
      </c>
      <c r="GL853">
        <f t="shared" si="897"/>
        <v>0</v>
      </c>
      <c r="GM853">
        <f t="shared" si="898"/>
        <v>4431.57</v>
      </c>
      <c r="GN853">
        <f t="shared" si="899"/>
        <v>0</v>
      </c>
      <c r="GO853">
        <f t="shared" si="900"/>
        <v>0</v>
      </c>
      <c r="GP853">
        <f t="shared" si="901"/>
        <v>4431.57</v>
      </c>
      <c r="GR853">
        <v>0</v>
      </c>
      <c r="GS853">
        <v>3</v>
      </c>
      <c r="GT853">
        <v>0</v>
      </c>
      <c r="GU853" t="s">
        <v>3</v>
      </c>
      <c r="GV853">
        <f t="shared" si="902"/>
        <v>0</v>
      </c>
      <c r="GW853">
        <v>1</v>
      </c>
      <c r="GX853">
        <f t="shared" si="903"/>
        <v>0</v>
      </c>
      <c r="HA853">
        <v>0</v>
      </c>
      <c r="HB853">
        <v>0</v>
      </c>
      <c r="HC853">
        <f t="shared" si="904"/>
        <v>0</v>
      </c>
      <c r="HE853" t="s">
        <v>3</v>
      </c>
      <c r="HF853" t="s">
        <v>3</v>
      </c>
      <c r="HM853" t="s">
        <v>3</v>
      </c>
      <c r="HN853" t="s">
        <v>3</v>
      </c>
      <c r="HO853" t="s">
        <v>3</v>
      </c>
      <c r="HP853" t="s">
        <v>3</v>
      </c>
      <c r="HQ853" t="s">
        <v>3</v>
      </c>
      <c r="IK853">
        <v>0</v>
      </c>
    </row>
    <row r="854" spans="1:245" x14ac:dyDescent="0.2">
      <c r="A854">
        <v>17</v>
      </c>
      <c r="B854">
        <v>1</v>
      </c>
      <c r="D854">
        <f>ROW(EtalonRes!A887)</f>
        <v>887</v>
      </c>
      <c r="E854" t="s">
        <v>816</v>
      </c>
      <c r="F854" t="s">
        <v>817</v>
      </c>
      <c r="G854" t="s">
        <v>818</v>
      </c>
      <c r="H854" t="s">
        <v>104</v>
      </c>
      <c r="I854">
        <f>ROUND((932+127+874)*0.2*0.1/100,9)</f>
        <v>0.3866</v>
      </c>
      <c r="J854">
        <v>0</v>
      </c>
      <c r="K854">
        <f>ROUND((932+127+874)*0.2*0.1/100,9)</f>
        <v>0.3866</v>
      </c>
      <c r="O854">
        <f t="shared" si="865"/>
        <v>547.66</v>
      </c>
      <c r="P854">
        <f t="shared" si="866"/>
        <v>1.31</v>
      </c>
      <c r="Q854">
        <f t="shared" si="867"/>
        <v>0</v>
      </c>
      <c r="R854">
        <f t="shared" si="868"/>
        <v>0</v>
      </c>
      <c r="S854">
        <f t="shared" si="869"/>
        <v>546.35</v>
      </c>
      <c r="T854">
        <f t="shared" si="870"/>
        <v>0</v>
      </c>
      <c r="U854">
        <f t="shared" si="871"/>
        <v>1.020624</v>
      </c>
      <c r="V854">
        <f t="shared" si="872"/>
        <v>0</v>
      </c>
      <c r="W854">
        <f t="shared" si="873"/>
        <v>0</v>
      </c>
      <c r="X854">
        <f t="shared" si="874"/>
        <v>382.45</v>
      </c>
      <c r="Y854">
        <f t="shared" si="875"/>
        <v>54.64</v>
      </c>
      <c r="AA854">
        <v>1472506909</v>
      </c>
      <c r="AB854">
        <f t="shared" si="876"/>
        <v>1416.61</v>
      </c>
      <c r="AC854">
        <f t="shared" si="877"/>
        <v>3.38</v>
      </c>
      <c r="AD854">
        <f t="shared" si="878"/>
        <v>0</v>
      </c>
      <c r="AE854">
        <f t="shared" si="879"/>
        <v>0</v>
      </c>
      <c r="AF854">
        <f t="shared" si="880"/>
        <v>1413.23</v>
      </c>
      <c r="AG854">
        <f t="shared" si="881"/>
        <v>0</v>
      </c>
      <c r="AH854">
        <f t="shared" si="882"/>
        <v>2.64</v>
      </c>
      <c r="AI854">
        <f t="shared" si="883"/>
        <v>0</v>
      </c>
      <c r="AJ854">
        <f t="shared" si="884"/>
        <v>0</v>
      </c>
      <c r="AK854">
        <v>1416.61</v>
      </c>
      <c r="AL854">
        <v>3.38</v>
      </c>
      <c r="AM854">
        <v>0</v>
      </c>
      <c r="AN854">
        <v>0</v>
      </c>
      <c r="AO854">
        <v>1413.23</v>
      </c>
      <c r="AP854">
        <v>0</v>
      </c>
      <c r="AQ854">
        <v>2.64</v>
      </c>
      <c r="AR854">
        <v>0</v>
      </c>
      <c r="AS854">
        <v>0</v>
      </c>
      <c r="AT854">
        <v>70</v>
      </c>
      <c r="AU854">
        <v>10</v>
      </c>
      <c r="AV854">
        <v>1</v>
      </c>
      <c r="AW854">
        <v>1</v>
      </c>
      <c r="AZ854">
        <v>1</v>
      </c>
      <c r="BA854">
        <v>1</v>
      </c>
      <c r="BB854">
        <v>1</v>
      </c>
      <c r="BC854">
        <v>1</v>
      </c>
      <c r="BD854" t="s">
        <v>3</v>
      </c>
      <c r="BE854" t="s">
        <v>3</v>
      </c>
      <c r="BF854" t="s">
        <v>3</v>
      </c>
      <c r="BG854" t="s">
        <v>3</v>
      </c>
      <c r="BH854">
        <v>0</v>
      </c>
      <c r="BI854">
        <v>4</v>
      </c>
      <c r="BJ854" t="s">
        <v>819</v>
      </c>
      <c r="BM854">
        <v>0</v>
      </c>
      <c r="BN854">
        <v>0</v>
      </c>
      <c r="BO854" t="s">
        <v>3</v>
      </c>
      <c r="BP854">
        <v>0</v>
      </c>
      <c r="BQ854">
        <v>1</v>
      </c>
      <c r="BR854">
        <v>0</v>
      </c>
      <c r="BS854">
        <v>1</v>
      </c>
      <c r="BT854">
        <v>1</v>
      </c>
      <c r="BU854">
        <v>1</v>
      </c>
      <c r="BV854">
        <v>1</v>
      </c>
      <c r="BW854">
        <v>1</v>
      </c>
      <c r="BX854">
        <v>1</v>
      </c>
      <c r="BY854" t="s">
        <v>3</v>
      </c>
      <c r="BZ854">
        <v>70</v>
      </c>
      <c r="CA854">
        <v>10</v>
      </c>
      <c r="CB854" t="s">
        <v>3</v>
      </c>
      <c r="CE854">
        <v>0</v>
      </c>
      <c r="CF854">
        <v>0</v>
      </c>
      <c r="CG854">
        <v>0</v>
      </c>
      <c r="CM854">
        <v>0</v>
      </c>
      <c r="CN854" t="s">
        <v>3</v>
      </c>
      <c r="CO854">
        <v>0</v>
      </c>
      <c r="CP854">
        <f t="shared" si="885"/>
        <v>547.66</v>
      </c>
      <c r="CQ854">
        <f t="shared" si="886"/>
        <v>3.38</v>
      </c>
      <c r="CR854">
        <f t="shared" si="887"/>
        <v>0</v>
      </c>
      <c r="CS854">
        <f t="shared" si="888"/>
        <v>0</v>
      </c>
      <c r="CT854">
        <f t="shared" si="889"/>
        <v>1413.23</v>
      </c>
      <c r="CU854">
        <f t="shared" si="890"/>
        <v>0</v>
      </c>
      <c r="CV854">
        <f t="shared" si="891"/>
        <v>2.64</v>
      </c>
      <c r="CW854">
        <f t="shared" si="892"/>
        <v>0</v>
      </c>
      <c r="CX854">
        <f t="shared" si="893"/>
        <v>0</v>
      </c>
      <c r="CY854">
        <f t="shared" si="894"/>
        <v>382.44499999999999</v>
      </c>
      <c r="CZ854">
        <f t="shared" si="895"/>
        <v>54.634999999999998</v>
      </c>
      <c r="DC854" t="s">
        <v>3</v>
      </c>
      <c r="DD854" t="s">
        <v>3</v>
      </c>
      <c r="DE854" t="s">
        <v>3</v>
      </c>
      <c r="DF854" t="s">
        <v>3</v>
      </c>
      <c r="DG854" t="s">
        <v>3</v>
      </c>
      <c r="DH854" t="s">
        <v>3</v>
      </c>
      <c r="DI854" t="s">
        <v>3</v>
      </c>
      <c r="DJ854" t="s">
        <v>3</v>
      </c>
      <c r="DK854" t="s">
        <v>3</v>
      </c>
      <c r="DL854" t="s">
        <v>3</v>
      </c>
      <c r="DM854" t="s">
        <v>3</v>
      </c>
      <c r="DN854">
        <v>0</v>
      </c>
      <c r="DO854">
        <v>0</v>
      </c>
      <c r="DP854">
        <v>1</v>
      </c>
      <c r="DQ854">
        <v>1</v>
      </c>
      <c r="DU854">
        <v>1003</v>
      </c>
      <c r="DV854" t="s">
        <v>104</v>
      </c>
      <c r="DW854" t="s">
        <v>104</v>
      </c>
      <c r="DX854">
        <v>100</v>
      </c>
      <c r="DZ854" t="s">
        <v>3</v>
      </c>
      <c r="EA854" t="s">
        <v>3</v>
      </c>
      <c r="EB854" t="s">
        <v>3</v>
      </c>
      <c r="EC854" t="s">
        <v>3</v>
      </c>
      <c r="EE854">
        <v>1441815344</v>
      </c>
      <c r="EF854">
        <v>1</v>
      </c>
      <c r="EG854" t="s">
        <v>22</v>
      </c>
      <c r="EH854">
        <v>0</v>
      </c>
      <c r="EI854" t="s">
        <v>3</v>
      </c>
      <c r="EJ854">
        <v>4</v>
      </c>
      <c r="EK854">
        <v>0</v>
      </c>
      <c r="EL854" t="s">
        <v>23</v>
      </c>
      <c r="EM854" t="s">
        <v>24</v>
      </c>
      <c r="EO854" t="s">
        <v>3</v>
      </c>
      <c r="EQ854">
        <v>0</v>
      </c>
      <c r="ER854">
        <v>1416.61</v>
      </c>
      <c r="ES854">
        <v>3.38</v>
      </c>
      <c r="ET854">
        <v>0</v>
      </c>
      <c r="EU854">
        <v>0</v>
      </c>
      <c r="EV854">
        <v>1413.23</v>
      </c>
      <c r="EW854">
        <v>2.64</v>
      </c>
      <c r="EX854">
        <v>0</v>
      </c>
      <c r="EY854">
        <v>0</v>
      </c>
      <c r="FQ854">
        <v>0</v>
      </c>
      <c r="FR854">
        <f t="shared" si="896"/>
        <v>0</v>
      </c>
      <c r="FS854">
        <v>0</v>
      </c>
      <c r="FX854">
        <v>70</v>
      </c>
      <c r="FY854">
        <v>10</v>
      </c>
      <c r="GA854" t="s">
        <v>3</v>
      </c>
      <c r="GD854">
        <v>0</v>
      </c>
      <c r="GF854">
        <v>-617648009</v>
      </c>
      <c r="GG854">
        <v>2</v>
      </c>
      <c r="GH854">
        <v>1</v>
      </c>
      <c r="GI854">
        <v>-2</v>
      </c>
      <c r="GJ854">
        <v>0</v>
      </c>
      <c r="GK854">
        <f>ROUND(R854*(R12)/100,2)</f>
        <v>0</v>
      </c>
      <c r="GL854">
        <f t="shared" si="897"/>
        <v>0</v>
      </c>
      <c r="GM854">
        <f t="shared" si="898"/>
        <v>984.75</v>
      </c>
      <c r="GN854">
        <f t="shared" si="899"/>
        <v>0</v>
      </c>
      <c r="GO854">
        <f t="shared" si="900"/>
        <v>0</v>
      </c>
      <c r="GP854">
        <f t="shared" si="901"/>
        <v>984.75</v>
      </c>
      <c r="GR854">
        <v>0</v>
      </c>
      <c r="GS854">
        <v>3</v>
      </c>
      <c r="GT854">
        <v>0</v>
      </c>
      <c r="GU854" t="s">
        <v>3</v>
      </c>
      <c r="GV854">
        <f t="shared" si="902"/>
        <v>0</v>
      </c>
      <c r="GW854">
        <v>1</v>
      </c>
      <c r="GX854">
        <f t="shared" si="903"/>
        <v>0</v>
      </c>
      <c r="HA854">
        <v>0</v>
      </c>
      <c r="HB854">
        <v>0</v>
      </c>
      <c r="HC854">
        <f t="shared" si="904"/>
        <v>0</v>
      </c>
      <c r="HE854" t="s">
        <v>3</v>
      </c>
      <c r="HF854" t="s">
        <v>3</v>
      </c>
      <c r="HM854" t="s">
        <v>3</v>
      </c>
      <c r="HN854" t="s">
        <v>3</v>
      </c>
      <c r="HO854" t="s">
        <v>3</v>
      </c>
      <c r="HP854" t="s">
        <v>3</v>
      </c>
      <c r="HQ854" t="s">
        <v>3</v>
      </c>
      <c r="IK854">
        <v>0</v>
      </c>
    </row>
    <row r="855" spans="1:245" x14ac:dyDescent="0.2">
      <c r="A855">
        <v>17</v>
      </c>
      <c r="B855">
        <v>1</v>
      </c>
      <c r="D855">
        <f>ROW(EtalonRes!A889)</f>
        <v>889</v>
      </c>
      <c r="E855" t="s">
        <v>3</v>
      </c>
      <c r="F855" t="s">
        <v>820</v>
      </c>
      <c r="G855" t="s">
        <v>821</v>
      </c>
      <c r="H855" t="s">
        <v>104</v>
      </c>
      <c r="I855">
        <f>ROUND((932+127+874)*0.1/100,9)</f>
        <v>1.9330000000000001</v>
      </c>
      <c r="J855">
        <v>0</v>
      </c>
      <c r="K855">
        <f>ROUND((932+127+874)*0.1/100,9)</f>
        <v>1.9330000000000001</v>
      </c>
      <c r="O855">
        <f t="shared" si="865"/>
        <v>414.64</v>
      </c>
      <c r="P855">
        <f t="shared" si="866"/>
        <v>0.73</v>
      </c>
      <c r="Q855">
        <f t="shared" si="867"/>
        <v>0</v>
      </c>
      <c r="R855">
        <f t="shared" si="868"/>
        <v>0</v>
      </c>
      <c r="S855">
        <f t="shared" si="869"/>
        <v>413.91</v>
      </c>
      <c r="T855">
        <f t="shared" si="870"/>
        <v>0</v>
      </c>
      <c r="U855">
        <f t="shared" si="871"/>
        <v>0.77320000000000011</v>
      </c>
      <c r="V855">
        <f t="shared" si="872"/>
        <v>0</v>
      </c>
      <c r="W855">
        <f t="shared" si="873"/>
        <v>0</v>
      </c>
      <c r="X855">
        <f t="shared" si="874"/>
        <v>289.74</v>
      </c>
      <c r="Y855">
        <f t="shared" si="875"/>
        <v>41.39</v>
      </c>
      <c r="AA855">
        <v>-1</v>
      </c>
      <c r="AB855">
        <f t="shared" si="876"/>
        <v>214.51</v>
      </c>
      <c r="AC855">
        <f t="shared" si="877"/>
        <v>0.38</v>
      </c>
      <c r="AD855">
        <f t="shared" si="878"/>
        <v>0</v>
      </c>
      <c r="AE855">
        <f t="shared" si="879"/>
        <v>0</v>
      </c>
      <c r="AF855">
        <f t="shared" si="880"/>
        <v>214.13</v>
      </c>
      <c r="AG855">
        <f t="shared" si="881"/>
        <v>0</v>
      </c>
      <c r="AH855">
        <f t="shared" si="882"/>
        <v>0.4</v>
      </c>
      <c r="AI855">
        <f t="shared" si="883"/>
        <v>0</v>
      </c>
      <c r="AJ855">
        <f t="shared" si="884"/>
        <v>0</v>
      </c>
      <c r="AK855">
        <v>214.51</v>
      </c>
      <c r="AL855">
        <v>0.38</v>
      </c>
      <c r="AM855">
        <v>0</v>
      </c>
      <c r="AN855">
        <v>0</v>
      </c>
      <c r="AO855">
        <v>214.13</v>
      </c>
      <c r="AP855">
        <v>0</v>
      </c>
      <c r="AQ855">
        <v>0.4</v>
      </c>
      <c r="AR855">
        <v>0</v>
      </c>
      <c r="AS855">
        <v>0</v>
      </c>
      <c r="AT855">
        <v>70</v>
      </c>
      <c r="AU855">
        <v>10</v>
      </c>
      <c r="AV855">
        <v>1</v>
      </c>
      <c r="AW855">
        <v>1</v>
      </c>
      <c r="AZ855">
        <v>1</v>
      </c>
      <c r="BA855">
        <v>1</v>
      </c>
      <c r="BB855">
        <v>1</v>
      </c>
      <c r="BC855">
        <v>1</v>
      </c>
      <c r="BD855" t="s">
        <v>3</v>
      </c>
      <c r="BE855" t="s">
        <v>3</v>
      </c>
      <c r="BF855" t="s">
        <v>3</v>
      </c>
      <c r="BG855" t="s">
        <v>3</v>
      </c>
      <c r="BH855">
        <v>0</v>
      </c>
      <c r="BI855">
        <v>4</v>
      </c>
      <c r="BJ855" t="s">
        <v>822</v>
      </c>
      <c r="BM855">
        <v>0</v>
      </c>
      <c r="BN855">
        <v>0</v>
      </c>
      <c r="BO855" t="s">
        <v>3</v>
      </c>
      <c r="BP855">
        <v>0</v>
      </c>
      <c r="BQ855">
        <v>1</v>
      </c>
      <c r="BR855">
        <v>0</v>
      </c>
      <c r="BS855">
        <v>1</v>
      </c>
      <c r="BT855">
        <v>1</v>
      </c>
      <c r="BU855">
        <v>1</v>
      </c>
      <c r="BV855">
        <v>1</v>
      </c>
      <c r="BW855">
        <v>1</v>
      </c>
      <c r="BX855">
        <v>1</v>
      </c>
      <c r="BY855" t="s">
        <v>3</v>
      </c>
      <c r="BZ855">
        <v>70</v>
      </c>
      <c r="CA855">
        <v>10</v>
      </c>
      <c r="CB855" t="s">
        <v>3</v>
      </c>
      <c r="CE855">
        <v>0</v>
      </c>
      <c r="CF855">
        <v>0</v>
      </c>
      <c r="CG855">
        <v>0</v>
      </c>
      <c r="CM855">
        <v>0</v>
      </c>
      <c r="CN855" t="s">
        <v>3</v>
      </c>
      <c r="CO855">
        <v>0</v>
      </c>
      <c r="CP855">
        <f t="shared" si="885"/>
        <v>414.64000000000004</v>
      </c>
      <c r="CQ855">
        <f t="shared" si="886"/>
        <v>0.38</v>
      </c>
      <c r="CR855">
        <f t="shared" si="887"/>
        <v>0</v>
      </c>
      <c r="CS855">
        <f t="shared" si="888"/>
        <v>0</v>
      </c>
      <c r="CT855">
        <f t="shared" si="889"/>
        <v>214.13</v>
      </c>
      <c r="CU855">
        <f t="shared" si="890"/>
        <v>0</v>
      </c>
      <c r="CV855">
        <f t="shared" si="891"/>
        <v>0.4</v>
      </c>
      <c r="CW855">
        <f t="shared" si="892"/>
        <v>0</v>
      </c>
      <c r="CX855">
        <f t="shared" si="893"/>
        <v>0</v>
      </c>
      <c r="CY855">
        <f t="shared" si="894"/>
        <v>289.73700000000002</v>
      </c>
      <c r="CZ855">
        <f t="shared" si="895"/>
        <v>41.391000000000005</v>
      </c>
      <c r="DC855" t="s">
        <v>3</v>
      </c>
      <c r="DD855" t="s">
        <v>3</v>
      </c>
      <c r="DE855" t="s">
        <v>3</v>
      </c>
      <c r="DF855" t="s">
        <v>3</v>
      </c>
      <c r="DG855" t="s">
        <v>3</v>
      </c>
      <c r="DH855" t="s">
        <v>3</v>
      </c>
      <c r="DI855" t="s">
        <v>3</v>
      </c>
      <c r="DJ855" t="s">
        <v>3</v>
      </c>
      <c r="DK855" t="s">
        <v>3</v>
      </c>
      <c r="DL855" t="s">
        <v>3</v>
      </c>
      <c r="DM855" t="s">
        <v>3</v>
      </c>
      <c r="DN855">
        <v>0</v>
      </c>
      <c r="DO855">
        <v>0</v>
      </c>
      <c r="DP855">
        <v>1</v>
      </c>
      <c r="DQ855">
        <v>1</v>
      </c>
      <c r="DU855">
        <v>1003</v>
      </c>
      <c r="DV855" t="s">
        <v>104</v>
      </c>
      <c r="DW855" t="s">
        <v>104</v>
      </c>
      <c r="DX855">
        <v>100</v>
      </c>
      <c r="DZ855" t="s">
        <v>3</v>
      </c>
      <c r="EA855" t="s">
        <v>3</v>
      </c>
      <c r="EB855" t="s">
        <v>3</v>
      </c>
      <c r="EC855" t="s">
        <v>3</v>
      </c>
      <c r="EE855">
        <v>1441815344</v>
      </c>
      <c r="EF855">
        <v>1</v>
      </c>
      <c r="EG855" t="s">
        <v>22</v>
      </c>
      <c r="EH855">
        <v>0</v>
      </c>
      <c r="EI855" t="s">
        <v>3</v>
      </c>
      <c r="EJ855">
        <v>4</v>
      </c>
      <c r="EK855">
        <v>0</v>
      </c>
      <c r="EL855" t="s">
        <v>23</v>
      </c>
      <c r="EM855" t="s">
        <v>24</v>
      </c>
      <c r="EO855" t="s">
        <v>3</v>
      </c>
      <c r="EQ855">
        <v>1024</v>
      </c>
      <c r="ER855">
        <v>214.51</v>
      </c>
      <c r="ES855">
        <v>0.38</v>
      </c>
      <c r="ET855">
        <v>0</v>
      </c>
      <c r="EU855">
        <v>0</v>
      </c>
      <c r="EV855">
        <v>214.13</v>
      </c>
      <c r="EW855">
        <v>0.4</v>
      </c>
      <c r="EX855">
        <v>0</v>
      </c>
      <c r="EY855">
        <v>0</v>
      </c>
      <c r="FQ855">
        <v>0</v>
      </c>
      <c r="FR855">
        <f t="shared" si="896"/>
        <v>0</v>
      </c>
      <c r="FS855">
        <v>0</v>
      </c>
      <c r="FX855">
        <v>70</v>
      </c>
      <c r="FY855">
        <v>10</v>
      </c>
      <c r="GA855" t="s">
        <v>3</v>
      </c>
      <c r="GD855">
        <v>0</v>
      </c>
      <c r="GF855">
        <v>-1123411238</v>
      </c>
      <c r="GG855">
        <v>2</v>
      </c>
      <c r="GH855">
        <v>1</v>
      </c>
      <c r="GI855">
        <v>-2</v>
      </c>
      <c r="GJ855">
        <v>0</v>
      </c>
      <c r="GK855">
        <f>ROUND(R855*(R12)/100,2)</f>
        <v>0</v>
      </c>
      <c r="GL855">
        <f t="shared" si="897"/>
        <v>0</v>
      </c>
      <c r="GM855">
        <f t="shared" si="898"/>
        <v>745.77</v>
      </c>
      <c r="GN855">
        <f t="shared" si="899"/>
        <v>0</v>
      </c>
      <c r="GO855">
        <f t="shared" si="900"/>
        <v>0</v>
      </c>
      <c r="GP855">
        <f t="shared" si="901"/>
        <v>745.77</v>
      </c>
      <c r="GR855">
        <v>0</v>
      </c>
      <c r="GS855">
        <v>3</v>
      </c>
      <c r="GT855">
        <v>0</v>
      </c>
      <c r="GU855" t="s">
        <v>3</v>
      </c>
      <c r="GV855">
        <f t="shared" si="902"/>
        <v>0</v>
      </c>
      <c r="GW855">
        <v>1</v>
      </c>
      <c r="GX855">
        <f t="shared" si="903"/>
        <v>0</v>
      </c>
      <c r="HA855">
        <v>0</v>
      </c>
      <c r="HB855">
        <v>0</v>
      </c>
      <c r="HC855">
        <f t="shared" si="904"/>
        <v>0</v>
      </c>
      <c r="HE855" t="s">
        <v>3</v>
      </c>
      <c r="HF855" t="s">
        <v>3</v>
      </c>
      <c r="HM855" t="s">
        <v>3</v>
      </c>
      <c r="HN855" t="s">
        <v>3</v>
      </c>
      <c r="HO855" t="s">
        <v>3</v>
      </c>
      <c r="HP855" t="s">
        <v>3</v>
      </c>
      <c r="HQ855" t="s">
        <v>3</v>
      </c>
      <c r="IK855">
        <v>0</v>
      </c>
    </row>
    <row r="856" spans="1:245" x14ac:dyDescent="0.2">
      <c r="A856">
        <v>17</v>
      </c>
      <c r="B856">
        <v>1</v>
      </c>
      <c r="D856">
        <f>ROW(EtalonRes!A891)</f>
        <v>891</v>
      </c>
      <c r="E856" t="s">
        <v>823</v>
      </c>
      <c r="F856" t="s">
        <v>824</v>
      </c>
      <c r="G856" t="s">
        <v>825</v>
      </c>
      <c r="H856" t="s">
        <v>104</v>
      </c>
      <c r="I856">
        <f>ROUND((303+611+412+186+360+111)*0.2*0.1/100,9)</f>
        <v>0.39660000000000001</v>
      </c>
      <c r="J856">
        <v>0</v>
      </c>
      <c r="K856">
        <f>ROUND((303+611+412+186+360+111)*0.2*0.1/100,9)</f>
        <v>0.39660000000000001</v>
      </c>
      <c r="O856">
        <f t="shared" si="865"/>
        <v>3103.01</v>
      </c>
      <c r="P856">
        <f t="shared" si="866"/>
        <v>7.59</v>
      </c>
      <c r="Q856">
        <f t="shared" si="867"/>
        <v>0</v>
      </c>
      <c r="R856">
        <f t="shared" si="868"/>
        <v>0</v>
      </c>
      <c r="S856">
        <f t="shared" si="869"/>
        <v>3095.42</v>
      </c>
      <c r="T856">
        <f t="shared" si="870"/>
        <v>0</v>
      </c>
      <c r="U856">
        <f t="shared" si="871"/>
        <v>5.7824280000000003</v>
      </c>
      <c r="V856">
        <f t="shared" si="872"/>
        <v>0</v>
      </c>
      <c r="W856">
        <f t="shared" si="873"/>
        <v>0</v>
      </c>
      <c r="X856">
        <f t="shared" si="874"/>
        <v>2166.79</v>
      </c>
      <c r="Y856">
        <f t="shared" si="875"/>
        <v>309.54000000000002</v>
      </c>
      <c r="AA856">
        <v>1472506909</v>
      </c>
      <c r="AB856">
        <f t="shared" si="876"/>
        <v>7824.02</v>
      </c>
      <c r="AC856">
        <f t="shared" si="877"/>
        <v>19.13</v>
      </c>
      <c r="AD856">
        <f t="shared" si="878"/>
        <v>0</v>
      </c>
      <c r="AE856">
        <f t="shared" si="879"/>
        <v>0</v>
      </c>
      <c r="AF856">
        <f t="shared" si="880"/>
        <v>7804.89</v>
      </c>
      <c r="AG856">
        <f t="shared" si="881"/>
        <v>0</v>
      </c>
      <c r="AH856">
        <f t="shared" si="882"/>
        <v>14.58</v>
      </c>
      <c r="AI856">
        <f t="shared" si="883"/>
        <v>0</v>
      </c>
      <c r="AJ856">
        <f t="shared" si="884"/>
        <v>0</v>
      </c>
      <c r="AK856">
        <v>7824.02</v>
      </c>
      <c r="AL856">
        <v>19.13</v>
      </c>
      <c r="AM856">
        <v>0</v>
      </c>
      <c r="AN856">
        <v>0</v>
      </c>
      <c r="AO856">
        <v>7804.89</v>
      </c>
      <c r="AP856">
        <v>0</v>
      </c>
      <c r="AQ856">
        <v>14.58</v>
      </c>
      <c r="AR856">
        <v>0</v>
      </c>
      <c r="AS856">
        <v>0</v>
      </c>
      <c r="AT856">
        <v>70</v>
      </c>
      <c r="AU856">
        <v>10</v>
      </c>
      <c r="AV856">
        <v>1</v>
      </c>
      <c r="AW856">
        <v>1</v>
      </c>
      <c r="AZ856">
        <v>1</v>
      </c>
      <c r="BA856">
        <v>1</v>
      </c>
      <c r="BB856">
        <v>1</v>
      </c>
      <c r="BC856">
        <v>1</v>
      </c>
      <c r="BD856" t="s">
        <v>3</v>
      </c>
      <c r="BE856" t="s">
        <v>3</v>
      </c>
      <c r="BF856" t="s">
        <v>3</v>
      </c>
      <c r="BG856" t="s">
        <v>3</v>
      </c>
      <c r="BH856">
        <v>0</v>
      </c>
      <c r="BI856">
        <v>4</v>
      </c>
      <c r="BJ856" t="s">
        <v>826</v>
      </c>
      <c r="BM856">
        <v>0</v>
      </c>
      <c r="BN856">
        <v>0</v>
      </c>
      <c r="BO856" t="s">
        <v>3</v>
      </c>
      <c r="BP856">
        <v>0</v>
      </c>
      <c r="BQ856">
        <v>1</v>
      </c>
      <c r="BR856">
        <v>0</v>
      </c>
      <c r="BS856">
        <v>1</v>
      </c>
      <c r="BT856">
        <v>1</v>
      </c>
      <c r="BU856">
        <v>1</v>
      </c>
      <c r="BV856">
        <v>1</v>
      </c>
      <c r="BW856">
        <v>1</v>
      </c>
      <c r="BX856">
        <v>1</v>
      </c>
      <c r="BY856" t="s">
        <v>3</v>
      </c>
      <c r="BZ856">
        <v>70</v>
      </c>
      <c r="CA856">
        <v>10</v>
      </c>
      <c r="CB856" t="s">
        <v>3</v>
      </c>
      <c r="CE856">
        <v>0</v>
      </c>
      <c r="CF856">
        <v>0</v>
      </c>
      <c r="CG856">
        <v>0</v>
      </c>
      <c r="CM856">
        <v>0</v>
      </c>
      <c r="CN856" t="s">
        <v>3</v>
      </c>
      <c r="CO856">
        <v>0</v>
      </c>
      <c r="CP856">
        <f t="shared" si="885"/>
        <v>3103.01</v>
      </c>
      <c r="CQ856">
        <f t="shared" si="886"/>
        <v>19.13</v>
      </c>
      <c r="CR856">
        <f t="shared" si="887"/>
        <v>0</v>
      </c>
      <c r="CS856">
        <f t="shared" si="888"/>
        <v>0</v>
      </c>
      <c r="CT856">
        <f t="shared" si="889"/>
        <v>7804.89</v>
      </c>
      <c r="CU856">
        <f t="shared" si="890"/>
        <v>0</v>
      </c>
      <c r="CV856">
        <f t="shared" si="891"/>
        <v>14.58</v>
      </c>
      <c r="CW856">
        <f t="shared" si="892"/>
        <v>0</v>
      </c>
      <c r="CX856">
        <f t="shared" si="893"/>
        <v>0</v>
      </c>
      <c r="CY856">
        <f t="shared" si="894"/>
        <v>2166.7939999999999</v>
      </c>
      <c r="CZ856">
        <f t="shared" si="895"/>
        <v>309.54200000000003</v>
      </c>
      <c r="DC856" t="s">
        <v>3</v>
      </c>
      <c r="DD856" t="s">
        <v>3</v>
      </c>
      <c r="DE856" t="s">
        <v>3</v>
      </c>
      <c r="DF856" t="s">
        <v>3</v>
      </c>
      <c r="DG856" t="s">
        <v>3</v>
      </c>
      <c r="DH856" t="s">
        <v>3</v>
      </c>
      <c r="DI856" t="s">
        <v>3</v>
      </c>
      <c r="DJ856" t="s">
        <v>3</v>
      </c>
      <c r="DK856" t="s">
        <v>3</v>
      </c>
      <c r="DL856" t="s">
        <v>3</v>
      </c>
      <c r="DM856" t="s">
        <v>3</v>
      </c>
      <c r="DN856">
        <v>0</v>
      </c>
      <c r="DO856">
        <v>0</v>
      </c>
      <c r="DP856">
        <v>1</v>
      </c>
      <c r="DQ856">
        <v>1</v>
      </c>
      <c r="DU856">
        <v>1003</v>
      </c>
      <c r="DV856" t="s">
        <v>104</v>
      </c>
      <c r="DW856" t="s">
        <v>104</v>
      </c>
      <c r="DX856">
        <v>100</v>
      </c>
      <c r="DZ856" t="s">
        <v>3</v>
      </c>
      <c r="EA856" t="s">
        <v>3</v>
      </c>
      <c r="EB856" t="s">
        <v>3</v>
      </c>
      <c r="EC856" t="s">
        <v>3</v>
      </c>
      <c r="EE856">
        <v>1441815344</v>
      </c>
      <c r="EF856">
        <v>1</v>
      </c>
      <c r="EG856" t="s">
        <v>22</v>
      </c>
      <c r="EH856">
        <v>0</v>
      </c>
      <c r="EI856" t="s">
        <v>3</v>
      </c>
      <c r="EJ856">
        <v>4</v>
      </c>
      <c r="EK856">
        <v>0</v>
      </c>
      <c r="EL856" t="s">
        <v>23</v>
      </c>
      <c r="EM856" t="s">
        <v>24</v>
      </c>
      <c r="EO856" t="s">
        <v>3</v>
      </c>
      <c r="EQ856">
        <v>0</v>
      </c>
      <c r="ER856">
        <v>7824.02</v>
      </c>
      <c r="ES856">
        <v>19.13</v>
      </c>
      <c r="ET856">
        <v>0</v>
      </c>
      <c r="EU856">
        <v>0</v>
      </c>
      <c r="EV856">
        <v>7804.89</v>
      </c>
      <c r="EW856">
        <v>14.58</v>
      </c>
      <c r="EX856">
        <v>0</v>
      </c>
      <c r="EY856">
        <v>0</v>
      </c>
      <c r="FQ856">
        <v>0</v>
      </c>
      <c r="FR856">
        <f t="shared" si="896"/>
        <v>0</v>
      </c>
      <c r="FS856">
        <v>0</v>
      </c>
      <c r="FX856">
        <v>70</v>
      </c>
      <c r="FY856">
        <v>10</v>
      </c>
      <c r="GA856" t="s">
        <v>3</v>
      </c>
      <c r="GD856">
        <v>0</v>
      </c>
      <c r="GF856">
        <v>880728415</v>
      </c>
      <c r="GG856">
        <v>2</v>
      </c>
      <c r="GH856">
        <v>1</v>
      </c>
      <c r="GI856">
        <v>-2</v>
      </c>
      <c r="GJ856">
        <v>0</v>
      </c>
      <c r="GK856">
        <f>ROUND(R856*(R12)/100,2)</f>
        <v>0</v>
      </c>
      <c r="GL856">
        <f t="shared" si="897"/>
        <v>0</v>
      </c>
      <c r="GM856">
        <f t="shared" si="898"/>
        <v>5579.34</v>
      </c>
      <c r="GN856">
        <f t="shared" si="899"/>
        <v>0</v>
      </c>
      <c r="GO856">
        <f t="shared" si="900"/>
        <v>0</v>
      </c>
      <c r="GP856">
        <f t="shared" si="901"/>
        <v>5579.34</v>
      </c>
      <c r="GR856">
        <v>0</v>
      </c>
      <c r="GS856">
        <v>3</v>
      </c>
      <c r="GT856">
        <v>0</v>
      </c>
      <c r="GU856" t="s">
        <v>3</v>
      </c>
      <c r="GV856">
        <f t="shared" si="902"/>
        <v>0</v>
      </c>
      <c r="GW856">
        <v>1</v>
      </c>
      <c r="GX856">
        <f t="shared" si="903"/>
        <v>0</v>
      </c>
      <c r="HA856">
        <v>0</v>
      </c>
      <c r="HB856">
        <v>0</v>
      </c>
      <c r="HC856">
        <f t="shared" si="904"/>
        <v>0</v>
      </c>
      <c r="HE856" t="s">
        <v>3</v>
      </c>
      <c r="HF856" t="s">
        <v>3</v>
      </c>
      <c r="HM856" t="s">
        <v>3</v>
      </c>
      <c r="HN856" t="s">
        <v>3</v>
      </c>
      <c r="HO856" t="s">
        <v>3</v>
      </c>
      <c r="HP856" t="s">
        <v>3</v>
      </c>
      <c r="HQ856" t="s">
        <v>3</v>
      </c>
      <c r="IK856">
        <v>0</v>
      </c>
    </row>
    <row r="857" spans="1:245" x14ac:dyDescent="0.2">
      <c r="A857">
        <v>17</v>
      </c>
      <c r="B857">
        <v>1</v>
      </c>
      <c r="D857">
        <f>ROW(EtalonRes!A893)</f>
        <v>893</v>
      </c>
      <c r="E857" t="s">
        <v>827</v>
      </c>
      <c r="F857" t="s">
        <v>828</v>
      </c>
      <c r="G857" t="s">
        <v>829</v>
      </c>
      <c r="H857" t="s">
        <v>104</v>
      </c>
      <c r="I857">
        <f>ROUND((303+611+412+186+360+111)*0.2*0.1/100,9)</f>
        <v>0.39660000000000001</v>
      </c>
      <c r="J857">
        <v>0</v>
      </c>
      <c r="K857">
        <f>ROUND((303+611+412+186+360+111)*0.2*0.1/100,9)</f>
        <v>0.39660000000000001</v>
      </c>
      <c r="O857">
        <f t="shared" si="865"/>
        <v>689.51</v>
      </c>
      <c r="P857">
        <f t="shared" si="866"/>
        <v>1.64</v>
      </c>
      <c r="Q857">
        <f t="shared" si="867"/>
        <v>0</v>
      </c>
      <c r="R857">
        <f t="shared" si="868"/>
        <v>0</v>
      </c>
      <c r="S857">
        <f t="shared" si="869"/>
        <v>687.87</v>
      </c>
      <c r="T857">
        <f t="shared" si="870"/>
        <v>0</v>
      </c>
      <c r="U857">
        <f t="shared" si="871"/>
        <v>1.2849840000000001</v>
      </c>
      <c r="V857">
        <f t="shared" si="872"/>
        <v>0</v>
      </c>
      <c r="W857">
        <f t="shared" si="873"/>
        <v>0</v>
      </c>
      <c r="X857">
        <f t="shared" si="874"/>
        <v>481.51</v>
      </c>
      <c r="Y857">
        <f t="shared" si="875"/>
        <v>68.790000000000006</v>
      </c>
      <c r="AA857">
        <v>1472506909</v>
      </c>
      <c r="AB857">
        <f t="shared" si="876"/>
        <v>1738.55</v>
      </c>
      <c r="AC857">
        <f t="shared" si="877"/>
        <v>4.13</v>
      </c>
      <c r="AD857">
        <f t="shared" si="878"/>
        <v>0</v>
      </c>
      <c r="AE857">
        <f t="shared" si="879"/>
        <v>0</v>
      </c>
      <c r="AF857">
        <f t="shared" si="880"/>
        <v>1734.42</v>
      </c>
      <c r="AG857">
        <f t="shared" si="881"/>
        <v>0</v>
      </c>
      <c r="AH857">
        <f t="shared" si="882"/>
        <v>3.24</v>
      </c>
      <c r="AI857">
        <f t="shared" si="883"/>
        <v>0</v>
      </c>
      <c r="AJ857">
        <f t="shared" si="884"/>
        <v>0</v>
      </c>
      <c r="AK857">
        <v>1738.55</v>
      </c>
      <c r="AL857">
        <v>4.13</v>
      </c>
      <c r="AM857">
        <v>0</v>
      </c>
      <c r="AN857">
        <v>0</v>
      </c>
      <c r="AO857">
        <v>1734.42</v>
      </c>
      <c r="AP857">
        <v>0</v>
      </c>
      <c r="AQ857">
        <v>3.24</v>
      </c>
      <c r="AR857">
        <v>0</v>
      </c>
      <c r="AS857">
        <v>0</v>
      </c>
      <c r="AT857">
        <v>70</v>
      </c>
      <c r="AU857">
        <v>10</v>
      </c>
      <c r="AV857">
        <v>1</v>
      </c>
      <c r="AW857">
        <v>1</v>
      </c>
      <c r="AZ857">
        <v>1</v>
      </c>
      <c r="BA857">
        <v>1</v>
      </c>
      <c r="BB857">
        <v>1</v>
      </c>
      <c r="BC857">
        <v>1</v>
      </c>
      <c r="BD857" t="s">
        <v>3</v>
      </c>
      <c r="BE857" t="s">
        <v>3</v>
      </c>
      <c r="BF857" t="s">
        <v>3</v>
      </c>
      <c r="BG857" t="s">
        <v>3</v>
      </c>
      <c r="BH857">
        <v>0</v>
      </c>
      <c r="BI857">
        <v>4</v>
      </c>
      <c r="BJ857" t="s">
        <v>830</v>
      </c>
      <c r="BM857">
        <v>0</v>
      </c>
      <c r="BN857">
        <v>0</v>
      </c>
      <c r="BO857" t="s">
        <v>3</v>
      </c>
      <c r="BP857">
        <v>0</v>
      </c>
      <c r="BQ857">
        <v>1</v>
      </c>
      <c r="BR857">
        <v>0</v>
      </c>
      <c r="BS857">
        <v>1</v>
      </c>
      <c r="BT857">
        <v>1</v>
      </c>
      <c r="BU857">
        <v>1</v>
      </c>
      <c r="BV857">
        <v>1</v>
      </c>
      <c r="BW857">
        <v>1</v>
      </c>
      <c r="BX857">
        <v>1</v>
      </c>
      <c r="BY857" t="s">
        <v>3</v>
      </c>
      <c r="BZ857">
        <v>70</v>
      </c>
      <c r="CA857">
        <v>10</v>
      </c>
      <c r="CB857" t="s">
        <v>3</v>
      </c>
      <c r="CE857">
        <v>0</v>
      </c>
      <c r="CF857">
        <v>0</v>
      </c>
      <c r="CG857">
        <v>0</v>
      </c>
      <c r="CM857">
        <v>0</v>
      </c>
      <c r="CN857" t="s">
        <v>3</v>
      </c>
      <c r="CO857">
        <v>0</v>
      </c>
      <c r="CP857">
        <f t="shared" si="885"/>
        <v>689.51</v>
      </c>
      <c r="CQ857">
        <f t="shared" si="886"/>
        <v>4.13</v>
      </c>
      <c r="CR857">
        <f t="shared" si="887"/>
        <v>0</v>
      </c>
      <c r="CS857">
        <f t="shared" si="888"/>
        <v>0</v>
      </c>
      <c r="CT857">
        <f t="shared" si="889"/>
        <v>1734.42</v>
      </c>
      <c r="CU857">
        <f t="shared" si="890"/>
        <v>0</v>
      </c>
      <c r="CV857">
        <f t="shared" si="891"/>
        <v>3.24</v>
      </c>
      <c r="CW857">
        <f t="shared" si="892"/>
        <v>0</v>
      </c>
      <c r="CX857">
        <f t="shared" si="893"/>
        <v>0</v>
      </c>
      <c r="CY857">
        <f t="shared" si="894"/>
        <v>481.50900000000001</v>
      </c>
      <c r="CZ857">
        <f t="shared" si="895"/>
        <v>68.786999999999992</v>
      </c>
      <c r="DC857" t="s">
        <v>3</v>
      </c>
      <c r="DD857" t="s">
        <v>3</v>
      </c>
      <c r="DE857" t="s">
        <v>3</v>
      </c>
      <c r="DF857" t="s">
        <v>3</v>
      </c>
      <c r="DG857" t="s">
        <v>3</v>
      </c>
      <c r="DH857" t="s">
        <v>3</v>
      </c>
      <c r="DI857" t="s">
        <v>3</v>
      </c>
      <c r="DJ857" t="s">
        <v>3</v>
      </c>
      <c r="DK857" t="s">
        <v>3</v>
      </c>
      <c r="DL857" t="s">
        <v>3</v>
      </c>
      <c r="DM857" t="s">
        <v>3</v>
      </c>
      <c r="DN857">
        <v>0</v>
      </c>
      <c r="DO857">
        <v>0</v>
      </c>
      <c r="DP857">
        <v>1</v>
      </c>
      <c r="DQ857">
        <v>1</v>
      </c>
      <c r="DU857">
        <v>1003</v>
      </c>
      <c r="DV857" t="s">
        <v>104</v>
      </c>
      <c r="DW857" t="s">
        <v>104</v>
      </c>
      <c r="DX857">
        <v>100</v>
      </c>
      <c r="DZ857" t="s">
        <v>3</v>
      </c>
      <c r="EA857" t="s">
        <v>3</v>
      </c>
      <c r="EB857" t="s">
        <v>3</v>
      </c>
      <c r="EC857" t="s">
        <v>3</v>
      </c>
      <c r="EE857">
        <v>1441815344</v>
      </c>
      <c r="EF857">
        <v>1</v>
      </c>
      <c r="EG857" t="s">
        <v>22</v>
      </c>
      <c r="EH857">
        <v>0</v>
      </c>
      <c r="EI857" t="s">
        <v>3</v>
      </c>
      <c r="EJ857">
        <v>4</v>
      </c>
      <c r="EK857">
        <v>0</v>
      </c>
      <c r="EL857" t="s">
        <v>23</v>
      </c>
      <c r="EM857" t="s">
        <v>24</v>
      </c>
      <c r="EO857" t="s">
        <v>3</v>
      </c>
      <c r="EQ857">
        <v>0</v>
      </c>
      <c r="ER857">
        <v>1738.55</v>
      </c>
      <c r="ES857">
        <v>4.13</v>
      </c>
      <c r="ET857">
        <v>0</v>
      </c>
      <c r="EU857">
        <v>0</v>
      </c>
      <c r="EV857">
        <v>1734.42</v>
      </c>
      <c r="EW857">
        <v>3.24</v>
      </c>
      <c r="EX857">
        <v>0</v>
      </c>
      <c r="EY857">
        <v>0</v>
      </c>
      <c r="FQ857">
        <v>0</v>
      </c>
      <c r="FR857">
        <f t="shared" si="896"/>
        <v>0</v>
      </c>
      <c r="FS857">
        <v>0</v>
      </c>
      <c r="FX857">
        <v>70</v>
      </c>
      <c r="FY857">
        <v>10</v>
      </c>
      <c r="GA857" t="s">
        <v>3</v>
      </c>
      <c r="GD857">
        <v>0</v>
      </c>
      <c r="GF857">
        <v>-1798664512</v>
      </c>
      <c r="GG857">
        <v>2</v>
      </c>
      <c r="GH857">
        <v>1</v>
      </c>
      <c r="GI857">
        <v>-2</v>
      </c>
      <c r="GJ857">
        <v>0</v>
      </c>
      <c r="GK857">
        <f>ROUND(R857*(R12)/100,2)</f>
        <v>0</v>
      </c>
      <c r="GL857">
        <f t="shared" si="897"/>
        <v>0</v>
      </c>
      <c r="GM857">
        <f t="shared" si="898"/>
        <v>1239.81</v>
      </c>
      <c r="GN857">
        <f t="shared" si="899"/>
        <v>0</v>
      </c>
      <c r="GO857">
        <f t="shared" si="900"/>
        <v>0</v>
      </c>
      <c r="GP857">
        <f t="shared" si="901"/>
        <v>1239.81</v>
      </c>
      <c r="GR857">
        <v>0</v>
      </c>
      <c r="GS857">
        <v>3</v>
      </c>
      <c r="GT857">
        <v>0</v>
      </c>
      <c r="GU857" t="s">
        <v>3</v>
      </c>
      <c r="GV857">
        <f t="shared" si="902"/>
        <v>0</v>
      </c>
      <c r="GW857">
        <v>1</v>
      </c>
      <c r="GX857">
        <f t="shared" si="903"/>
        <v>0</v>
      </c>
      <c r="HA857">
        <v>0</v>
      </c>
      <c r="HB857">
        <v>0</v>
      </c>
      <c r="HC857">
        <f t="shared" si="904"/>
        <v>0</v>
      </c>
      <c r="HE857" t="s">
        <v>3</v>
      </c>
      <c r="HF857" t="s">
        <v>3</v>
      </c>
      <c r="HM857" t="s">
        <v>3</v>
      </c>
      <c r="HN857" t="s">
        <v>3</v>
      </c>
      <c r="HO857" t="s">
        <v>3</v>
      </c>
      <c r="HP857" t="s">
        <v>3</v>
      </c>
      <c r="HQ857" t="s">
        <v>3</v>
      </c>
      <c r="IK857">
        <v>0</v>
      </c>
    </row>
    <row r="858" spans="1:245" x14ac:dyDescent="0.2">
      <c r="A858">
        <v>17</v>
      </c>
      <c r="B858">
        <v>1</v>
      </c>
      <c r="D858">
        <f>ROW(EtalonRes!A895)</f>
        <v>895</v>
      </c>
      <c r="E858" t="s">
        <v>3</v>
      </c>
      <c r="F858" t="s">
        <v>831</v>
      </c>
      <c r="G858" t="s">
        <v>832</v>
      </c>
      <c r="H858" t="s">
        <v>104</v>
      </c>
      <c r="I858">
        <f>ROUND((303+611+412+186+360+111)*0.1/100,9)</f>
        <v>1.9830000000000001</v>
      </c>
      <c r="J858">
        <v>0</v>
      </c>
      <c r="K858">
        <f>ROUND((303+611+412+186+360+111)*0.1/100,9)</f>
        <v>1.9830000000000001</v>
      </c>
      <c r="O858">
        <f t="shared" si="865"/>
        <v>521.65</v>
      </c>
      <c r="P858">
        <f t="shared" si="866"/>
        <v>1.49</v>
      </c>
      <c r="Q858">
        <f t="shared" si="867"/>
        <v>0</v>
      </c>
      <c r="R858">
        <f t="shared" si="868"/>
        <v>0</v>
      </c>
      <c r="S858">
        <f t="shared" si="869"/>
        <v>520.16</v>
      </c>
      <c r="T858">
        <f t="shared" si="870"/>
        <v>0</v>
      </c>
      <c r="U858">
        <f t="shared" si="871"/>
        <v>0.97167000000000003</v>
      </c>
      <c r="V858">
        <f t="shared" si="872"/>
        <v>0</v>
      </c>
      <c r="W858">
        <f t="shared" si="873"/>
        <v>0</v>
      </c>
      <c r="X858">
        <f t="shared" si="874"/>
        <v>364.11</v>
      </c>
      <c r="Y858">
        <f t="shared" si="875"/>
        <v>52.02</v>
      </c>
      <c r="AA858">
        <v>-1</v>
      </c>
      <c r="AB858">
        <f t="shared" si="876"/>
        <v>263.06</v>
      </c>
      <c r="AC858">
        <f t="shared" si="877"/>
        <v>0.75</v>
      </c>
      <c r="AD858">
        <f t="shared" si="878"/>
        <v>0</v>
      </c>
      <c r="AE858">
        <f t="shared" si="879"/>
        <v>0</v>
      </c>
      <c r="AF858">
        <f t="shared" si="880"/>
        <v>262.31</v>
      </c>
      <c r="AG858">
        <f t="shared" si="881"/>
        <v>0</v>
      </c>
      <c r="AH858">
        <f t="shared" si="882"/>
        <v>0.49</v>
      </c>
      <c r="AI858">
        <f t="shared" si="883"/>
        <v>0</v>
      </c>
      <c r="AJ858">
        <f t="shared" si="884"/>
        <v>0</v>
      </c>
      <c r="AK858">
        <v>263.06</v>
      </c>
      <c r="AL858">
        <v>0.75</v>
      </c>
      <c r="AM858">
        <v>0</v>
      </c>
      <c r="AN858">
        <v>0</v>
      </c>
      <c r="AO858">
        <v>262.31</v>
      </c>
      <c r="AP858">
        <v>0</v>
      </c>
      <c r="AQ858">
        <v>0.49</v>
      </c>
      <c r="AR858">
        <v>0</v>
      </c>
      <c r="AS858">
        <v>0</v>
      </c>
      <c r="AT858">
        <v>70</v>
      </c>
      <c r="AU858">
        <v>10</v>
      </c>
      <c r="AV858">
        <v>1</v>
      </c>
      <c r="AW858">
        <v>1</v>
      </c>
      <c r="AZ858">
        <v>1</v>
      </c>
      <c r="BA858">
        <v>1</v>
      </c>
      <c r="BB858">
        <v>1</v>
      </c>
      <c r="BC858">
        <v>1</v>
      </c>
      <c r="BD858" t="s">
        <v>3</v>
      </c>
      <c r="BE858" t="s">
        <v>3</v>
      </c>
      <c r="BF858" t="s">
        <v>3</v>
      </c>
      <c r="BG858" t="s">
        <v>3</v>
      </c>
      <c r="BH858">
        <v>0</v>
      </c>
      <c r="BI858">
        <v>4</v>
      </c>
      <c r="BJ858" t="s">
        <v>833</v>
      </c>
      <c r="BM858">
        <v>0</v>
      </c>
      <c r="BN858">
        <v>0</v>
      </c>
      <c r="BO858" t="s">
        <v>3</v>
      </c>
      <c r="BP858">
        <v>0</v>
      </c>
      <c r="BQ858">
        <v>1</v>
      </c>
      <c r="BR858">
        <v>0</v>
      </c>
      <c r="BS858">
        <v>1</v>
      </c>
      <c r="BT858">
        <v>1</v>
      </c>
      <c r="BU858">
        <v>1</v>
      </c>
      <c r="BV858">
        <v>1</v>
      </c>
      <c r="BW858">
        <v>1</v>
      </c>
      <c r="BX858">
        <v>1</v>
      </c>
      <c r="BY858" t="s">
        <v>3</v>
      </c>
      <c r="BZ858">
        <v>70</v>
      </c>
      <c r="CA858">
        <v>10</v>
      </c>
      <c r="CB858" t="s">
        <v>3</v>
      </c>
      <c r="CE858">
        <v>0</v>
      </c>
      <c r="CF858">
        <v>0</v>
      </c>
      <c r="CG858">
        <v>0</v>
      </c>
      <c r="CM858">
        <v>0</v>
      </c>
      <c r="CN858" t="s">
        <v>3</v>
      </c>
      <c r="CO858">
        <v>0</v>
      </c>
      <c r="CP858">
        <f t="shared" si="885"/>
        <v>521.65</v>
      </c>
      <c r="CQ858">
        <f t="shared" si="886"/>
        <v>0.75</v>
      </c>
      <c r="CR858">
        <f t="shared" si="887"/>
        <v>0</v>
      </c>
      <c r="CS858">
        <f t="shared" si="888"/>
        <v>0</v>
      </c>
      <c r="CT858">
        <f t="shared" si="889"/>
        <v>262.31</v>
      </c>
      <c r="CU858">
        <f t="shared" si="890"/>
        <v>0</v>
      </c>
      <c r="CV858">
        <f t="shared" si="891"/>
        <v>0.49</v>
      </c>
      <c r="CW858">
        <f t="shared" si="892"/>
        <v>0</v>
      </c>
      <c r="CX858">
        <f t="shared" si="893"/>
        <v>0</v>
      </c>
      <c r="CY858">
        <f t="shared" si="894"/>
        <v>364.11199999999997</v>
      </c>
      <c r="CZ858">
        <f t="shared" si="895"/>
        <v>52.015999999999991</v>
      </c>
      <c r="DC858" t="s">
        <v>3</v>
      </c>
      <c r="DD858" t="s">
        <v>3</v>
      </c>
      <c r="DE858" t="s">
        <v>3</v>
      </c>
      <c r="DF858" t="s">
        <v>3</v>
      </c>
      <c r="DG858" t="s">
        <v>3</v>
      </c>
      <c r="DH858" t="s">
        <v>3</v>
      </c>
      <c r="DI858" t="s">
        <v>3</v>
      </c>
      <c r="DJ858" t="s">
        <v>3</v>
      </c>
      <c r="DK858" t="s">
        <v>3</v>
      </c>
      <c r="DL858" t="s">
        <v>3</v>
      </c>
      <c r="DM858" t="s">
        <v>3</v>
      </c>
      <c r="DN858">
        <v>0</v>
      </c>
      <c r="DO858">
        <v>0</v>
      </c>
      <c r="DP858">
        <v>1</v>
      </c>
      <c r="DQ858">
        <v>1</v>
      </c>
      <c r="DU858">
        <v>1003</v>
      </c>
      <c r="DV858" t="s">
        <v>104</v>
      </c>
      <c r="DW858" t="s">
        <v>104</v>
      </c>
      <c r="DX858">
        <v>100</v>
      </c>
      <c r="DZ858" t="s">
        <v>3</v>
      </c>
      <c r="EA858" t="s">
        <v>3</v>
      </c>
      <c r="EB858" t="s">
        <v>3</v>
      </c>
      <c r="EC858" t="s">
        <v>3</v>
      </c>
      <c r="EE858">
        <v>1441815344</v>
      </c>
      <c r="EF858">
        <v>1</v>
      </c>
      <c r="EG858" t="s">
        <v>22</v>
      </c>
      <c r="EH858">
        <v>0</v>
      </c>
      <c r="EI858" t="s">
        <v>3</v>
      </c>
      <c r="EJ858">
        <v>4</v>
      </c>
      <c r="EK858">
        <v>0</v>
      </c>
      <c r="EL858" t="s">
        <v>23</v>
      </c>
      <c r="EM858" t="s">
        <v>24</v>
      </c>
      <c r="EO858" t="s">
        <v>3</v>
      </c>
      <c r="EQ858">
        <v>1024</v>
      </c>
      <c r="ER858">
        <v>263.06</v>
      </c>
      <c r="ES858">
        <v>0.75</v>
      </c>
      <c r="ET858">
        <v>0</v>
      </c>
      <c r="EU858">
        <v>0</v>
      </c>
      <c r="EV858">
        <v>262.31</v>
      </c>
      <c r="EW858">
        <v>0.49</v>
      </c>
      <c r="EX858">
        <v>0</v>
      </c>
      <c r="EY858">
        <v>0</v>
      </c>
      <c r="FQ858">
        <v>0</v>
      </c>
      <c r="FR858">
        <f t="shared" si="896"/>
        <v>0</v>
      </c>
      <c r="FS858">
        <v>0</v>
      </c>
      <c r="FX858">
        <v>70</v>
      </c>
      <c r="FY858">
        <v>10</v>
      </c>
      <c r="GA858" t="s">
        <v>3</v>
      </c>
      <c r="GD858">
        <v>0</v>
      </c>
      <c r="GF858">
        <v>-1423982978</v>
      </c>
      <c r="GG858">
        <v>2</v>
      </c>
      <c r="GH858">
        <v>1</v>
      </c>
      <c r="GI858">
        <v>-2</v>
      </c>
      <c r="GJ858">
        <v>0</v>
      </c>
      <c r="GK858">
        <f>ROUND(R858*(R12)/100,2)</f>
        <v>0</v>
      </c>
      <c r="GL858">
        <f t="shared" si="897"/>
        <v>0</v>
      </c>
      <c r="GM858">
        <f t="shared" si="898"/>
        <v>937.78</v>
      </c>
      <c r="GN858">
        <f t="shared" si="899"/>
        <v>0</v>
      </c>
      <c r="GO858">
        <f t="shared" si="900"/>
        <v>0</v>
      </c>
      <c r="GP858">
        <f t="shared" si="901"/>
        <v>937.78</v>
      </c>
      <c r="GR858">
        <v>0</v>
      </c>
      <c r="GS858">
        <v>3</v>
      </c>
      <c r="GT858">
        <v>0</v>
      </c>
      <c r="GU858" t="s">
        <v>3</v>
      </c>
      <c r="GV858">
        <f t="shared" si="902"/>
        <v>0</v>
      </c>
      <c r="GW858">
        <v>1</v>
      </c>
      <c r="GX858">
        <f t="shared" si="903"/>
        <v>0</v>
      </c>
      <c r="HA858">
        <v>0</v>
      </c>
      <c r="HB858">
        <v>0</v>
      </c>
      <c r="HC858">
        <f t="shared" si="904"/>
        <v>0</v>
      </c>
      <c r="HE858" t="s">
        <v>3</v>
      </c>
      <c r="HF858" t="s">
        <v>3</v>
      </c>
      <c r="HM858" t="s">
        <v>3</v>
      </c>
      <c r="HN858" t="s">
        <v>3</v>
      </c>
      <c r="HO858" t="s">
        <v>3</v>
      </c>
      <c r="HP858" t="s">
        <v>3</v>
      </c>
      <c r="HQ858" t="s">
        <v>3</v>
      </c>
      <c r="IK858">
        <v>0</v>
      </c>
    </row>
    <row r="860" spans="1:245" x14ac:dyDescent="0.2">
      <c r="A860" s="2">
        <v>51</v>
      </c>
      <c r="B860" s="2">
        <f>B730</f>
        <v>1</v>
      </c>
      <c r="C860" s="2">
        <f>A730</f>
        <v>5</v>
      </c>
      <c r="D860" s="2">
        <f>ROW(A730)</f>
        <v>730</v>
      </c>
      <c r="E860" s="2"/>
      <c r="F860" s="2" t="str">
        <f>IF(F730&lt;&gt;"",F730,"")</f>
        <v>Новый подраздел</v>
      </c>
      <c r="G860" s="2" t="str">
        <f>IF(G730&lt;&gt;"",G730,"")</f>
        <v>Электроснабжение</v>
      </c>
      <c r="H860" s="2">
        <v>0</v>
      </c>
      <c r="I860" s="2"/>
      <c r="J860" s="2"/>
      <c r="K860" s="2"/>
      <c r="L860" s="2"/>
      <c r="M860" s="2"/>
      <c r="N860" s="2"/>
      <c r="O860" s="2">
        <f t="shared" ref="O860:T860" si="905">ROUND(AB860,2)</f>
        <v>726900.53</v>
      </c>
      <c r="P860" s="2">
        <f t="shared" si="905"/>
        <v>11659.14</v>
      </c>
      <c r="Q860" s="2">
        <f t="shared" si="905"/>
        <v>327.06</v>
      </c>
      <c r="R860" s="2">
        <f t="shared" si="905"/>
        <v>207.38</v>
      </c>
      <c r="S860" s="2">
        <f t="shared" si="905"/>
        <v>714914.33</v>
      </c>
      <c r="T860" s="2">
        <f t="shared" si="905"/>
        <v>0</v>
      </c>
      <c r="U860" s="2">
        <f>AH860</f>
        <v>1192.5978280000002</v>
      </c>
      <c r="V860" s="2">
        <f>AI860</f>
        <v>0</v>
      </c>
      <c r="W860" s="2">
        <f>ROUND(AJ860,2)</f>
        <v>0</v>
      </c>
      <c r="X860" s="2">
        <f>ROUND(AK860,2)</f>
        <v>500440.04</v>
      </c>
      <c r="Y860" s="2">
        <f>ROUND(AL860,2)</f>
        <v>71491.42</v>
      </c>
      <c r="Z860" s="2"/>
      <c r="AA860" s="2"/>
      <c r="AB860" s="2">
        <f>ROUND(SUMIF(AA734:AA858,"=1472506909",O734:O858),2)</f>
        <v>726900.53</v>
      </c>
      <c r="AC860" s="2">
        <f>ROUND(SUMIF(AA734:AA858,"=1472506909",P734:P858),2)</f>
        <v>11659.14</v>
      </c>
      <c r="AD860" s="2">
        <f>ROUND(SUMIF(AA734:AA858,"=1472506909",Q734:Q858),2)</f>
        <v>327.06</v>
      </c>
      <c r="AE860" s="2">
        <f>ROUND(SUMIF(AA734:AA858,"=1472506909",R734:R858),2)</f>
        <v>207.38</v>
      </c>
      <c r="AF860" s="2">
        <f>ROUND(SUMIF(AA734:AA858,"=1472506909",S734:S858),2)</f>
        <v>714914.33</v>
      </c>
      <c r="AG860" s="2">
        <f>ROUND(SUMIF(AA734:AA858,"=1472506909",T734:T858),2)</f>
        <v>0</v>
      </c>
      <c r="AH860" s="2">
        <f>SUMIF(AA734:AA858,"=1472506909",U734:U858)</f>
        <v>1192.5978280000002</v>
      </c>
      <c r="AI860" s="2">
        <f>SUMIF(AA734:AA858,"=1472506909",V734:V858)</f>
        <v>0</v>
      </c>
      <c r="AJ860" s="2">
        <f>ROUND(SUMIF(AA734:AA858,"=1472506909",W734:W858),2)</f>
        <v>0</v>
      </c>
      <c r="AK860" s="2">
        <f>ROUND(SUMIF(AA734:AA858,"=1472506909",X734:X858),2)</f>
        <v>500440.04</v>
      </c>
      <c r="AL860" s="2">
        <f>ROUND(SUMIF(AA734:AA858,"=1472506909",Y734:Y858),2)</f>
        <v>71491.42</v>
      </c>
      <c r="AM860" s="2"/>
      <c r="AN860" s="2"/>
      <c r="AO860" s="2">
        <f t="shared" ref="AO860:BD860" si="906">ROUND(BX860,2)</f>
        <v>0</v>
      </c>
      <c r="AP860" s="2">
        <f t="shared" si="906"/>
        <v>0</v>
      </c>
      <c r="AQ860" s="2">
        <f t="shared" si="906"/>
        <v>0</v>
      </c>
      <c r="AR860" s="2">
        <f t="shared" si="906"/>
        <v>1299055.97</v>
      </c>
      <c r="AS860" s="2">
        <f t="shared" si="906"/>
        <v>0</v>
      </c>
      <c r="AT860" s="2">
        <f t="shared" si="906"/>
        <v>0</v>
      </c>
      <c r="AU860" s="2">
        <f t="shared" si="906"/>
        <v>1299055.97</v>
      </c>
      <c r="AV860" s="2">
        <f t="shared" si="906"/>
        <v>11659.14</v>
      </c>
      <c r="AW860" s="2">
        <f t="shared" si="906"/>
        <v>11659.14</v>
      </c>
      <c r="AX860" s="2">
        <f t="shared" si="906"/>
        <v>0</v>
      </c>
      <c r="AY860" s="2">
        <f t="shared" si="906"/>
        <v>11659.14</v>
      </c>
      <c r="AZ860" s="2">
        <f t="shared" si="906"/>
        <v>0</v>
      </c>
      <c r="BA860" s="2">
        <f t="shared" si="906"/>
        <v>0</v>
      </c>
      <c r="BB860" s="2">
        <f t="shared" si="906"/>
        <v>0</v>
      </c>
      <c r="BC860" s="2">
        <f t="shared" si="906"/>
        <v>0</v>
      </c>
      <c r="BD860" s="2">
        <f t="shared" si="906"/>
        <v>0</v>
      </c>
      <c r="BE860" s="2"/>
      <c r="BF860" s="2"/>
      <c r="BG860" s="2"/>
      <c r="BH860" s="2"/>
      <c r="BI860" s="2"/>
      <c r="BJ860" s="2"/>
      <c r="BK860" s="2"/>
      <c r="BL860" s="2"/>
      <c r="BM860" s="2"/>
      <c r="BN860" s="2"/>
      <c r="BO860" s="2"/>
      <c r="BP860" s="2"/>
      <c r="BQ860" s="2"/>
      <c r="BR860" s="2"/>
      <c r="BS860" s="2"/>
      <c r="BT860" s="2"/>
      <c r="BU860" s="2"/>
      <c r="BV860" s="2"/>
      <c r="BW860" s="2"/>
      <c r="BX860" s="2">
        <f>ROUND(SUMIF(AA734:AA858,"=1472506909",FQ734:FQ858),2)</f>
        <v>0</v>
      </c>
      <c r="BY860" s="2">
        <f>ROUND(SUMIF(AA734:AA858,"=1472506909",FR734:FR858),2)</f>
        <v>0</v>
      </c>
      <c r="BZ860" s="2">
        <f>ROUND(SUMIF(AA734:AA858,"=1472506909",GL734:GL858),2)</f>
        <v>0</v>
      </c>
      <c r="CA860" s="2">
        <f>ROUND(SUMIF(AA734:AA858,"=1472506909",GM734:GM858),2)</f>
        <v>1299055.97</v>
      </c>
      <c r="CB860" s="2">
        <f>ROUND(SUMIF(AA734:AA858,"=1472506909",GN734:GN858),2)</f>
        <v>0</v>
      </c>
      <c r="CC860" s="2">
        <f>ROUND(SUMIF(AA734:AA858,"=1472506909",GO734:GO858),2)</f>
        <v>0</v>
      </c>
      <c r="CD860" s="2">
        <f>ROUND(SUMIF(AA734:AA858,"=1472506909",GP734:GP858),2)</f>
        <v>1299055.97</v>
      </c>
      <c r="CE860" s="2">
        <f>AC860-BX860</f>
        <v>11659.14</v>
      </c>
      <c r="CF860" s="2">
        <f>AC860-BY860</f>
        <v>11659.14</v>
      </c>
      <c r="CG860" s="2">
        <f>BX860-BZ860</f>
        <v>0</v>
      </c>
      <c r="CH860" s="2">
        <f>AC860-BX860-BY860+BZ860</f>
        <v>11659.14</v>
      </c>
      <c r="CI860" s="2">
        <f>BY860-BZ860</f>
        <v>0</v>
      </c>
      <c r="CJ860" s="2">
        <f>ROUND(SUMIF(AA734:AA858,"=1472506909",GX734:GX858),2)</f>
        <v>0</v>
      </c>
      <c r="CK860" s="2">
        <f>ROUND(SUMIF(AA734:AA858,"=1472506909",GY734:GY858),2)</f>
        <v>0</v>
      </c>
      <c r="CL860" s="2">
        <f>ROUND(SUMIF(AA734:AA858,"=1472506909",GZ734:GZ858),2)</f>
        <v>0</v>
      </c>
      <c r="CM860" s="2">
        <f>ROUND(SUMIF(AA734:AA858,"=1472506909",HD734:HD858),2)</f>
        <v>0</v>
      </c>
      <c r="CN860" s="2"/>
      <c r="CO860" s="2"/>
      <c r="CP860" s="2"/>
      <c r="CQ860" s="2"/>
      <c r="CR860" s="2"/>
      <c r="CS860" s="2"/>
      <c r="CT860" s="2"/>
      <c r="CU860" s="2"/>
      <c r="CV860" s="2"/>
      <c r="CW860" s="2"/>
      <c r="CX860" s="2"/>
      <c r="CY860" s="2"/>
      <c r="CZ860" s="2"/>
      <c r="DA860" s="2"/>
      <c r="DB860" s="2"/>
      <c r="DC860" s="2"/>
      <c r="DD860" s="2"/>
      <c r="DE860" s="2"/>
      <c r="DF860" s="2"/>
      <c r="DG860" s="3"/>
      <c r="DH860" s="3"/>
      <c r="DI860" s="3"/>
      <c r="DJ860" s="3"/>
      <c r="DK860" s="3"/>
      <c r="DL860" s="3"/>
      <c r="DM860" s="3"/>
      <c r="DN860" s="3"/>
      <c r="DO860" s="3"/>
      <c r="DP860" s="3"/>
      <c r="DQ860" s="3"/>
      <c r="DR860" s="3"/>
      <c r="DS860" s="3"/>
      <c r="DT860" s="3"/>
      <c r="DU860" s="3"/>
      <c r="DV860" s="3"/>
      <c r="DW860" s="3"/>
      <c r="DX860" s="3"/>
      <c r="DY860" s="3"/>
      <c r="DZ860" s="3"/>
      <c r="EA860" s="3"/>
      <c r="EB860" s="3"/>
      <c r="EC860" s="3"/>
      <c r="ED860" s="3"/>
      <c r="EE860" s="3"/>
      <c r="EF860" s="3"/>
      <c r="EG860" s="3"/>
      <c r="EH860" s="3"/>
      <c r="EI860" s="3"/>
      <c r="EJ860" s="3"/>
      <c r="EK860" s="3"/>
      <c r="EL860" s="3"/>
      <c r="EM860" s="3"/>
      <c r="EN860" s="3"/>
      <c r="EO860" s="3"/>
      <c r="EP860" s="3"/>
      <c r="EQ860" s="3"/>
      <c r="ER860" s="3"/>
      <c r="ES860" s="3"/>
      <c r="ET860" s="3"/>
      <c r="EU860" s="3"/>
      <c r="EV860" s="3"/>
      <c r="EW860" s="3"/>
      <c r="EX860" s="3"/>
      <c r="EY860" s="3"/>
      <c r="EZ860" s="3"/>
      <c r="FA860" s="3"/>
      <c r="FB860" s="3"/>
      <c r="FC860" s="3"/>
      <c r="FD860" s="3"/>
      <c r="FE860" s="3"/>
      <c r="FF860" s="3"/>
      <c r="FG860" s="3"/>
      <c r="FH860" s="3"/>
      <c r="FI860" s="3"/>
      <c r="FJ860" s="3"/>
      <c r="FK860" s="3"/>
      <c r="FL860" s="3"/>
      <c r="FM860" s="3"/>
      <c r="FN860" s="3"/>
      <c r="FO860" s="3"/>
      <c r="FP860" s="3"/>
      <c r="FQ860" s="3"/>
      <c r="FR860" s="3"/>
      <c r="FS860" s="3"/>
      <c r="FT860" s="3"/>
      <c r="FU860" s="3"/>
      <c r="FV860" s="3"/>
      <c r="FW860" s="3"/>
      <c r="FX860" s="3"/>
      <c r="FY860" s="3"/>
      <c r="FZ860" s="3"/>
      <c r="GA860" s="3"/>
      <c r="GB860" s="3"/>
      <c r="GC860" s="3"/>
      <c r="GD860" s="3"/>
      <c r="GE860" s="3"/>
      <c r="GF860" s="3"/>
      <c r="GG860" s="3"/>
      <c r="GH860" s="3"/>
      <c r="GI860" s="3"/>
      <c r="GJ860" s="3"/>
      <c r="GK860" s="3"/>
      <c r="GL860" s="3"/>
      <c r="GM860" s="3"/>
      <c r="GN860" s="3"/>
      <c r="GO860" s="3"/>
      <c r="GP860" s="3"/>
      <c r="GQ860" s="3"/>
      <c r="GR860" s="3"/>
      <c r="GS860" s="3"/>
      <c r="GT860" s="3"/>
      <c r="GU860" s="3"/>
      <c r="GV860" s="3"/>
      <c r="GW860" s="3"/>
      <c r="GX860" s="3">
        <v>0</v>
      </c>
    </row>
    <row r="862" spans="1:245" x14ac:dyDescent="0.2">
      <c r="A862" s="4">
        <v>50</v>
      </c>
      <c r="B862" s="4">
        <v>0</v>
      </c>
      <c r="C862" s="4">
        <v>0</v>
      </c>
      <c r="D862" s="4">
        <v>1</v>
      </c>
      <c r="E862" s="4">
        <v>201</v>
      </c>
      <c r="F862" s="4">
        <f>ROUND(Source!O860,O862)</f>
        <v>726900.53</v>
      </c>
      <c r="G862" s="4" t="s">
        <v>36</v>
      </c>
      <c r="H862" s="4" t="s">
        <v>37</v>
      </c>
      <c r="I862" s="4"/>
      <c r="J862" s="4"/>
      <c r="K862" s="4">
        <v>201</v>
      </c>
      <c r="L862" s="4">
        <v>1</v>
      </c>
      <c r="M862" s="4">
        <v>3</v>
      </c>
      <c r="N862" s="4" t="s">
        <v>3</v>
      </c>
      <c r="O862" s="4">
        <v>2</v>
      </c>
      <c r="P862" s="4"/>
      <c r="Q862" s="4"/>
      <c r="R862" s="4"/>
      <c r="S862" s="4"/>
      <c r="T862" s="4"/>
      <c r="U862" s="4"/>
      <c r="V862" s="4"/>
      <c r="W862" s="4">
        <v>726900.53</v>
      </c>
      <c r="X862" s="4">
        <v>1</v>
      </c>
      <c r="Y862" s="4">
        <v>726900.53</v>
      </c>
      <c r="Z862" s="4"/>
      <c r="AA862" s="4"/>
      <c r="AB862" s="4"/>
    </row>
    <row r="863" spans="1:245" x14ac:dyDescent="0.2">
      <c r="A863" s="4">
        <v>50</v>
      </c>
      <c r="B863" s="4">
        <v>0</v>
      </c>
      <c r="C863" s="4">
        <v>0</v>
      </c>
      <c r="D863" s="4">
        <v>1</v>
      </c>
      <c r="E863" s="4">
        <v>202</v>
      </c>
      <c r="F863" s="4">
        <f>ROUND(Source!P860,O863)</f>
        <v>11659.14</v>
      </c>
      <c r="G863" s="4" t="s">
        <v>38</v>
      </c>
      <c r="H863" s="4" t="s">
        <v>39</v>
      </c>
      <c r="I863" s="4"/>
      <c r="J863" s="4"/>
      <c r="K863" s="4">
        <v>202</v>
      </c>
      <c r="L863" s="4">
        <v>2</v>
      </c>
      <c r="M863" s="4">
        <v>3</v>
      </c>
      <c r="N863" s="4" t="s">
        <v>3</v>
      </c>
      <c r="O863" s="4">
        <v>2</v>
      </c>
      <c r="P863" s="4"/>
      <c r="Q863" s="4"/>
      <c r="R863" s="4"/>
      <c r="S863" s="4"/>
      <c r="T863" s="4"/>
      <c r="U863" s="4"/>
      <c r="V863" s="4"/>
      <c r="W863" s="4">
        <v>11659.14</v>
      </c>
      <c r="X863" s="4">
        <v>1</v>
      </c>
      <c r="Y863" s="4">
        <v>11659.14</v>
      </c>
      <c r="Z863" s="4"/>
      <c r="AA863" s="4"/>
      <c r="AB863" s="4"/>
    </row>
    <row r="864" spans="1:245" x14ac:dyDescent="0.2">
      <c r="A864" s="4">
        <v>50</v>
      </c>
      <c r="B864" s="4">
        <v>0</v>
      </c>
      <c r="C864" s="4">
        <v>0</v>
      </c>
      <c r="D864" s="4">
        <v>1</v>
      </c>
      <c r="E864" s="4">
        <v>222</v>
      </c>
      <c r="F864" s="4">
        <f>ROUND(Source!AO860,O864)</f>
        <v>0</v>
      </c>
      <c r="G864" s="4" t="s">
        <v>40</v>
      </c>
      <c r="H864" s="4" t="s">
        <v>41</v>
      </c>
      <c r="I864" s="4"/>
      <c r="J864" s="4"/>
      <c r="K864" s="4">
        <v>222</v>
      </c>
      <c r="L864" s="4">
        <v>3</v>
      </c>
      <c r="M864" s="4">
        <v>3</v>
      </c>
      <c r="N864" s="4" t="s">
        <v>3</v>
      </c>
      <c r="O864" s="4">
        <v>2</v>
      </c>
      <c r="P864" s="4"/>
      <c r="Q864" s="4"/>
      <c r="R864" s="4"/>
      <c r="S864" s="4"/>
      <c r="T864" s="4"/>
      <c r="U864" s="4"/>
      <c r="V864" s="4"/>
      <c r="W864" s="4">
        <v>0</v>
      </c>
      <c r="X864" s="4">
        <v>1</v>
      </c>
      <c r="Y864" s="4">
        <v>0</v>
      </c>
      <c r="Z864" s="4"/>
      <c r="AA864" s="4"/>
      <c r="AB864" s="4"/>
    </row>
    <row r="865" spans="1:28" x14ac:dyDescent="0.2">
      <c r="A865" s="4">
        <v>50</v>
      </c>
      <c r="B865" s="4">
        <v>0</v>
      </c>
      <c r="C865" s="4">
        <v>0</v>
      </c>
      <c r="D865" s="4">
        <v>1</v>
      </c>
      <c r="E865" s="4">
        <v>225</v>
      </c>
      <c r="F865" s="4">
        <f>ROUND(Source!AV860,O865)</f>
        <v>11659.14</v>
      </c>
      <c r="G865" s="4" t="s">
        <v>42</v>
      </c>
      <c r="H865" s="4" t="s">
        <v>43</v>
      </c>
      <c r="I865" s="4"/>
      <c r="J865" s="4"/>
      <c r="K865" s="4">
        <v>225</v>
      </c>
      <c r="L865" s="4">
        <v>4</v>
      </c>
      <c r="M865" s="4">
        <v>3</v>
      </c>
      <c r="N865" s="4" t="s">
        <v>3</v>
      </c>
      <c r="O865" s="4">
        <v>2</v>
      </c>
      <c r="P865" s="4"/>
      <c r="Q865" s="4"/>
      <c r="R865" s="4"/>
      <c r="S865" s="4"/>
      <c r="T865" s="4"/>
      <c r="U865" s="4"/>
      <c r="V865" s="4"/>
      <c r="W865" s="4">
        <v>11659.14</v>
      </c>
      <c r="X865" s="4">
        <v>1</v>
      </c>
      <c r="Y865" s="4">
        <v>11659.14</v>
      </c>
      <c r="Z865" s="4"/>
      <c r="AA865" s="4"/>
      <c r="AB865" s="4"/>
    </row>
    <row r="866" spans="1:28" x14ac:dyDescent="0.2">
      <c r="A866" s="4">
        <v>50</v>
      </c>
      <c r="B866" s="4">
        <v>0</v>
      </c>
      <c r="C866" s="4">
        <v>0</v>
      </c>
      <c r="D866" s="4">
        <v>1</v>
      </c>
      <c r="E866" s="4">
        <v>226</v>
      </c>
      <c r="F866" s="4">
        <f>ROUND(Source!AW860,O866)</f>
        <v>11659.14</v>
      </c>
      <c r="G866" s="4" t="s">
        <v>44</v>
      </c>
      <c r="H866" s="4" t="s">
        <v>45</v>
      </c>
      <c r="I866" s="4"/>
      <c r="J866" s="4"/>
      <c r="K866" s="4">
        <v>226</v>
      </c>
      <c r="L866" s="4">
        <v>5</v>
      </c>
      <c r="M866" s="4">
        <v>3</v>
      </c>
      <c r="N866" s="4" t="s">
        <v>3</v>
      </c>
      <c r="O866" s="4">
        <v>2</v>
      </c>
      <c r="P866" s="4"/>
      <c r="Q866" s="4"/>
      <c r="R866" s="4"/>
      <c r="S866" s="4"/>
      <c r="T866" s="4"/>
      <c r="U866" s="4"/>
      <c r="V866" s="4"/>
      <c r="W866" s="4">
        <v>11659.14</v>
      </c>
      <c r="X866" s="4">
        <v>1</v>
      </c>
      <c r="Y866" s="4">
        <v>11659.14</v>
      </c>
      <c r="Z866" s="4"/>
      <c r="AA866" s="4"/>
      <c r="AB866" s="4"/>
    </row>
    <row r="867" spans="1:28" x14ac:dyDescent="0.2">
      <c r="A867" s="4">
        <v>50</v>
      </c>
      <c r="B867" s="4">
        <v>0</v>
      </c>
      <c r="C867" s="4">
        <v>0</v>
      </c>
      <c r="D867" s="4">
        <v>1</v>
      </c>
      <c r="E867" s="4">
        <v>227</v>
      </c>
      <c r="F867" s="4">
        <f>ROUND(Source!AX860,O867)</f>
        <v>0</v>
      </c>
      <c r="G867" s="4" t="s">
        <v>46</v>
      </c>
      <c r="H867" s="4" t="s">
        <v>47</v>
      </c>
      <c r="I867" s="4"/>
      <c r="J867" s="4"/>
      <c r="K867" s="4">
        <v>227</v>
      </c>
      <c r="L867" s="4">
        <v>6</v>
      </c>
      <c r="M867" s="4">
        <v>3</v>
      </c>
      <c r="N867" s="4" t="s">
        <v>3</v>
      </c>
      <c r="O867" s="4">
        <v>2</v>
      </c>
      <c r="P867" s="4"/>
      <c r="Q867" s="4"/>
      <c r="R867" s="4"/>
      <c r="S867" s="4"/>
      <c r="T867" s="4"/>
      <c r="U867" s="4"/>
      <c r="V867" s="4"/>
      <c r="W867" s="4">
        <v>0</v>
      </c>
      <c r="X867" s="4">
        <v>1</v>
      </c>
      <c r="Y867" s="4">
        <v>0</v>
      </c>
      <c r="Z867" s="4"/>
      <c r="AA867" s="4"/>
      <c r="AB867" s="4"/>
    </row>
    <row r="868" spans="1:28" x14ac:dyDescent="0.2">
      <c r="A868" s="4">
        <v>50</v>
      </c>
      <c r="B868" s="4">
        <v>0</v>
      </c>
      <c r="C868" s="4">
        <v>0</v>
      </c>
      <c r="D868" s="4">
        <v>1</v>
      </c>
      <c r="E868" s="4">
        <v>228</v>
      </c>
      <c r="F868" s="4">
        <f>ROUND(Source!AY860,O868)</f>
        <v>11659.14</v>
      </c>
      <c r="G868" s="4" t="s">
        <v>48</v>
      </c>
      <c r="H868" s="4" t="s">
        <v>49</v>
      </c>
      <c r="I868" s="4"/>
      <c r="J868" s="4"/>
      <c r="K868" s="4">
        <v>228</v>
      </c>
      <c r="L868" s="4">
        <v>7</v>
      </c>
      <c r="M868" s="4">
        <v>3</v>
      </c>
      <c r="N868" s="4" t="s">
        <v>3</v>
      </c>
      <c r="O868" s="4">
        <v>2</v>
      </c>
      <c r="P868" s="4"/>
      <c r="Q868" s="4"/>
      <c r="R868" s="4"/>
      <c r="S868" s="4"/>
      <c r="T868" s="4"/>
      <c r="U868" s="4"/>
      <c r="V868" s="4"/>
      <c r="W868" s="4">
        <v>11659.14</v>
      </c>
      <c r="X868" s="4">
        <v>1</v>
      </c>
      <c r="Y868" s="4">
        <v>11659.14</v>
      </c>
      <c r="Z868" s="4"/>
      <c r="AA868" s="4"/>
      <c r="AB868" s="4"/>
    </row>
    <row r="869" spans="1:28" x14ac:dyDescent="0.2">
      <c r="A869" s="4">
        <v>50</v>
      </c>
      <c r="B869" s="4">
        <v>0</v>
      </c>
      <c r="C869" s="4">
        <v>0</v>
      </c>
      <c r="D869" s="4">
        <v>1</v>
      </c>
      <c r="E869" s="4">
        <v>216</v>
      </c>
      <c r="F869" s="4">
        <f>ROUND(Source!AP860,O869)</f>
        <v>0</v>
      </c>
      <c r="G869" s="4" t="s">
        <v>50</v>
      </c>
      <c r="H869" s="4" t="s">
        <v>51</v>
      </c>
      <c r="I869" s="4"/>
      <c r="J869" s="4"/>
      <c r="K869" s="4">
        <v>216</v>
      </c>
      <c r="L869" s="4">
        <v>8</v>
      </c>
      <c r="M869" s="4">
        <v>3</v>
      </c>
      <c r="N869" s="4" t="s">
        <v>3</v>
      </c>
      <c r="O869" s="4">
        <v>2</v>
      </c>
      <c r="P869" s="4"/>
      <c r="Q869" s="4"/>
      <c r="R869" s="4"/>
      <c r="S869" s="4"/>
      <c r="T869" s="4"/>
      <c r="U869" s="4"/>
      <c r="V869" s="4"/>
      <c r="W869" s="4">
        <v>0</v>
      </c>
      <c r="X869" s="4">
        <v>1</v>
      </c>
      <c r="Y869" s="4">
        <v>0</v>
      </c>
      <c r="Z869" s="4"/>
      <c r="AA869" s="4"/>
      <c r="AB869" s="4"/>
    </row>
    <row r="870" spans="1:28" x14ac:dyDescent="0.2">
      <c r="A870" s="4">
        <v>50</v>
      </c>
      <c r="B870" s="4">
        <v>0</v>
      </c>
      <c r="C870" s="4">
        <v>0</v>
      </c>
      <c r="D870" s="4">
        <v>1</v>
      </c>
      <c r="E870" s="4">
        <v>223</v>
      </c>
      <c r="F870" s="4">
        <f>ROUND(Source!AQ860,O870)</f>
        <v>0</v>
      </c>
      <c r="G870" s="4" t="s">
        <v>52</v>
      </c>
      <c r="H870" s="4" t="s">
        <v>53</v>
      </c>
      <c r="I870" s="4"/>
      <c r="J870" s="4"/>
      <c r="K870" s="4">
        <v>223</v>
      </c>
      <c r="L870" s="4">
        <v>9</v>
      </c>
      <c r="M870" s="4">
        <v>3</v>
      </c>
      <c r="N870" s="4" t="s">
        <v>3</v>
      </c>
      <c r="O870" s="4">
        <v>2</v>
      </c>
      <c r="P870" s="4"/>
      <c r="Q870" s="4"/>
      <c r="R870" s="4"/>
      <c r="S870" s="4"/>
      <c r="T870" s="4"/>
      <c r="U870" s="4"/>
      <c r="V870" s="4"/>
      <c r="W870" s="4">
        <v>0</v>
      </c>
      <c r="X870" s="4">
        <v>1</v>
      </c>
      <c r="Y870" s="4">
        <v>0</v>
      </c>
      <c r="Z870" s="4"/>
      <c r="AA870" s="4"/>
      <c r="AB870" s="4"/>
    </row>
    <row r="871" spans="1:28" x14ac:dyDescent="0.2">
      <c r="A871" s="4">
        <v>50</v>
      </c>
      <c r="B871" s="4">
        <v>0</v>
      </c>
      <c r="C871" s="4">
        <v>0</v>
      </c>
      <c r="D871" s="4">
        <v>1</v>
      </c>
      <c r="E871" s="4">
        <v>229</v>
      </c>
      <c r="F871" s="4">
        <f>ROUND(Source!AZ860,O871)</f>
        <v>0</v>
      </c>
      <c r="G871" s="4" t="s">
        <v>54</v>
      </c>
      <c r="H871" s="4" t="s">
        <v>55</v>
      </c>
      <c r="I871" s="4"/>
      <c r="J871" s="4"/>
      <c r="K871" s="4">
        <v>229</v>
      </c>
      <c r="L871" s="4">
        <v>10</v>
      </c>
      <c r="M871" s="4">
        <v>3</v>
      </c>
      <c r="N871" s="4" t="s">
        <v>3</v>
      </c>
      <c r="O871" s="4">
        <v>2</v>
      </c>
      <c r="P871" s="4"/>
      <c r="Q871" s="4"/>
      <c r="R871" s="4"/>
      <c r="S871" s="4"/>
      <c r="T871" s="4"/>
      <c r="U871" s="4"/>
      <c r="V871" s="4"/>
      <c r="W871" s="4">
        <v>0</v>
      </c>
      <c r="X871" s="4">
        <v>1</v>
      </c>
      <c r="Y871" s="4">
        <v>0</v>
      </c>
      <c r="Z871" s="4"/>
      <c r="AA871" s="4"/>
      <c r="AB871" s="4"/>
    </row>
    <row r="872" spans="1:28" x14ac:dyDescent="0.2">
      <c r="A872" s="4">
        <v>50</v>
      </c>
      <c r="B872" s="4">
        <v>0</v>
      </c>
      <c r="C872" s="4">
        <v>0</v>
      </c>
      <c r="D872" s="4">
        <v>1</v>
      </c>
      <c r="E872" s="4">
        <v>203</v>
      </c>
      <c r="F872" s="4">
        <f>ROUND(Source!Q860,O872)</f>
        <v>327.06</v>
      </c>
      <c r="G872" s="4" t="s">
        <v>56</v>
      </c>
      <c r="H872" s="4" t="s">
        <v>57</v>
      </c>
      <c r="I872" s="4"/>
      <c r="J872" s="4"/>
      <c r="K872" s="4">
        <v>203</v>
      </c>
      <c r="L872" s="4">
        <v>11</v>
      </c>
      <c r="M872" s="4">
        <v>3</v>
      </c>
      <c r="N872" s="4" t="s">
        <v>3</v>
      </c>
      <c r="O872" s="4">
        <v>2</v>
      </c>
      <c r="P872" s="4"/>
      <c r="Q872" s="4"/>
      <c r="R872" s="4"/>
      <c r="S872" s="4"/>
      <c r="T872" s="4"/>
      <c r="U872" s="4"/>
      <c r="V872" s="4"/>
      <c r="W872" s="4">
        <v>327.06</v>
      </c>
      <c r="X872" s="4">
        <v>1</v>
      </c>
      <c r="Y872" s="4">
        <v>327.06</v>
      </c>
      <c r="Z872" s="4"/>
      <c r="AA872" s="4"/>
      <c r="AB872" s="4"/>
    </row>
    <row r="873" spans="1:28" x14ac:dyDescent="0.2">
      <c r="A873" s="4">
        <v>50</v>
      </c>
      <c r="B873" s="4">
        <v>0</v>
      </c>
      <c r="C873" s="4">
        <v>0</v>
      </c>
      <c r="D873" s="4">
        <v>1</v>
      </c>
      <c r="E873" s="4">
        <v>231</v>
      </c>
      <c r="F873" s="4">
        <f>ROUND(Source!BB860,O873)</f>
        <v>0</v>
      </c>
      <c r="G873" s="4" t="s">
        <v>58</v>
      </c>
      <c r="H873" s="4" t="s">
        <v>59</v>
      </c>
      <c r="I873" s="4"/>
      <c r="J873" s="4"/>
      <c r="K873" s="4">
        <v>231</v>
      </c>
      <c r="L873" s="4">
        <v>12</v>
      </c>
      <c r="M873" s="4">
        <v>3</v>
      </c>
      <c r="N873" s="4" t="s">
        <v>3</v>
      </c>
      <c r="O873" s="4">
        <v>2</v>
      </c>
      <c r="P873" s="4"/>
      <c r="Q873" s="4"/>
      <c r="R873" s="4"/>
      <c r="S873" s="4"/>
      <c r="T873" s="4"/>
      <c r="U873" s="4"/>
      <c r="V873" s="4"/>
      <c r="W873" s="4">
        <v>0</v>
      </c>
      <c r="X873" s="4">
        <v>1</v>
      </c>
      <c r="Y873" s="4">
        <v>0</v>
      </c>
      <c r="Z873" s="4"/>
      <c r="AA873" s="4"/>
      <c r="AB873" s="4"/>
    </row>
    <row r="874" spans="1:28" x14ac:dyDescent="0.2">
      <c r="A874" s="4">
        <v>50</v>
      </c>
      <c r="B874" s="4">
        <v>0</v>
      </c>
      <c r="C874" s="4">
        <v>0</v>
      </c>
      <c r="D874" s="4">
        <v>1</v>
      </c>
      <c r="E874" s="4">
        <v>204</v>
      </c>
      <c r="F874" s="4">
        <f>ROUND(Source!R860,O874)</f>
        <v>207.38</v>
      </c>
      <c r="G874" s="4" t="s">
        <v>60</v>
      </c>
      <c r="H874" s="4" t="s">
        <v>61</v>
      </c>
      <c r="I874" s="4"/>
      <c r="J874" s="4"/>
      <c r="K874" s="4">
        <v>204</v>
      </c>
      <c r="L874" s="4">
        <v>13</v>
      </c>
      <c r="M874" s="4">
        <v>3</v>
      </c>
      <c r="N874" s="4" t="s">
        <v>3</v>
      </c>
      <c r="O874" s="4">
        <v>2</v>
      </c>
      <c r="P874" s="4"/>
      <c r="Q874" s="4"/>
      <c r="R874" s="4"/>
      <c r="S874" s="4"/>
      <c r="T874" s="4"/>
      <c r="U874" s="4"/>
      <c r="V874" s="4"/>
      <c r="W874" s="4">
        <v>207.38</v>
      </c>
      <c r="X874" s="4">
        <v>1</v>
      </c>
      <c r="Y874" s="4">
        <v>207.38</v>
      </c>
      <c r="Z874" s="4"/>
      <c r="AA874" s="4"/>
      <c r="AB874" s="4"/>
    </row>
    <row r="875" spans="1:28" x14ac:dyDescent="0.2">
      <c r="A875" s="4">
        <v>50</v>
      </c>
      <c r="B875" s="4">
        <v>0</v>
      </c>
      <c r="C875" s="4">
        <v>0</v>
      </c>
      <c r="D875" s="4">
        <v>1</v>
      </c>
      <c r="E875" s="4">
        <v>205</v>
      </c>
      <c r="F875" s="4">
        <f>ROUND(Source!S860,O875)</f>
        <v>714914.33</v>
      </c>
      <c r="G875" s="4" t="s">
        <v>62</v>
      </c>
      <c r="H875" s="4" t="s">
        <v>63</v>
      </c>
      <c r="I875" s="4"/>
      <c r="J875" s="4"/>
      <c r="K875" s="4">
        <v>205</v>
      </c>
      <c r="L875" s="4">
        <v>14</v>
      </c>
      <c r="M875" s="4">
        <v>3</v>
      </c>
      <c r="N875" s="4" t="s">
        <v>3</v>
      </c>
      <c r="O875" s="4">
        <v>2</v>
      </c>
      <c r="P875" s="4"/>
      <c r="Q875" s="4"/>
      <c r="R875" s="4"/>
      <c r="S875" s="4"/>
      <c r="T875" s="4"/>
      <c r="U875" s="4"/>
      <c r="V875" s="4"/>
      <c r="W875" s="4">
        <v>714914.33</v>
      </c>
      <c r="X875" s="4">
        <v>1</v>
      </c>
      <c r="Y875" s="4">
        <v>714914.33</v>
      </c>
      <c r="Z875" s="4"/>
      <c r="AA875" s="4"/>
      <c r="AB875" s="4"/>
    </row>
    <row r="876" spans="1:28" x14ac:dyDescent="0.2">
      <c r="A876" s="4">
        <v>50</v>
      </c>
      <c r="B876" s="4">
        <v>0</v>
      </c>
      <c r="C876" s="4">
        <v>0</v>
      </c>
      <c r="D876" s="4">
        <v>1</v>
      </c>
      <c r="E876" s="4">
        <v>232</v>
      </c>
      <c r="F876" s="4">
        <f>ROUND(Source!BC860,O876)</f>
        <v>0</v>
      </c>
      <c r="G876" s="4" t="s">
        <v>64</v>
      </c>
      <c r="H876" s="4" t="s">
        <v>65</v>
      </c>
      <c r="I876" s="4"/>
      <c r="J876" s="4"/>
      <c r="K876" s="4">
        <v>232</v>
      </c>
      <c r="L876" s="4">
        <v>15</v>
      </c>
      <c r="M876" s="4">
        <v>3</v>
      </c>
      <c r="N876" s="4" t="s">
        <v>3</v>
      </c>
      <c r="O876" s="4">
        <v>2</v>
      </c>
      <c r="P876" s="4"/>
      <c r="Q876" s="4"/>
      <c r="R876" s="4"/>
      <c r="S876" s="4"/>
      <c r="T876" s="4"/>
      <c r="U876" s="4"/>
      <c r="V876" s="4"/>
      <c r="W876" s="4">
        <v>0</v>
      </c>
      <c r="X876" s="4">
        <v>1</v>
      </c>
      <c r="Y876" s="4">
        <v>0</v>
      </c>
      <c r="Z876" s="4"/>
      <c r="AA876" s="4"/>
      <c r="AB876" s="4"/>
    </row>
    <row r="877" spans="1:28" x14ac:dyDescent="0.2">
      <c r="A877" s="4">
        <v>50</v>
      </c>
      <c r="B877" s="4">
        <v>0</v>
      </c>
      <c r="C877" s="4">
        <v>0</v>
      </c>
      <c r="D877" s="4">
        <v>1</v>
      </c>
      <c r="E877" s="4">
        <v>214</v>
      </c>
      <c r="F877" s="4">
        <f>ROUND(Source!AS860,O877)</f>
        <v>0</v>
      </c>
      <c r="G877" s="4" t="s">
        <v>66</v>
      </c>
      <c r="H877" s="4" t="s">
        <v>67</v>
      </c>
      <c r="I877" s="4"/>
      <c r="J877" s="4"/>
      <c r="K877" s="4">
        <v>214</v>
      </c>
      <c r="L877" s="4">
        <v>16</v>
      </c>
      <c r="M877" s="4">
        <v>3</v>
      </c>
      <c r="N877" s="4" t="s">
        <v>3</v>
      </c>
      <c r="O877" s="4">
        <v>2</v>
      </c>
      <c r="P877" s="4"/>
      <c r="Q877" s="4"/>
      <c r="R877" s="4"/>
      <c r="S877" s="4"/>
      <c r="T877" s="4"/>
      <c r="U877" s="4"/>
      <c r="V877" s="4"/>
      <c r="W877" s="4">
        <v>0</v>
      </c>
      <c r="X877" s="4">
        <v>1</v>
      </c>
      <c r="Y877" s="4">
        <v>0</v>
      </c>
      <c r="Z877" s="4"/>
      <c r="AA877" s="4"/>
      <c r="AB877" s="4"/>
    </row>
    <row r="878" spans="1:28" x14ac:dyDescent="0.2">
      <c r="A878" s="4">
        <v>50</v>
      </c>
      <c r="B878" s="4">
        <v>0</v>
      </c>
      <c r="C878" s="4">
        <v>0</v>
      </c>
      <c r="D878" s="4">
        <v>1</v>
      </c>
      <c r="E878" s="4">
        <v>215</v>
      </c>
      <c r="F878" s="4">
        <f>ROUND(Source!AT860,O878)</f>
        <v>0</v>
      </c>
      <c r="G878" s="4" t="s">
        <v>68</v>
      </c>
      <c r="H878" s="4" t="s">
        <v>69</v>
      </c>
      <c r="I878" s="4"/>
      <c r="J878" s="4"/>
      <c r="K878" s="4">
        <v>215</v>
      </c>
      <c r="L878" s="4">
        <v>17</v>
      </c>
      <c r="M878" s="4">
        <v>3</v>
      </c>
      <c r="N878" s="4" t="s">
        <v>3</v>
      </c>
      <c r="O878" s="4">
        <v>2</v>
      </c>
      <c r="P878" s="4"/>
      <c r="Q878" s="4"/>
      <c r="R878" s="4"/>
      <c r="S878" s="4"/>
      <c r="T878" s="4"/>
      <c r="U878" s="4"/>
      <c r="V878" s="4"/>
      <c r="W878" s="4">
        <v>0</v>
      </c>
      <c r="X878" s="4">
        <v>1</v>
      </c>
      <c r="Y878" s="4">
        <v>0</v>
      </c>
      <c r="Z878" s="4"/>
      <c r="AA878" s="4"/>
      <c r="AB878" s="4"/>
    </row>
    <row r="879" spans="1:28" x14ac:dyDescent="0.2">
      <c r="A879" s="4">
        <v>50</v>
      </c>
      <c r="B879" s="4">
        <v>0</v>
      </c>
      <c r="C879" s="4">
        <v>0</v>
      </c>
      <c r="D879" s="4">
        <v>1</v>
      </c>
      <c r="E879" s="4">
        <v>217</v>
      </c>
      <c r="F879" s="4">
        <f>ROUND(Source!AU860,O879)</f>
        <v>1299055.97</v>
      </c>
      <c r="G879" s="4" t="s">
        <v>70</v>
      </c>
      <c r="H879" s="4" t="s">
        <v>71</v>
      </c>
      <c r="I879" s="4"/>
      <c r="J879" s="4"/>
      <c r="K879" s="4">
        <v>217</v>
      </c>
      <c r="L879" s="4">
        <v>18</v>
      </c>
      <c r="M879" s="4">
        <v>3</v>
      </c>
      <c r="N879" s="4" t="s">
        <v>3</v>
      </c>
      <c r="O879" s="4">
        <v>2</v>
      </c>
      <c r="P879" s="4"/>
      <c r="Q879" s="4"/>
      <c r="R879" s="4"/>
      <c r="S879" s="4"/>
      <c r="T879" s="4"/>
      <c r="U879" s="4"/>
      <c r="V879" s="4"/>
      <c r="W879" s="4">
        <v>1299055.97</v>
      </c>
      <c r="X879" s="4">
        <v>1</v>
      </c>
      <c r="Y879" s="4">
        <v>1299055.97</v>
      </c>
      <c r="Z879" s="4"/>
      <c r="AA879" s="4"/>
      <c r="AB879" s="4"/>
    </row>
    <row r="880" spans="1:28" x14ac:dyDescent="0.2">
      <c r="A880" s="4">
        <v>50</v>
      </c>
      <c r="B880" s="4">
        <v>0</v>
      </c>
      <c r="C880" s="4">
        <v>0</v>
      </c>
      <c r="D880" s="4">
        <v>1</v>
      </c>
      <c r="E880" s="4">
        <v>230</v>
      </c>
      <c r="F880" s="4">
        <f>ROUND(Source!BA860,O880)</f>
        <v>0</v>
      </c>
      <c r="G880" s="4" t="s">
        <v>72</v>
      </c>
      <c r="H880" s="4" t="s">
        <v>73</v>
      </c>
      <c r="I880" s="4"/>
      <c r="J880" s="4"/>
      <c r="K880" s="4">
        <v>230</v>
      </c>
      <c r="L880" s="4">
        <v>19</v>
      </c>
      <c r="M880" s="4">
        <v>3</v>
      </c>
      <c r="N880" s="4" t="s">
        <v>3</v>
      </c>
      <c r="O880" s="4">
        <v>2</v>
      </c>
      <c r="P880" s="4"/>
      <c r="Q880" s="4"/>
      <c r="R880" s="4"/>
      <c r="S880" s="4"/>
      <c r="T880" s="4"/>
      <c r="U880" s="4"/>
      <c r="V880" s="4"/>
      <c r="W880" s="4">
        <v>0</v>
      </c>
      <c r="X880" s="4">
        <v>1</v>
      </c>
      <c r="Y880" s="4">
        <v>0</v>
      </c>
      <c r="Z880" s="4"/>
      <c r="AA880" s="4"/>
      <c r="AB880" s="4"/>
    </row>
    <row r="881" spans="1:245" x14ac:dyDescent="0.2">
      <c r="A881" s="4">
        <v>50</v>
      </c>
      <c r="B881" s="4">
        <v>0</v>
      </c>
      <c r="C881" s="4">
        <v>0</v>
      </c>
      <c r="D881" s="4">
        <v>1</v>
      </c>
      <c r="E881" s="4">
        <v>206</v>
      </c>
      <c r="F881" s="4">
        <f>ROUND(Source!T860,O881)</f>
        <v>0</v>
      </c>
      <c r="G881" s="4" t="s">
        <v>74</v>
      </c>
      <c r="H881" s="4" t="s">
        <v>75</v>
      </c>
      <c r="I881" s="4"/>
      <c r="J881" s="4"/>
      <c r="K881" s="4">
        <v>206</v>
      </c>
      <c r="L881" s="4">
        <v>20</v>
      </c>
      <c r="M881" s="4">
        <v>3</v>
      </c>
      <c r="N881" s="4" t="s">
        <v>3</v>
      </c>
      <c r="O881" s="4">
        <v>2</v>
      </c>
      <c r="P881" s="4"/>
      <c r="Q881" s="4"/>
      <c r="R881" s="4"/>
      <c r="S881" s="4"/>
      <c r="T881" s="4"/>
      <c r="U881" s="4"/>
      <c r="V881" s="4"/>
      <c r="W881" s="4">
        <v>0</v>
      </c>
      <c r="X881" s="4">
        <v>1</v>
      </c>
      <c r="Y881" s="4">
        <v>0</v>
      </c>
      <c r="Z881" s="4"/>
      <c r="AA881" s="4"/>
      <c r="AB881" s="4"/>
    </row>
    <row r="882" spans="1:245" x14ac:dyDescent="0.2">
      <c r="A882" s="4">
        <v>50</v>
      </c>
      <c r="B882" s="4">
        <v>0</v>
      </c>
      <c r="C882" s="4">
        <v>0</v>
      </c>
      <c r="D882" s="4">
        <v>1</v>
      </c>
      <c r="E882" s="4">
        <v>207</v>
      </c>
      <c r="F882" s="4">
        <f>Source!U860</f>
        <v>1192.5978280000002</v>
      </c>
      <c r="G882" s="4" t="s">
        <v>76</v>
      </c>
      <c r="H882" s="4" t="s">
        <v>77</v>
      </c>
      <c r="I882" s="4"/>
      <c r="J882" s="4"/>
      <c r="K882" s="4">
        <v>207</v>
      </c>
      <c r="L882" s="4">
        <v>21</v>
      </c>
      <c r="M882" s="4">
        <v>3</v>
      </c>
      <c r="N882" s="4" t="s">
        <v>3</v>
      </c>
      <c r="O882" s="4">
        <v>-1</v>
      </c>
      <c r="P882" s="4"/>
      <c r="Q882" s="4"/>
      <c r="R882" s="4"/>
      <c r="S882" s="4"/>
      <c r="T882" s="4"/>
      <c r="U882" s="4"/>
      <c r="V882" s="4"/>
      <c r="W882" s="4">
        <v>1192.5978280000002</v>
      </c>
      <c r="X882" s="4">
        <v>1</v>
      </c>
      <c r="Y882" s="4">
        <v>1192.5978280000002</v>
      </c>
      <c r="Z882" s="4"/>
      <c r="AA882" s="4"/>
      <c r="AB882" s="4"/>
    </row>
    <row r="883" spans="1:245" x14ac:dyDescent="0.2">
      <c r="A883" s="4">
        <v>50</v>
      </c>
      <c r="B883" s="4">
        <v>0</v>
      </c>
      <c r="C883" s="4">
        <v>0</v>
      </c>
      <c r="D883" s="4">
        <v>1</v>
      </c>
      <c r="E883" s="4">
        <v>208</v>
      </c>
      <c r="F883" s="4">
        <f>Source!V860</f>
        <v>0</v>
      </c>
      <c r="G883" s="4" t="s">
        <v>78</v>
      </c>
      <c r="H883" s="4" t="s">
        <v>79</v>
      </c>
      <c r="I883" s="4"/>
      <c r="J883" s="4"/>
      <c r="K883" s="4">
        <v>208</v>
      </c>
      <c r="L883" s="4">
        <v>22</v>
      </c>
      <c r="M883" s="4">
        <v>3</v>
      </c>
      <c r="N883" s="4" t="s">
        <v>3</v>
      </c>
      <c r="O883" s="4">
        <v>-1</v>
      </c>
      <c r="P883" s="4"/>
      <c r="Q883" s="4"/>
      <c r="R883" s="4"/>
      <c r="S883" s="4"/>
      <c r="T883" s="4"/>
      <c r="U883" s="4"/>
      <c r="V883" s="4"/>
      <c r="W883" s="4">
        <v>0</v>
      </c>
      <c r="X883" s="4">
        <v>1</v>
      </c>
      <c r="Y883" s="4">
        <v>0</v>
      </c>
      <c r="Z883" s="4"/>
      <c r="AA883" s="4"/>
      <c r="AB883" s="4"/>
    </row>
    <row r="884" spans="1:245" x14ac:dyDescent="0.2">
      <c r="A884" s="4">
        <v>50</v>
      </c>
      <c r="B884" s="4">
        <v>0</v>
      </c>
      <c r="C884" s="4">
        <v>0</v>
      </c>
      <c r="D884" s="4">
        <v>1</v>
      </c>
      <c r="E884" s="4">
        <v>209</v>
      </c>
      <c r="F884" s="4">
        <f>ROUND(Source!W860,O884)</f>
        <v>0</v>
      </c>
      <c r="G884" s="4" t="s">
        <v>80</v>
      </c>
      <c r="H884" s="4" t="s">
        <v>81</v>
      </c>
      <c r="I884" s="4"/>
      <c r="J884" s="4"/>
      <c r="K884" s="4">
        <v>209</v>
      </c>
      <c r="L884" s="4">
        <v>23</v>
      </c>
      <c r="M884" s="4">
        <v>3</v>
      </c>
      <c r="N884" s="4" t="s">
        <v>3</v>
      </c>
      <c r="O884" s="4">
        <v>2</v>
      </c>
      <c r="P884" s="4"/>
      <c r="Q884" s="4"/>
      <c r="R884" s="4"/>
      <c r="S884" s="4"/>
      <c r="T884" s="4"/>
      <c r="U884" s="4"/>
      <c r="V884" s="4"/>
      <c r="W884" s="4">
        <v>0</v>
      </c>
      <c r="X884" s="4">
        <v>1</v>
      </c>
      <c r="Y884" s="4">
        <v>0</v>
      </c>
      <c r="Z884" s="4"/>
      <c r="AA884" s="4"/>
      <c r="AB884" s="4"/>
    </row>
    <row r="885" spans="1:245" x14ac:dyDescent="0.2">
      <c r="A885" s="4">
        <v>50</v>
      </c>
      <c r="B885" s="4">
        <v>0</v>
      </c>
      <c r="C885" s="4">
        <v>0</v>
      </c>
      <c r="D885" s="4">
        <v>1</v>
      </c>
      <c r="E885" s="4">
        <v>233</v>
      </c>
      <c r="F885" s="4">
        <f>ROUND(Source!BD860,O885)</f>
        <v>0</v>
      </c>
      <c r="G885" s="4" t="s">
        <v>82</v>
      </c>
      <c r="H885" s="4" t="s">
        <v>83</v>
      </c>
      <c r="I885" s="4"/>
      <c r="J885" s="4"/>
      <c r="K885" s="4">
        <v>233</v>
      </c>
      <c r="L885" s="4">
        <v>24</v>
      </c>
      <c r="M885" s="4">
        <v>3</v>
      </c>
      <c r="N885" s="4" t="s">
        <v>3</v>
      </c>
      <c r="O885" s="4">
        <v>2</v>
      </c>
      <c r="P885" s="4"/>
      <c r="Q885" s="4"/>
      <c r="R885" s="4"/>
      <c r="S885" s="4"/>
      <c r="T885" s="4"/>
      <c r="U885" s="4"/>
      <c r="V885" s="4"/>
      <c r="W885" s="4">
        <v>0</v>
      </c>
      <c r="X885" s="4">
        <v>1</v>
      </c>
      <c r="Y885" s="4">
        <v>0</v>
      </c>
      <c r="Z885" s="4"/>
      <c r="AA885" s="4"/>
      <c r="AB885" s="4"/>
    </row>
    <row r="886" spans="1:245" x14ac:dyDescent="0.2">
      <c r="A886" s="4">
        <v>50</v>
      </c>
      <c r="B886" s="4">
        <v>0</v>
      </c>
      <c r="C886" s="4">
        <v>0</v>
      </c>
      <c r="D886" s="4">
        <v>1</v>
      </c>
      <c r="E886" s="4">
        <v>210</v>
      </c>
      <c r="F886" s="4">
        <f>ROUND(Source!X860,O886)</f>
        <v>500440.04</v>
      </c>
      <c r="G886" s="4" t="s">
        <v>84</v>
      </c>
      <c r="H886" s="4" t="s">
        <v>85</v>
      </c>
      <c r="I886" s="4"/>
      <c r="J886" s="4"/>
      <c r="K886" s="4">
        <v>210</v>
      </c>
      <c r="L886" s="4">
        <v>25</v>
      </c>
      <c r="M886" s="4">
        <v>3</v>
      </c>
      <c r="N886" s="4" t="s">
        <v>3</v>
      </c>
      <c r="O886" s="4">
        <v>2</v>
      </c>
      <c r="P886" s="4"/>
      <c r="Q886" s="4"/>
      <c r="R886" s="4"/>
      <c r="S886" s="4"/>
      <c r="T886" s="4"/>
      <c r="U886" s="4"/>
      <c r="V886" s="4"/>
      <c r="W886" s="4">
        <v>500440.04</v>
      </c>
      <c r="X886" s="4">
        <v>1</v>
      </c>
      <c r="Y886" s="4">
        <v>500440.04</v>
      </c>
      <c r="Z886" s="4"/>
      <c r="AA886" s="4"/>
      <c r="AB886" s="4"/>
    </row>
    <row r="887" spans="1:245" x14ac:dyDescent="0.2">
      <c r="A887" s="4">
        <v>50</v>
      </c>
      <c r="B887" s="4">
        <v>0</v>
      </c>
      <c r="C887" s="4">
        <v>0</v>
      </c>
      <c r="D887" s="4">
        <v>1</v>
      </c>
      <c r="E887" s="4">
        <v>211</v>
      </c>
      <c r="F887" s="4">
        <f>ROUND(Source!Y860,O887)</f>
        <v>71491.42</v>
      </c>
      <c r="G887" s="4" t="s">
        <v>86</v>
      </c>
      <c r="H887" s="4" t="s">
        <v>87</v>
      </c>
      <c r="I887" s="4"/>
      <c r="J887" s="4"/>
      <c r="K887" s="4">
        <v>211</v>
      </c>
      <c r="L887" s="4">
        <v>26</v>
      </c>
      <c r="M887" s="4">
        <v>3</v>
      </c>
      <c r="N887" s="4" t="s">
        <v>3</v>
      </c>
      <c r="O887" s="4">
        <v>2</v>
      </c>
      <c r="P887" s="4"/>
      <c r="Q887" s="4"/>
      <c r="R887" s="4"/>
      <c r="S887" s="4"/>
      <c r="T887" s="4"/>
      <c r="U887" s="4"/>
      <c r="V887" s="4"/>
      <c r="W887" s="4">
        <v>71491.42</v>
      </c>
      <c r="X887" s="4">
        <v>1</v>
      </c>
      <c r="Y887" s="4">
        <v>71491.42</v>
      </c>
      <c r="Z887" s="4"/>
      <c r="AA887" s="4"/>
      <c r="AB887" s="4"/>
    </row>
    <row r="888" spans="1:245" x14ac:dyDescent="0.2">
      <c r="A888" s="4">
        <v>50</v>
      </c>
      <c r="B888" s="4">
        <v>0</v>
      </c>
      <c r="C888" s="4">
        <v>0</v>
      </c>
      <c r="D888" s="4">
        <v>1</v>
      </c>
      <c r="E888" s="4">
        <v>224</v>
      </c>
      <c r="F888" s="4">
        <f>ROUND(Source!AR860,O888)</f>
        <v>1299055.97</v>
      </c>
      <c r="G888" s="4" t="s">
        <v>88</v>
      </c>
      <c r="H888" s="4" t="s">
        <v>89</v>
      </c>
      <c r="I888" s="4"/>
      <c r="J888" s="4"/>
      <c r="K888" s="4">
        <v>224</v>
      </c>
      <c r="L888" s="4">
        <v>27</v>
      </c>
      <c r="M888" s="4">
        <v>3</v>
      </c>
      <c r="N888" s="4" t="s">
        <v>3</v>
      </c>
      <c r="O888" s="4">
        <v>2</v>
      </c>
      <c r="P888" s="4"/>
      <c r="Q888" s="4"/>
      <c r="R888" s="4"/>
      <c r="S888" s="4"/>
      <c r="T888" s="4"/>
      <c r="U888" s="4"/>
      <c r="V888" s="4"/>
      <c r="W888" s="4">
        <v>1299055.97</v>
      </c>
      <c r="X888" s="4">
        <v>1</v>
      </c>
      <c r="Y888" s="4">
        <v>1299055.97</v>
      </c>
      <c r="Z888" s="4"/>
      <c r="AA888" s="4"/>
      <c r="AB888" s="4"/>
    </row>
    <row r="890" spans="1:245" x14ac:dyDescent="0.2">
      <c r="A890" s="1">
        <v>5</v>
      </c>
      <c r="B890" s="1">
        <v>1</v>
      </c>
      <c r="C890" s="1"/>
      <c r="D890" s="1">
        <f>ROW(A897)</f>
        <v>897</v>
      </c>
      <c r="E890" s="1"/>
      <c r="F890" s="1" t="s">
        <v>15</v>
      </c>
      <c r="G890" s="1" t="s">
        <v>834</v>
      </c>
      <c r="H890" s="1" t="s">
        <v>3</v>
      </c>
      <c r="I890" s="1">
        <v>0</v>
      </c>
      <c r="J890" s="1"/>
      <c r="K890" s="1">
        <v>-1</v>
      </c>
      <c r="L890" s="1"/>
      <c r="M890" s="1" t="s">
        <v>3</v>
      </c>
      <c r="N890" s="1"/>
      <c r="O890" s="1"/>
      <c r="P890" s="1"/>
      <c r="Q890" s="1"/>
      <c r="R890" s="1"/>
      <c r="S890" s="1">
        <v>0</v>
      </c>
      <c r="T890" s="1"/>
      <c r="U890" s="1" t="s">
        <v>3</v>
      </c>
      <c r="V890" s="1">
        <v>0</v>
      </c>
      <c r="W890" s="1"/>
      <c r="X890" s="1"/>
      <c r="Y890" s="1"/>
      <c r="Z890" s="1"/>
      <c r="AA890" s="1"/>
      <c r="AB890" s="1" t="s">
        <v>3</v>
      </c>
      <c r="AC890" s="1" t="s">
        <v>3</v>
      </c>
      <c r="AD890" s="1" t="s">
        <v>3</v>
      </c>
      <c r="AE890" s="1" t="s">
        <v>3</v>
      </c>
      <c r="AF890" s="1" t="s">
        <v>3</v>
      </c>
      <c r="AG890" s="1" t="s">
        <v>3</v>
      </c>
      <c r="AH890" s="1"/>
      <c r="AI890" s="1"/>
      <c r="AJ890" s="1"/>
      <c r="AK890" s="1"/>
      <c r="AL890" s="1"/>
      <c r="AM890" s="1"/>
      <c r="AN890" s="1"/>
      <c r="AO890" s="1"/>
      <c r="AP890" s="1" t="s">
        <v>3</v>
      </c>
      <c r="AQ890" s="1" t="s">
        <v>3</v>
      </c>
      <c r="AR890" s="1" t="s">
        <v>3</v>
      </c>
      <c r="AS890" s="1"/>
      <c r="AT890" s="1"/>
      <c r="AU890" s="1"/>
      <c r="AV890" s="1"/>
      <c r="AW890" s="1"/>
      <c r="AX890" s="1"/>
      <c r="AY890" s="1"/>
      <c r="AZ890" s="1" t="s">
        <v>3</v>
      </c>
      <c r="BA890" s="1"/>
      <c r="BB890" s="1" t="s">
        <v>3</v>
      </c>
      <c r="BC890" s="1" t="s">
        <v>3</v>
      </c>
      <c r="BD890" s="1" t="s">
        <v>3</v>
      </c>
      <c r="BE890" s="1" t="s">
        <v>3</v>
      </c>
      <c r="BF890" s="1" t="s">
        <v>3</v>
      </c>
      <c r="BG890" s="1" t="s">
        <v>3</v>
      </c>
      <c r="BH890" s="1" t="s">
        <v>3</v>
      </c>
      <c r="BI890" s="1" t="s">
        <v>3</v>
      </c>
      <c r="BJ890" s="1" t="s">
        <v>3</v>
      </c>
      <c r="BK890" s="1" t="s">
        <v>3</v>
      </c>
      <c r="BL890" s="1" t="s">
        <v>3</v>
      </c>
      <c r="BM890" s="1" t="s">
        <v>3</v>
      </c>
      <c r="BN890" s="1" t="s">
        <v>3</v>
      </c>
      <c r="BO890" s="1" t="s">
        <v>3</v>
      </c>
      <c r="BP890" s="1" t="s">
        <v>3</v>
      </c>
      <c r="BQ890" s="1"/>
      <c r="BR890" s="1"/>
      <c r="BS890" s="1"/>
      <c r="BT890" s="1"/>
      <c r="BU890" s="1"/>
      <c r="BV890" s="1"/>
      <c r="BW890" s="1"/>
      <c r="BX890" s="1">
        <v>0</v>
      </c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>
        <v>0</v>
      </c>
    </row>
    <row r="892" spans="1:245" x14ac:dyDescent="0.2">
      <c r="A892" s="2">
        <v>52</v>
      </c>
      <c r="B892" s="2">
        <f t="shared" ref="B892:G892" si="907">B897</f>
        <v>1</v>
      </c>
      <c r="C892" s="2">
        <f t="shared" si="907"/>
        <v>5</v>
      </c>
      <c r="D892" s="2">
        <f t="shared" si="907"/>
        <v>890</v>
      </c>
      <c r="E892" s="2">
        <f t="shared" si="907"/>
        <v>0</v>
      </c>
      <c r="F892" s="2" t="str">
        <f t="shared" si="907"/>
        <v>Новый подраздел</v>
      </c>
      <c r="G892" s="2" t="str">
        <f t="shared" si="907"/>
        <v>Система молниезащиты и заземления</v>
      </c>
      <c r="H892" s="2"/>
      <c r="I892" s="2"/>
      <c r="J892" s="2"/>
      <c r="K892" s="2"/>
      <c r="L892" s="2"/>
      <c r="M892" s="2"/>
      <c r="N892" s="2"/>
      <c r="O892" s="2">
        <f t="shared" ref="O892:AT892" si="908">O897</f>
        <v>0</v>
      </c>
      <c r="P892" s="2">
        <f t="shared" si="908"/>
        <v>0</v>
      </c>
      <c r="Q892" s="2">
        <f t="shared" si="908"/>
        <v>0</v>
      </c>
      <c r="R892" s="2">
        <f t="shared" si="908"/>
        <v>0</v>
      </c>
      <c r="S892" s="2">
        <f t="shared" si="908"/>
        <v>0</v>
      </c>
      <c r="T892" s="2">
        <f t="shared" si="908"/>
        <v>0</v>
      </c>
      <c r="U892" s="2">
        <f t="shared" si="908"/>
        <v>0</v>
      </c>
      <c r="V892" s="2">
        <f t="shared" si="908"/>
        <v>0</v>
      </c>
      <c r="W892" s="2">
        <f t="shared" si="908"/>
        <v>0</v>
      </c>
      <c r="X892" s="2">
        <f t="shared" si="908"/>
        <v>0</v>
      </c>
      <c r="Y892" s="2">
        <f t="shared" si="908"/>
        <v>0</v>
      </c>
      <c r="Z892" s="2">
        <f t="shared" si="908"/>
        <v>0</v>
      </c>
      <c r="AA892" s="2">
        <f t="shared" si="908"/>
        <v>0</v>
      </c>
      <c r="AB892" s="2">
        <f t="shared" si="908"/>
        <v>0</v>
      </c>
      <c r="AC892" s="2">
        <f t="shared" si="908"/>
        <v>0</v>
      </c>
      <c r="AD892" s="2">
        <f t="shared" si="908"/>
        <v>0</v>
      </c>
      <c r="AE892" s="2">
        <f t="shared" si="908"/>
        <v>0</v>
      </c>
      <c r="AF892" s="2">
        <f t="shared" si="908"/>
        <v>0</v>
      </c>
      <c r="AG892" s="2">
        <f t="shared" si="908"/>
        <v>0</v>
      </c>
      <c r="AH892" s="2">
        <f t="shared" si="908"/>
        <v>0</v>
      </c>
      <c r="AI892" s="2">
        <f t="shared" si="908"/>
        <v>0</v>
      </c>
      <c r="AJ892" s="2">
        <f t="shared" si="908"/>
        <v>0</v>
      </c>
      <c r="AK892" s="2">
        <f t="shared" si="908"/>
        <v>0</v>
      </c>
      <c r="AL892" s="2">
        <f t="shared" si="908"/>
        <v>0</v>
      </c>
      <c r="AM892" s="2">
        <f t="shared" si="908"/>
        <v>0</v>
      </c>
      <c r="AN892" s="2">
        <f t="shared" si="908"/>
        <v>0</v>
      </c>
      <c r="AO892" s="2">
        <f t="shared" si="908"/>
        <v>0</v>
      </c>
      <c r="AP892" s="2">
        <f t="shared" si="908"/>
        <v>0</v>
      </c>
      <c r="AQ892" s="2">
        <f t="shared" si="908"/>
        <v>0</v>
      </c>
      <c r="AR892" s="2">
        <f t="shared" si="908"/>
        <v>0</v>
      </c>
      <c r="AS892" s="2">
        <f t="shared" si="908"/>
        <v>0</v>
      </c>
      <c r="AT892" s="2">
        <f t="shared" si="908"/>
        <v>0</v>
      </c>
      <c r="AU892" s="2">
        <f t="shared" ref="AU892:BZ892" si="909">AU897</f>
        <v>0</v>
      </c>
      <c r="AV892" s="2">
        <f t="shared" si="909"/>
        <v>0</v>
      </c>
      <c r="AW892" s="2">
        <f t="shared" si="909"/>
        <v>0</v>
      </c>
      <c r="AX892" s="2">
        <f t="shared" si="909"/>
        <v>0</v>
      </c>
      <c r="AY892" s="2">
        <f t="shared" si="909"/>
        <v>0</v>
      </c>
      <c r="AZ892" s="2">
        <f t="shared" si="909"/>
        <v>0</v>
      </c>
      <c r="BA892" s="2">
        <f t="shared" si="909"/>
        <v>0</v>
      </c>
      <c r="BB892" s="2">
        <f t="shared" si="909"/>
        <v>0</v>
      </c>
      <c r="BC892" s="2">
        <f t="shared" si="909"/>
        <v>0</v>
      </c>
      <c r="BD892" s="2">
        <f t="shared" si="909"/>
        <v>0</v>
      </c>
      <c r="BE892" s="2">
        <f t="shared" si="909"/>
        <v>0</v>
      </c>
      <c r="BF892" s="2">
        <f t="shared" si="909"/>
        <v>0</v>
      </c>
      <c r="BG892" s="2">
        <f t="shared" si="909"/>
        <v>0</v>
      </c>
      <c r="BH892" s="2">
        <f t="shared" si="909"/>
        <v>0</v>
      </c>
      <c r="BI892" s="2">
        <f t="shared" si="909"/>
        <v>0</v>
      </c>
      <c r="BJ892" s="2">
        <f t="shared" si="909"/>
        <v>0</v>
      </c>
      <c r="BK892" s="2">
        <f t="shared" si="909"/>
        <v>0</v>
      </c>
      <c r="BL892" s="2">
        <f t="shared" si="909"/>
        <v>0</v>
      </c>
      <c r="BM892" s="2">
        <f t="shared" si="909"/>
        <v>0</v>
      </c>
      <c r="BN892" s="2">
        <f t="shared" si="909"/>
        <v>0</v>
      </c>
      <c r="BO892" s="2">
        <f t="shared" si="909"/>
        <v>0</v>
      </c>
      <c r="BP892" s="2">
        <f t="shared" si="909"/>
        <v>0</v>
      </c>
      <c r="BQ892" s="2">
        <f t="shared" si="909"/>
        <v>0</v>
      </c>
      <c r="BR892" s="2">
        <f t="shared" si="909"/>
        <v>0</v>
      </c>
      <c r="BS892" s="2">
        <f t="shared" si="909"/>
        <v>0</v>
      </c>
      <c r="BT892" s="2">
        <f t="shared" si="909"/>
        <v>0</v>
      </c>
      <c r="BU892" s="2">
        <f t="shared" si="909"/>
        <v>0</v>
      </c>
      <c r="BV892" s="2">
        <f t="shared" si="909"/>
        <v>0</v>
      </c>
      <c r="BW892" s="2">
        <f t="shared" si="909"/>
        <v>0</v>
      </c>
      <c r="BX892" s="2">
        <f t="shared" si="909"/>
        <v>0</v>
      </c>
      <c r="BY892" s="2">
        <f t="shared" si="909"/>
        <v>0</v>
      </c>
      <c r="BZ892" s="2">
        <f t="shared" si="909"/>
        <v>0</v>
      </c>
      <c r="CA892" s="2">
        <f t="shared" ref="CA892:DF892" si="910">CA897</f>
        <v>0</v>
      </c>
      <c r="CB892" s="2">
        <f t="shared" si="910"/>
        <v>0</v>
      </c>
      <c r="CC892" s="2">
        <f t="shared" si="910"/>
        <v>0</v>
      </c>
      <c r="CD892" s="2">
        <f t="shared" si="910"/>
        <v>0</v>
      </c>
      <c r="CE892" s="2">
        <f t="shared" si="910"/>
        <v>0</v>
      </c>
      <c r="CF892" s="2">
        <f t="shared" si="910"/>
        <v>0</v>
      </c>
      <c r="CG892" s="2">
        <f t="shared" si="910"/>
        <v>0</v>
      </c>
      <c r="CH892" s="2">
        <f t="shared" si="910"/>
        <v>0</v>
      </c>
      <c r="CI892" s="2">
        <f t="shared" si="910"/>
        <v>0</v>
      </c>
      <c r="CJ892" s="2">
        <f t="shared" si="910"/>
        <v>0</v>
      </c>
      <c r="CK892" s="2">
        <f t="shared" si="910"/>
        <v>0</v>
      </c>
      <c r="CL892" s="2">
        <f t="shared" si="910"/>
        <v>0</v>
      </c>
      <c r="CM892" s="2">
        <f t="shared" si="910"/>
        <v>0</v>
      </c>
      <c r="CN892" s="2">
        <f t="shared" si="910"/>
        <v>0</v>
      </c>
      <c r="CO892" s="2">
        <f t="shared" si="910"/>
        <v>0</v>
      </c>
      <c r="CP892" s="2">
        <f t="shared" si="910"/>
        <v>0</v>
      </c>
      <c r="CQ892" s="2">
        <f t="shared" si="910"/>
        <v>0</v>
      </c>
      <c r="CR892" s="2">
        <f t="shared" si="910"/>
        <v>0</v>
      </c>
      <c r="CS892" s="2">
        <f t="shared" si="910"/>
        <v>0</v>
      </c>
      <c r="CT892" s="2">
        <f t="shared" si="910"/>
        <v>0</v>
      </c>
      <c r="CU892" s="2">
        <f t="shared" si="910"/>
        <v>0</v>
      </c>
      <c r="CV892" s="2">
        <f t="shared" si="910"/>
        <v>0</v>
      </c>
      <c r="CW892" s="2">
        <f t="shared" si="910"/>
        <v>0</v>
      </c>
      <c r="CX892" s="2">
        <f t="shared" si="910"/>
        <v>0</v>
      </c>
      <c r="CY892" s="2">
        <f t="shared" si="910"/>
        <v>0</v>
      </c>
      <c r="CZ892" s="2">
        <f t="shared" si="910"/>
        <v>0</v>
      </c>
      <c r="DA892" s="2">
        <f t="shared" si="910"/>
        <v>0</v>
      </c>
      <c r="DB892" s="2">
        <f t="shared" si="910"/>
        <v>0</v>
      </c>
      <c r="DC892" s="2">
        <f t="shared" si="910"/>
        <v>0</v>
      </c>
      <c r="DD892" s="2">
        <f t="shared" si="910"/>
        <v>0</v>
      </c>
      <c r="DE892" s="2">
        <f t="shared" si="910"/>
        <v>0</v>
      </c>
      <c r="DF892" s="2">
        <f t="shared" si="910"/>
        <v>0</v>
      </c>
      <c r="DG892" s="3">
        <f t="shared" ref="DG892:EL892" si="911">DG897</f>
        <v>0</v>
      </c>
      <c r="DH892" s="3">
        <f t="shared" si="911"/>
        <v>0</v>
      </c>
      <c r="DI892" s="3">
        <f t="shared" si="911"/>
        <v>0</v>
      </c>
      <c r="DJ892" s="3">
        <f t="shared" si="911"/>
        <v>0</v>
      </c>
      <c r="DK892" s="3">
        <f t="shared" si="911"/>
        <v>0</v>
      </c>
      <c r="DL892" s="3">
        <f t="shared" si="911"/>
        <v>0</v>
      </c>
      <c r="DM892" s="3">
        <f t="shared" si="911"/>
        <v>0</v>
      </c>
      <c r="DN892" s="3">
        <f t="shared" si="911"/>
        <v>0</v>
      </c>
      <c r="DO892" s="3">
        <f t="shared" si="911"/>
        <v>0</v>
      </c>
      <c r="DP892" s="3">
        <f t="shared" si="911"/>
        <v>0</v>
      </c>
      <c r="DQ892" s="3">
        <f t="shared" si="911"/>
        <v>0</v>
      </c>
      <c r="DR892" s="3">
        <f t="shared" si="911"/>
        <v>0</v>
      </c>
      <c r="DS892" s="3">
        <f t="shared" si="911"/>
        <v>0</v>
      </c>
      <c r="DT892" s="3">
        <f t="shared" si="911"/>
        <v>0</v>
      </c>
      <c r="DU892" s="3">
        <f t="shared" si="911"/>
        <v>0</v>
      </c>
      <c r="DV892" s="3">
        <f t="shared" si="911"/>
        <v>0</v>
      </c>
      <c r="DW892" s="3">
        <f t="shared" si="911"/>
        <v>0</v>
      </c>
      <c r="DX892" s="3">
        <f t="shared" si="911"/>
        <v>0</v>
      </c>
      <c r="DY892" s="3">
        <f t="shared" si="911"/>
        <v>0</v>
      </c>
      <c r="DZ892" s="3">
        <f t="shared" si="911"/>
        <v>0</v>
      </c>
      <c r="EA892" s="3">
        <f t="shared" si="911"/>
        <v>0</v>
      </c>
      <c r="EB892" s="3">
        <f t="shared" si="911"/>
        <v>0</v>
      </c>
      <c r="EC892" s="3">
        <f t="shared" si="911"/>
        <v>0</v>
      </c>
      <c r="ED892" s="3">
        <f t="shared" si="911"/>
        <v>0</v>
      </c>
      <c r="EE892" s="3">
        <f t="shared" si="911"/>
        <v>0</v>
      </c>
      <c r="EF892" s="3">
        <f t="shared" si="911"/>
        <v>0</v>
      </c>
      <c r="EG892" s="3">
        <f t="shared" si="911"/>
        <v>0</v>
      </c>
      <c r="EH892" s="3">
        <f t="shared" si="911"/>
        <v>0</v>
      </c>
      <c r="EI892" s="3">
        <f t="shared" si="911"/>
        <v>0</v>
      </c>
      <c r="EJ892" s="3">
        <f t="shared" si="911"/>
        <v>0</v>
      </c>
      <c r="EK892" s="3">
        <f t="shared" si="911"/>
        <v>0</v>
      </c>
      <c r="EL892" s="3">
        <f t="shared" si="911"/>
        <v>0</v>
      </c>
      <c r="EM892" s="3">
        <f t="shared" ref="EM892:FR892" si="912">EM897</f>
        <v>0</v>
      </c>
      <c r="EN892" s="3">
        <f t="shared" si="912"/>
        <v>0</v>
      </c>
      <c r="EO892" s="3">
        <f t="shared" si="912"/>
        <v>0</v>
      </c>
      <c r="EP892" s="3">
        <f t="shared" si="912"/>
        <v>0</v>
      </c>
      <c r="EQ892" s="3">
        <f t="shared" si="912"/>
        <v>0</v>
      </c>
      <c r="ER892" s="3">
        <f t="shared" si="912"/>
        <v>0</v>
      </c>
      <c r="ES892" s="3">
        <f t="shared" si="912"/>
        <v>0</v>
      </c>
      <c r="ET892" s="3">
        <f t="shared" si="912"/>
        <v>0</v>
      </c>
      <c r="EU892" s="3">
        <f t="shared" si="912"/>
        <v>0</v>
      </c>
      <c r="EV892" s="3">
        <f t="shared" si="912"/>
        <v>0</v>
      </c>
      <c r="EW892" s="3">
        <f t="shared" si="912"/>
        <v>0</v>
      </c>
      <c r="EX892" s="3">
        <f t="shared" si="912"/>
        <v>0</v>
      </c>
      <c r="EY892" s="3">
        <f t="shared" si="912"/>
        <v>0</v>
      </c>
      <c r="EZ892" s="3">
        <f t="shared" si="912"/>
        <v>0</v>
      </c>
      <c r="FA892" s="3">
        <f t="shared" si="912"/>
        <v>0</v>
      </c>
      <c r="FB892" s="3">
        <f t="shared" si="912"/>
        <v>0</v>
      </c>
      <c r="FC892" s="3">
        <f t="shared" si="912"/>
        <v>0</v>
      </c>
      <c r="FD892" s="3">
        <f t="shared" si="912"/>
        <v>0</v>
      </c>
      <c r="FE892" s="3">
        <f t="shared" si="912"/>
        <v>0</v>
      </c>
      <c r="FF892" s="3">
        <f t="shared" si="912"/>
        <v>0</v>
      </c>
      <c r="FG892" s="3">
        <f t="shared" si="912"/>
        <v>0</v>
      </c>
      <c r="FH892" s="3">
        <f t="shared" si="912"/>
        <v>0</v>
      </c>
      <c r="FI892" s="3">
        <f t="shared" si="912"/>
        <v>0</v>
      </c>
      <c r="FJ892" s="3">
        <f t="shared" si="912"/>
        <v>0</v>
      </c>
      <c r="FK892" s="3">
        <f t="shared" si="912"/>
        <v>0</v>
      </c>
      <c r="FL892" s="3">
        <f t="shared" si="912"/>
        <v>0</v>
      </c>
      <c r="FM892" s="3">
        <f t="shared" si="912"/>
        <v>0</v>
      </c>
      <c r="FN892" s="3">
        <f t="shared" si="912"/>
        <v>0</v>
      </c>
      <c r="FO892" s="3">
        <f t="shared" si="912"/>
        <v>0</v>
      </c>
      <c r="FP892" s="3">
        <f t="shared" si="912"/>
        <v>0</v>
      </c>
      <c r="FQ892" s="3">
        <f t="shared" si="912"/>
        <v>0</v>
      </c>
      <c r="FR892" s="3">
        <f t="shared" si="912"/>
        <v>0</v>
      </c>
      <c r="FS892" s="3">
        <f t="shared" ref="FS892:GX892" si="913">FS897</f>
        <v>0</v>
      </c>
      <c r="FT892" s="3">
        <f t="shared" si="913"/>
        <v>0</v>
      </c>
      <c r="FU892" s="3">
        <f t="shared" si="913"/>
        <v>0</v>
      </c>
      <c r="FV892" s="3">
        <f t="shared" si="913"/>
        <v>0</v>
      </c>
      <c r="FW892" s="3">
        <f t="shared" si="913"/>
        <v>0</v>
      </c>
      <c r="FX892" s="3">
        <f t="shared" si="913"/>
        <v>0</v>
      </c>
      <c r="FY892" s="3">
        <f t="shared" si="913"/>
        <v>0</v>
      </c>
      <c r="FZ892" s="3">
        <f t="shared" si="913"/>
        <v>0</v>
      </c>
      <c r="GA892" s="3">
        <f t="shared" si="913"/>
        <v>0</v>
      </c>
      <c r="GB892" s="3">
        <f t="shared" si="913"/>
        <v>0</v>
      </c>
      <c r="GC892" s="3">
        <f t="shared" si="913"/>
        <v>0</v>
      </c>
      <c r="GD892" s="3">
        <f t="shared" si="913"/>
        <v>0</v>
      </c>
      <c r="GE892" s="3">
        <f t="shared" si="913"/>
        <v>0</v>
      </c>
      <c r="GF892" s="3">
        <f t="shared" si="913"/>
        <v>0</v>
      </c>
      <c r="GG892" s="3">
        <f t="shared" si="913"/>
        <v>0</v>
      </c>
      <c r="GH892" s="3">
        <f t="shared" si="913"/>
        <v>0</v>
      </c>
      <c r="GI892" s="3">
        <f t="shared" si="913"/>
        <v>0</v>
      </c>
      <c r="GJ892" s="3">
        <f t="shared" si="913"/>
        <v>0</v>
      </c>
      <c r="GK892" s="3">
        <f t="shared" si="913"/>
        <v>0</v>
      </c>
      <c r="GL892" s="3">
        <f t="shared" si="913"/>
        <v>0</v>
      </c>
      <c r="GM892" s="3">
        <f t="shared" si="913"/>
        <v>0</v>
      </c>
      <c r="GN892" s="3">
        <f t="shared" si="913"/>
        <v>0</v>
      </c>
      <c r="GO892" s="3">
        <f t="shared" si="913"/>
        <v>0</v>
      </c>
      <c r="GP892" s="3">
        <f t="shared" si="913"/>
        <v>0</v>
      </c>
      <c r="GQ892" s="3">
        <f t="shared" si="913"/>
        <v>0</v>
      </c>
      <c r="GR892" s="3">
        <f t="shared" si="913"/>
        <v>0</v>
      </c>
      <c r="GS892" s="3">
        <f t="shared" si="913"/>
        <v>0</v>
      </c>
      <c r="GT892" s="3">
        <f t="shared" si="913"/>
        <v>0</v>
      </c>
      <c r="GU892" s="3">
        <f t="shared" si="913"/>
        <v>0</v>
      </c>
      <c r="GV892" s="3">
        <f t="shared" si="913"/>
        <v>0</v>
      </c>
      <c r="GW892" s="3">
        <f t="shared" si="913"/>
        <v>0</v>
      </c>
      <c r="GX892" s="3">
        <f t="shared" si="913"/>
        <v>0</v>
      </c>
    </row>
    <row r="894" spans="1:245" x14ac:dyDescent="0.2">
      <c r="A894">
        <v>17</v>
      </c>
      <c r="B894">
        <v>1</v>
      </c>
      <c r="D894">
        <f>ROW(EtalonRes!A897)</f>
        <v>897</v>
      </c>
      <c r="E894" t="s">
        <v>3</v>
      </c>
      <c r="F894" t="s">
        <v>835</v>
      </c>
      <c r="G894" t="s">
        <v>836</v>
      </c>
      <c r="H894" t="s">
        <v>104</v>
      </c>
      <c r="I894">
        <f>ROUND((3600+936+81)*0.1/100,9)</f>
        <v>4.617</v>
      </c>
      <c r="J894">
        <v>0</v>
      </c>
      <c r="K894">
        <f>ROUND((3600+936+81)*0.1/100,9)</f>
        <v>4.617</v>
      </c>
      <c r="O894">
        <f>ROUND(CP894,2)</f>
        <v>27538.14</v>
      </c>
      <c r="P894">
        <f>ROUND(CQ894*I894,2)</f>
        <v>103.93</v>
      </c>
      <c r="Q894">
        <f>ROUND(CR894*I894,2)</f>
        <v>0</v>
      </c>
      <c r="R894">
        <f>ROUND(CS894*I894,2)</f>
        <v>0</v>
      </c>
      <c r="S894">
        <f>ROUND(CT894*I894,2)</f>
        <v>27434.21</v>
      </c>
      <c r="T894">
        <f>ROUND(CU894*I894,2)</f>
        <v>0</v>
      </c>
      <c r="U894">
        <f>CV894*I894</f>
        <v>51.248699999999999</v>
      </c>
      <c r="V894">
        <f>CW894*I894</f>
        <v>0</v>
      </c>
      <c r="W894">
        <f>ROUND(CX894*I894,2)</f>
        <v>0</v>
      </c>
      <c r="X894">
        <f>ROUND(CY894,2)</f>
        <v>19203.95</v>
      </c>
      <c r="Y894">
        <f>ROUND(CZ894,2)</f>
        <v>2743.42</v>
      </c>
      <c r="AA894">
        <v>-1</v>
      </c>
      <c r="AB894">
        <f>ROUND((AC894+AD894+AF894),6)</f>
        <v>5964.51</v>
      </c>
      <c r="AC894">
        <f>ROUND((ES894),6)</f>
        <v>22.51</v>
      </c>
      <c r="AD894">
        <f>ROUND((((ET894)-(EU894))+AE894),6)</f>
        <v>0</v>
      </c>
      <c r="AE894">
        <f>ROUND((EU894),6)</f>
        <v>0</v>
      </c>
      <c r="AF894">
        <f>ROUND((EV894),6)</f>
        <v>5942</v>
      </c>
      <c r="AG894">
        <f>ROUND((AP894),6)</f>
        <v>0</v>
      </c>
      <c r="AH894">
        <f>(EW894)</f>
        <v>11.1</v>
      </c>
      <c r="AI894">
        <f>(EX894)</f>
        <v>0</v>
      </c>
      <c r="AJ894">
        <f>(AS894)</f>
        <v>0</v>
      </c>
      <c r="AK894">
        <v>5964.51</v>
      </c>
      <c r="AL894">
        <v>22.51</v>
      </c>
      <c r="AM894">
        <v>0</v>
      </c>
      <c r="AN894">
        <v>0</v>
      </c>
      <c r="AO894">
        <v>5942</v>
      </c>
      <c r="AP894">
        <v>0</v>
      </c>
      <c r="AQ894">
        <v>11.1</v>
      </c>
      <c r="AR894">
        <v>0</v>
      </c>
      <c r="AS894">
        <v>0</v>
      </c>
      <c r="AT894">
        <v>70</v>
      </c>
      <c r="AU894">
        <v>10</v>
      </c>
      <c r="AV894">
        <v>1</v>
      </c>
      <c r="AW894">
        <v>1</v>
      </c>
      <c r="AZ894">
        <v>1</v>
      </c>
      <c r="BA894">
        <v>1</v>
      </c>
      <c r="BB894">
        <v>1</v>
      </c>
      <c r="BC894">
        <v>1</v>
      </c>
      <c r="BD894" t="s">
        <v>3</v>
      </c>
      <c r="BE894" t="s">
        <v>3</v>
      </c>
      <c r="BF894" t="s">
        <v>3</v>
      </c>
      <c r="BG894" t="s">
        <v>3</v>
      </c>
      <c r="BH894">
        <v>0</v>
      </c>
      <c r="BI894">
        <v>4</v>
      </c>
      <c r="BJ894" t="s">
        <v>837</v>
      </c>
      <c r="BM894">
        <v>0</v>
      </c>
      <c r="BN894">
        <v>0</v>
      </c>
      <c r="BO894" t="s">
        <v>3</v>
      </c>
      <c r="BP894">
        <v>0</v>
      </c>
      <c r="BQ894">
        <v>1</v>
      </c>
      <c r="BR894">
        <v>0</v>
      </c>
      <c r="BS894">
        <v>1</v>
      </c>
      <c r="BT894">
        <v>1</v>
      </c>
      <c r="BU894">
        <v>1</v>
      </c>
      <c r="BV894">
        <v>1</v>
      </c>
      <c r="BW894">
        <v>1</v>
      </c>
      <c r="BX894">
        <v>1</v>
      </c>
      <c r="BY894" t="s">
        <v>3</v>
      </c>
      <c r="BZ894">
        <v>70</v>
      </c>
      <c r="CA894">
        <v>10</v>
      </c>
      <c r="CB894" t="s">
        <v>3</v>
      </c>
      <c r="CE894">
        <v>0</v>
      </c>
      <c r="CF894">
        <v>0</v>
      </c>
      <c r="CG894">
        <v>0</v>
      </c>
      <c r="CM894">
        <v>0</v>
      </c>
      <c r="CN894" t="s">
        <v>3</v>
      </c>
      <c r="CO894">
        <v>0</v>
      </c>
      <c r="CP894">
        <f>(P894+Q894+S894)</f>
        <v>27538.14</v>
      </c>
      <c r="CQ894">
        <f>(AC894*BC894*AW894)</f>
        <v>22.51</v>
      </c>
      <c r="CR894">
        <f>((((ET894)*BB894-(EU894)*BS894)+AE894*BS894)*AV894)</f>
        <v>0</v>
      </c>
      <c r="CS894">
        <f>(AE894*BS894*AV894)</f>
        <v>0</v>
      </c>
      <c r="CT894">
        <f>(AF894*BA894*AV894)</f>
        <v>5942</v>
      </c>
      <c r="CU894">
        <f>AG894</f>
        <v>0</v>
      </c>
      <c r="CV894">
        <f>(AH894*AV894)</f>
        <v>11.1</v>
      </c>
      <c r="CW894">
        <f>AI894</f>
        <v>0</v>
      </c>
      <c r="CX894">
        <f>AJ894</f>
        <v>0</v>
      </c>
      <c r="CY894">
        <f>((S894*BZ894)/100)</f>
        <v>19203.947</v>
      </c>
      <c r="CZ894">
        <f>((S894*CA894)/100)</f>
        <v>2743.4209999999998</v>
      </c>
      <c r="DC894" t="s">
        <v>3</v>
      </c>
      <c r="DD894" t="s">
        <v>3</v>
      </c>
      <c r="DE894" t="s">
        <v>3</v>
      </c>
      <c r="DF894" t="s">
        <v>3</v>
      </c>
      <c r="DG894" t="s">
        <v>3</v>
      </c>
      <c r="DH894" t="s">
        <v>3</v>
      </c>
      <c r="DI894" t="s">
        <v>3</v>
      </c>
      <c r="DJ894" t="s">
        <v>3</v>
      </c>
      <c r="DK894" t="s">
        <v>3</v>
      </c>
      <c r="DL894" t="s">
        <v>3</v>
      </c>
      <c r="DM894" t="s">
        <v>3</v>
      </c>
      <c r="DN894">
        <v>0</v>
      </c>
      <c r="DO894">
        <v>0</v>
      </c>
      <c r="DP894">
        <v>1</v>
      </c>
      <c r="DQ894">
        <v>1</v>
      </c>
      <c r="DU894">
        <v>1003</v>
      </c>
      <c r="DV894" t="s">
        <v>104</v>
      </c>
      <c r="DW894" t="s">
        <v>104</v>
      </c>
      <c r="DX894">
        <v>100</v>
      </c>
      <c r="DZ894" t="s">
        <v>3</v>
      </c>
      <c r="EA894" t="s">
        <v>3</v>
      </c>
      <c r="EB894" t="s">
        <v>3</v>
      </c>
      <c r="EC894" t="s">
        <v>3</v>
      </c>
      <c r="EE894">
        <v>1441815344</v>
      </c>
      <c r="EF894">
        <v>1</v>
      </c>
      <c r="EG894" t="s">
        <v>22</v>
      </c>
      <c r="EH894">
        <v>0</v>
      </c>
      <c r="EI894" t="s">
        <v>3</v>
      </c>
      <c r="EJ894">
        <v>4</v>
      </c>
      <c r="EK894">
        <v>0</v>
      </c>
      <c r="EL894" t="s">
        <v>23</v>
      </c>
      <c r="EM894" t="s">
        <v>24</v>
      </c>
      <c r="EO894" t="s">
        <v>3</v>
      </c>
      <c r="EQ894">
        <v>1311744</v>
      </c>
      <c r="ER894">
        <v>5964.51</v>
      </c>
      <c r="ES894">
        <v>22.51</v>
      </c>
      <c r="ET894">
        <v>0</v>
      </c>
      <c r="EU894">
        <v>0</v>
      </c>
      <c r="EV894">
        <v>5942</v>
      </c>
      <c r="EW894">
        <v>11.1</v>
      </c>
      <c r="EX894">
        <v>0</v>
      </c>
      <c r="EY894">
        <v>0</v>
      </c>
      <c r="FQ894">
        <v>0</v>
      </c>
      <c r="FR894">
        <f>ROUND(IF(BI894=3,GM894,0),2)</f>
        <v>0</v>
      </c>
      <c r="FS894">
        <v>0</v>
      </c>
      <c r="FX894">
        <v>70</v>
      </c>
      <c r="FY894">
        <v>10</v>
      </c>
      <c r="GA894" t="s">
        <v>3</v>
      </c>
      <c r="GD894">
        <v>0</v>
      </c>
      <c r="GF894">
        <v>2025558267</v>
      </c>
      <c r="GG894">
        <v>2</v>
      </c>
      <c r="GH894">
        <v>1</v>
      </c>
      <c r="GI894">
        <v>-2</v>
      </c>
      <c r="GJ894">
        <v>0</v>
      </c>
      <c r="GK894">
        <f>ROUND(R894*(R12)/100,2)</f>
        <v>0</v>
      </c>
      <c r="GL894">
        <f>ROUND(IF(AND(BH894=3,BI894=3,FS894&lt;&gt;0),P894,0),2)</f>
        <v>0</v>
      </c>
      <c r="GM894">
        <f>ROUND(O894+X894+Y894+GK894,2)+GX894</f>
        <v>49485.51</v>
      </c>
      <c r="GN894">
        <f>IF(OR(BI894=0,BI894=1),GM894-GX894,0)</f>
        <v>0</v>
      </c>
      <c r="GO894">
        <f>IF(BI894=2,GM894-GX894,0)</f>
        <v>0</v>
      </c>
      <c r="GP894">
        <f>IF(BI894=4,GM894-GX894,0)</f>
        <v>49485.51</v>
      </c>
      <c r="GR894">
        <v>0</v>
      </c>
      <c r="GS894">
        <v>3</v>
      </c>
      <c r="GT894">
        <v>0</v>
      </c>
      <c r="GU894" t="s">
        <v>3</v>
      </c>
      <c r="GV894">
        <f>ROUND((GT894),6)</f>
        <v>0</v>
      </c>
      <c r="GW894">
        <v>1</v>
      </c>
      <c r="GX894">
        <f>ROUND(HC894*I894,2)</f>
        <v>0</v>
      </c>
      <c r="HA894">
        <v>0</v>
      </c>
      <c r="HB894">
        <v>0</v>
      </c>
      <c r="HC894">
        <f>GV894*GW894</f>
        <v>0</v>
      </c>
      <c r="HE894" t="s">
        <v>3</v>
      </c>
      <c r="HF894" t="s">
        <v>3</v>
      </c>
      <c r="HM894" t="s">
        <v>3</v>
      </c>
      <c r="HN894" t="s">
        <v>3</v>
      </c>
      <c r="HO894" t="s">
        <v>3</v>
      </c>
      <c r="HP894" t="s">
        <v>3</v>
      </c>
      <c r="HQ894" t="s">
        <v>3</v>
      </c>
      <c r="IK894">
        <v>0</v>
      </c>
    </row>
    <row r="895" spans="1:245" x14ac:dyDescent="0.2">
      <c r="A895">
        <v>17</v>
      </c>
      <c r="B895">
        <v>1</v>
      </c>
      <c r="D895">
        <f>ROW(EtalonRes!A898)</f>
        <v>898</v>
      </c>
      <c r="E895" t="s">
        <v>3</v>
      </c>
      <c r="F895" t="s">
        <v>838</v>
      </c>
      <c r="G895" t="s">
        <v>839</v>
      </c>
      <c r="H895" t="s">
        <v>104</v>
      </c>
      <c r="I895">
        <f>ROUND((3600+936+81)*0.1/100,9)</f>
        <v>4.617</v>
      </c>
      <c r="J895">
        <v>0</v>
      </c>
      <c r="K895">
        <f>ROUND((3600+936+81)*0.1/100,9)</f>
        <v>4.617</v>
      </c>
      <c r="O895">
        <f>ROUND(CP895,2)</f>
        <v>939.19</v>
      </c>
      <c r="P895">
        <f>ROUND(CQ895*I895,2)</f>
        <v>0</v>
      </c>
      <c r="Q895">
        <f>ROUND(CR895*I895,2)</f>
        <v>0</v>
      </c>
      <c r="R895">
        <f>ROUND(CS895*I895,2)</f>
        <v>0</v>
      </c>
      <c r="S895">
        <f>ROUND(CT895*I895,2)</f>
        <v>939.19</v>
      </c>
      <c r="T895">
        <f>ROUND(CU895*I895,2)</f>
        <v>0</v>
      </c>
      <c r="U895">
        <f>CV895*I895</f>
        <v>1.7544599999999999</v>
      </c>
      <c r="V895">
        <f>CW895*I895</f>
        <v>0</v>
      </c>
      <c r="W895">
        <f>ROUND(CX895*I895,2)</f>
        <v>0</v>
      </c>
      <c r="X895">
        <f>ROUND(CY895,2)</f>
        <v>657.43</v>
      </c>
      <c r="Y895">
        <f>ROUND(CZ895,2)</f>
        <v>93.92</v>
      </c>
      <c r="AA895">
        <v>-1</v>
      </c>
      <c r="AB895">
        <f>ROUND((AC895+AD895+AF895),6)</f>
        <v>203.42</v>
      </c>
      <c r="AC895">
        <f>ROUND((ES895),6)</f>
        <v>0</v>
      </c>
      <c r="AD895">
        <f>ROUND((((ET895)-(EU895))+AE895),6)</f>
        <v>0</v>
      </c>
      <c r="AE895">
        <f>ROUND((EU895),6)</f>
        <v>0</v>
      </c>
      <c r="AF895">
        <f>ROUND((EV895),6)</f>
        <v>203.42</v>
      </c>
      <c r="AG895">
        <f>ROUND((AP895),6)</f>
        <v>0</v>
      </c>
      <c r="AH895">
        <f>(EW895)</f>
        <v>0.38</v>
      </c>
      <c r="AI895">
        <f>(EX895)</f>
        <v>0</v>
      </c>
      <c r="AJ895">
        <f>(AS895)</f>
        <v>0</v>
      </c>
      <c r="AK895">
        <v>203.42</v>
      </c>
      <c r="AL895">
        <v>0</v>
      </c>
      <c r="AM895">
        <v>0</v>
      </c>
      <c r="AN895">
        <v>0</v>
      </c>
      <c r="AO895">
        <v>203.42</v>
      </c>
      <c r="AP895">
        <v>0</v>
      </c>
      <c r="AQ895">
        <v>0.38</v>
      </c>
      <c r="AR895">
        <v>0</v>
      </c>
      <c r="AS895">
        <v>0</v>
      </c>
      <c r="AT895">
        <v>70</v>
      </c>
      <c r="AU895">
        <v>10</v>
      </c>
      <c r="AV895">
        <v>1</v>
      </c>
      <c r="AW895">
        <v>1</v>
      </c>
      <c r="AZ895">
        <v>1</v>
      </c>
      <c r="BA895">
        <v>1</v>
      </c>
      <c r="BB895">
        <v>1</v>
      </c>
      <c r="BC895">
        <v>1</v>
      </c>
      <c r="BD895" t="s">
        <v>3</v>
      </c>
      <c r="BE895" t="s">
        <v>3</v>
      </c>
      <c r="BF895" t="s">
        <v>3</v>
      </c>
      <c r="BG895" t="s">
        <v>3</v>
      </c>
      <c r="BH895">
        <v>0</v>
      </c>
      <c r="BI895">
        <v>4</v>
      </c>
      <c r="BJ895" t="s">
        <v>840</v>
      </c>
      <c r="BM895">
        <v>0</v>
      </c>
      <c r="BN895">
        <v>0</v>
      </c>
      <c r="BO895" t="s">
        <v>3</v>
      </c>
      <c r="BP895">
        <v>0</v>
      </c>
      <c r="BQ895">
        <v>1</v>
      </c>
      <c r="BR895">
        <v>0</v>
      </c>
      <c r="BS895">
        <v>1</v>
      </c>
      <c r="BT895">
        <v>1</v>
      </c>
      <c r="BU895">
        <v>1</v>
      </c>
      <c r="BV895">
        <v>1</v>
      </c>
      <c r="BW895">
        <v>1</v>
      </c>
      <c r="BX895">
        <v>1</v>
      </c>
      <c r="BY895" t="s">
        <v>3</v>
      </c>
      <c r="BZ895">
        <v>70</v>
      </c>
      <c r="CA895">
        <v>10</v>
      </c>
      <c r="CB895" t="s">
        <v>3</v>
      </c>
      <c r="CE895">
        <v>0</v>
      </c>
      <c r="CF895">
        <v>0</v>
      </c>
      <c r="CG895">
        <v>0</v>
      </c>
      <c r="CM895">
        <v>0</v>
      </c>
      <c r="CN895" t="s">
        <v>3</v>
      </c>
      <c r="CO895">
        <v>0</v>
      </c>
      <c r="CP895">
        <f>(P895+Q895+S895)</f>
        <v>939.19</v>
      </c>
      <c r="CQ895">
        <f>(AC895*BC895*AW895)</f>
        <v>0</v>
      </c>
      <c r="CR895">
        <f>((((ET895)*BB895-(EU895)*BS895)+AE895*BS895)*AV895)</f>
        <v>0</v>
      </c>
      <c r="CS895">
        <f>(AE895*BS895*AV895)</f>
        <v>0</v>
      </c>
      <c r="CT895">
        <f>(AF895*BA895*AV895)</f>
        <v>203.42</v>
      </c>
      <c r="CU895">
        <f>AG895</f>
        <v>0</v>
      </c>
      <c r="CV895">
        <f>(AH895*AV895)</f>
        <v>0.38</v>
      </c>
      <c r="CW895">
        <f>AI895</f>
        <v>0</v>
      </c>
      <c r="CX895">
        <f>AJ895</f>
        <v>0</v>
      </c>
      <c r="CY895">
        <f>((S895*BZ895)/100)</f>
        <v>657.43299999999999</v>
      </c>
      <c r="CZ895">
        <f>((S895*CA895)/100)</f>
        <v>93.919000000000011</v>
      </c>
      <c r="DC895" t="s">
        <v>3</v>
      </c>
      <c r="DD895" t="s">
        <v>3</v>
      </c>
      <c r="DE895" t="s">
        <v>3</v>
      </c>
      <c r="DF895" t="s">
        <v>3</v>
      </c>
      <c r="DG895" t="s">
        <v>3</v>
      </c>
      <c r="DH895" t="s">
        <v>3</v>
      </c>
      <c r="DI895" t="s">
        <v>3</v>
      </c>
      <c r="DJ895" t="s">
        <v>3</v>
      </c>
      <c r="DK895" t="s">
        <v>3</v>
      </c>
      <c r="DL895" t="s">
        <v>3</v>
      </c>
      <c r="DM895" t="s">
        <v>3</v>
      </c>
      <c r="DN895">
        <v>0</v>
      </c>
      <c r="DO895">
        <v>0</v>
      </c>
      <c r="DP895">
        <v>1</v>
      </c>
      <c r="DQ895">
        <v>1</v>
      </c>
      <c r="DU895">
        <v>1003</v>
      </c>
      <c r="DV895" t="s">
        <v>104</v>
      </c>
      <c r="DW895" t="s">
        <v>104</v>
      </c>
      <c r="DX895">
        <v>100</v>
      </c>
      <c r="DZ895" t="s">
        <v>3</v>
      </c>
      <c r="EA895" t="s">
        <v>3</v>
      </c>
      <c r="EB895" t="s">
        <v>3</v>
      </c>
      <c r="EC895" t="s">
        <v>3</v>
      </c>
      <c r="EE895">
        <v>1441815344</v>
      </c>
      <c r="EF895">
        <v>1</v>
      </c>
      <c r="EG895" t="s">
        <v>22</v>
      </c>
      <c r="EH895">
        <v>0</v>
      </c>
      <c r="EI895" t="s">
        <v>3</v>
      </c>
      <c r="EJ895">
        <v>4</v>
      </c>
      <c r="EK895">
        <v>0</v>
      </c>
      <c r="EL895" t="s">
        <v>23</v>
      </c>
      <c r="EM895" t="s">
        <v>24</v>
      </c>
      <c r="EO895" t="s">
        <v>3</v>
      </c>
      <c r="EQ895">
        <v>1024</v>
      </c>
      <c r="ER895">
        <v>203.42</v>
      </c>
      <c r="ES895">
        <v>0</v>
      </c>
      <c r="ET895">
        <v>0</v>
      </c>
      <c r="EU895">
        <v>0</v>
      </c>
      <c r="EV895">
        <v>203.42</v>
      </c>
      <c r="EW895">
        <v>0.38</v>
      </c>
      <c r="EX895">
        <v>0</v>
      </c>
      <c r="EY895">
        <v>0</v>
      </c>
      <c r="FQ895">
        <v>0</v>
      </c>
      <c r="FR895">
        <f>ROUND(IF(BI895=3,GM895,0),2)</f>
        <v>0</v>
      </c>
      <c r="FS895">
        <v>0</v>
      </c>
      <c r="FX895">
        <v>70</v>
      </c>
      <c r="FY895">
        <v>10</v>
      </c>
      <c r="GA895" t="s">
        <v>3</v>
      </c>
      <c r="GD895">
        <v>0</v>
      </c>
      <c r="GF895">
        <v>-1699704026</v>
      </c>
      <c r="GG895">
        <v>2</v>
      </c>
      <c r="GH895">
        <v>1</v>
      </c>
      <c r="GI895">
        <v>-2</v>
      </c>
      <c r="GJ895">
        <v>0</v>
      </c>
      <c r="GK895">
        <f>ROUND(R895*(R12)/100,2)</f>
        <v>0</v>
      </c>
      <c r="GL895">
        <f>ROUND(IF(AND(BH895=3,BI895=3,FS895&lt;&gt;0),P895,0),2)</f>
        <v>0</v>
      </c>
      <c r="GM895">
        <f>ROUND(O895+X895+Y895+GK895,2)+GX895</f>
        <v>1690.54</v>
      </c>
      <c r="GN895">
        <f>IF(OR(BI895=0,BI895=1),GM895-GX895,0)</f>
        <v>0</v>
      </c>
      <c r="GO895">
        <f>IF(BI895=2,GM895-GX895,0)</f>
        <v>0</v>
      </c>
      <c r="GP895">
        <f>IF(BI895=4,GM895-GX895,0)</f>
        <v>1690.54</v>
      </c>
      <c r="GR895">
        <v>0</v>
      </c>
      <c r="GS895">
        <v>3</v>
      </c>
      <c r="GT895">
        <v>0</v>
      </c>
      <c r="GU895" t="s">
        <v>3</v>
      </c>
      <c r="GV895">
        <f>ROUND((GT895),6)</f>
        <v>0</v>
      </c>
      <c r="GW895">
        <v>1</v>
      </c>
      <c r="GX895">
        <f>ROUND(HC895*I895,2)</f>
        <v>0</v>
      </c>
      <c r="HA895">
        <v>0</v>
      </c>
      <c r="HB895">
        <v>0</v>
      </c>
      <c r="HC895">
        <f>GV895*GW895</f>
        <v>0</v>
      </c>
      <c r="HE895" t="s">
        <v>3</v>
      </c>
      <c r="HF895" t="s">
        <v>3</v>
      </c>
      <c r="HM895" t="s">
        <v>3</v>
      </c>
      <c r="HN895" t="s">
        <v>3</v>
      </c>
      <c r="HO895" t="s">
        <v>3</v>
      </c>
      <c r="HP895" t="s">
        <v>3</v>
      </c>
      <c r="HQ895" t="s">
        <v>3</v>
      </c>
      <c r="IK895">
        <v>0</v>
      </c>
    </row>
    <row r="897" spans="1:206" x14ac:dyDescent="0.2">
      <c r="A897" s="2">
        <v>51</v>
      </c>
      <c r="B897" s="2">
        <f>B890</f>
        <v>1</v>
      </c>
      <c r="C897" s="2">
        <f>A890</f>
        <v>5</v>
      </c>
      <c r="D897" s="2">
        <f>ROW(A890)</f>
        <v>890</v>
      </c>
      <c r="E897" s="2"/>
      <c r="F897" s="2" t="str">
        <f>IF(F890&lt;&gt;"",F890,"")</f>
        <v>Новый подраздел</v>
      </c>
      <c r="G897" s="2" t="str">
        <f>IF(G890&lt;&gt;"",G890,"")</f>
        <v>Система молниезащиты и заземления</v>
      </c>
      <c r="H897" s="2">
        <v>0</v>
      </c>
      <c r="I897" s="2"/>
      <c r="J897" s="2"/>
      <c r="K897" s="2"/>
      <c r="L897" s="2"/>
      <c r="M897" s="2"/>
      <c r="N897" s="2"/>
      <c r="O897" s="2">
        <f t="shared" ref="O897:T897" si="914">ROUND(AB897,2)</f>
        <v>0</v>
      </c>
      <c r="P897" s="2">
        <f t="shared" si="914"/>
        <v>0</v>
      </c>
      <c r="Q897" s="2">
        <f t="shared" si="914"/>
        <v>0</v>
      </c>
      <c r="R897" s="2">
        <f t="shared" si="914"/>
        <v>0</v>
      </c>
      <c r="S897" s="2">
        <f t="shared" si="914"/>
        <v>0</v>
      </c>
      <c r="T897" s="2">
        <f t="shared" si="914"/>
        <v>0</v>
      </c>
      <c r="U897" s="2">
        <f>AH897</f>
        <v>0</v>
      </c>
      <c r="V897" s="2">
        <f>AI897</f>
        <v>0</v>
      </c>
      <c r="W897" s="2">
        <f>ROUND(AJ897,2)</f>
        <v>0</v>
      </c>
      <c r="X897" s="2">
        <f>ROUND(AK897,2)</f>
        <v>0</v>
      </c>
      <c r="Y897" s="2">
        <f>ROUND(AL897,2)</f>
        <v>0</v>
      </c>
      <c r="Z897" s="2"/>
      <c r="AA897" s="2"/>
      <c r="AB897" s="2">
        <f>ROUND(SUMIF(AA894:AA895,"=1472506909",O894:O895),2)</f>
        <v>0</v>
      </c>
      <c r="AC897" s="2">
        <f>ROUND(SUMIF(AA894:AA895,"=1472506909",P894:P895),2)</f>
        <v>0</v>
      </c>
      <c r="AD897" s="2">
        <f>ROUND(SUMIF(AA894:AA895,"=1472506909",Q894:Q895),2)</f>
        <v>0</v>
      </c>
      <c r="AE897" s="2">
        <f>ROUND(SUMIF(AA894:AA895,"=1472506909",R894:R895),2)</f>
        <v>0</v>
      </c>
      <c r="AF897" s="2">
        <f>ROUND(SUMIF(AA894:AA895,"=1472506909",S894:S895),2)</f>
        <v>0</v>
      </c>
      <c r="AG897" s="2">
        <f>ROUND(SUMIF(AA894:AA895,"=1472506909",T894:T895),2)</f>
        <v>0</v>
      </c>
      <c r="AH897" s="2">
        <f>SUMIF(AA894:AA895,"=1472506909",U894:U895)</f>
        <v>0</v>
      </c>
      <c r="AI897" s="2">
        <f>SUMIF(AA894:AA895,"=1472506909",V894:V895)</f>
        <v>0</v>
      </c>
      <c r="AJ897" s="2">
        <f>ROUND(SUMIF(AA894:AA895,"=1472506909",W894:W895),2)</f>
        <v>0</v>
      </c>
      <c r="AK897" s="2">
        <f>ROUND(SUMIF(AA894:AA895,"=1472506909",X894:X895),2)</f>
        <v>0</v>
      </c>
      <c r="AL897" s="2">
        <f>ROUND(SUMIF(AA894:AA895,"=1472506909",Y894:Y895),2)</f>
        <v>0</v>
      </c>
      <c r="AM897" s="2"/>
      <c r="AN897" s="2"/>
      <c r="AO897" s="2">
        <f t="shared" ref="AO897:BD897" si="915">ROUND(BX897,2)</f>
        <v>0</v>
      </c>
      <c r="AP897" s="2">
        <f t="shared" si="915"/>
        <v>0</v>
      </c>
      <c r="AQ897" s="2">
        <f t="shared" si="915"/>
        <v>0</v>
      </c>
      <c r="AR897" s="2">
        <f t="shared" si="915"/>
        <v>0</v>
      </c>
      <c r="AS897" s="2">
        <f t="shared" si="915"/>
        <v>0</v>
      </c>
      <c r="AT897" s="2">
        <f t="shared" si="915"/>
        <v>0</v>
      </c>
      <c r="AU897" s="2">
        <f t="shared" si="915"/>
        <v>0</v>
      </c>
      <c r="AV897" s="2">
        <f t="shared" si="915"/>
        <v>0</v>
      </c>
      <c r="AW897" s="2">
        <f t="shared" si="915"/>
        <v>0</v>
      </c>
      <c r="AX897" s="2">
        <f t="shared" si="915"/>
        <v>0</v>
      </c>
      <c r="AY897" s="2">
        <f t="shared" si="915"/>
        <v>0</v>
      </c>
      <c r="AZ897" s="2">
        <f t="shared" si="915"/>
        <v>0</v>
      </c>
      <c r="BA897" s="2">
        <f t="shared" si="915"/>
        <v>0</v>
      </c>
      <c r="BB897" s="2">
        <f t="shared" si="915"/>
        <v>0</v>
      </c>
      <c r="BC897" s="2">
        <f t="shared" si="915"/>
        <v>0</v>
      </c>
      <c r="BD897" s="2">
        <f t="shared" si="915"/>
        <v>0</v>
      </c>
      <c r="BE897" s="2"/>
      <c r="BF897" s="2"/>
      <c r="BG897" s="2"/>
      <c r="BH897" s="2"/>
      <c r="BI897" s="2"/>
      <c r="BJ897" s="2"/>
      <c r="BK897" s="2"/>
      <c r="BL897" s="2"/>
      <c r="BM897" s="2"/>
      <c r="BN897" s="2"/>
      <c r="BO897" s="2"/>
      <c r="BP897" s="2"/>
      <c r="BQ897" s="2"/>
      <c r="BR897" s="2"/>
      <c r="BS897" s="2"/>
      <c r="BT897" s="2"/>
      <c r="BU897" s="2"/>
      <c r="BV897" s="2"/>
      <c r="BW897" s="2"/>
      <c r="BX897" s="2">
        <f>ROUND(SUMIF(AA894:AA895,"=1472506909",FQ894:FQ895),2)</f>
        <v>0</v>
      </c>
      <c r="BY897" s="2">
        <f>ROUND(SUMIF(AA894:AA895,"=1472506909",FR894:FR895),2)</f>
        <v>0</v>
      </c>
      <c r="BZ897" s="2">
        <f>ROUND(SUMIF(AA894:AA895,"=1472506909",GL894:GL895),2)</f>
        <v>0</v>
      </c>
      <c r="CA897" s="2">
        <f>ROUND(SUMIF(AA894:AA895,"=1472506909",GM894:GM895),2)</f>
        <v>0</v>
      </c>
      <c r="CB897" s="2">
        <f>ROUND(SUMIF(AA894:AA895,"=1472506909",GN894:GN895),2)</f>
        <v>0</v>
      </c>
      <c r="CC897" s="2">
        <f>ROUND(SUMIF(AA894:AA895,"=1472506909",GO894:GO895),2)</f>
        <v>0</v>
      </c>
      <c r="CD897" s="2">
        <f>ROUND(SUMIF(AA894:AA895,"=1472506909",GP894:GP895),2)</f>
        <v>0</v>
      </c>
      <c r="CE897" s="2">
        <f>AC897-BX897</f>
        <v>0</v>
      </c>
      <c r="CF897" s="2">
        <f>AC897-BY897</f>
        <v>0</v>
      </c>
      <c r="CG897" s="2">
        <f>BX897-BZ897</f>
        <v>0</v>
      </c>
      <c r="CH897" s="2">
        <f>AC897-BX897-BY897+BZ897</f>
        <v>0</v>
      </c>
      <c r="CI897" s="2">
        <f>BY897-BZ897</f>
        <v>0</v>
      </c>
      <c r="CJ897" s="2">
        <f>ROUND(SUMIF(AA894:AA895,"=1472506909",GX894:GX895),2)</f>
        <v>0</v>
      </c>
      <c r="CK897" s="2">
        <f>ROUND(SUMIF(AA894:AA895,"=1472506909",GY894:GY895),2)</f>
        <v>0</v>
      </c>
      <c r="CL897" s="2">
        <f>ROUND(SUMIF(AA894:AA895,"=1472506909",GZ894:GZ895),2)</f>
        <v>0</v>
      </c>
      <c r="CM897" s="2">
        <f>ROUND(SUMIF(AA894:AA895,"=1472506909",HD894:HD895),2)</f>
        <v>0</v>
      </c>
      <c r="CN897" s="2"/>
      <c r="CO897" s="2"/>
      <c r="CP897" s="2"/>
      <c r="CQ897" s="2"/>
      <c r="CR897" s="2"/>
      <c r="CS897" s="2"/>
      <c r="CT897" s="2"/>
      <c r="CU897" s="2"/>
      <c r="CV897" s="2"/>
      <c r="CW897" s="2"/>
      <c r="CX897" s="2"/>
      <c r="CY897" s="2"/>
      <c r="CZ897" s="2"/>
      <c r="DA897" s="2"/>
      <c r="DB897" s="2"/>
      <c r="DC897" s="2"/>
      <c r="DD897" s="2"/>
      <c r="DE897" s="2"/>
      <c r="DF897" s="2"/>
      <c r="DG897" s="3"/>
      <c r="DH897" s="3"/>
      <c r="DI897" s="3"/>
      <c r="DJ897" s="3"/>
      <c r="DK897" s="3"/>
      <c r="DL897" s="3"/>
      <c r="DM897" s="3"/>
      <c r="DN897" s="3"/>
      <c r="DO897" s="3"/>
      <c r="DP897" s="3"/>
      <c r="DQ897" s="3"/>
      <c r="DR897" s="3"/>
      <c r="DS897" s="3"/>
      <c r="DT897" s="3"/>
      <c r="DU897" s="3"/>
      <c r="DV897" s="3"/>
      <c r="DW897" s="3"/>
      <c r="DX897" s="3"/>
      <c r="DY897" s="3"/>
      <c r="DZ897" s="3"/>
      <c r="EA897" s="3"/>
      <c r="EB897" s="3"/>
      <c r="EC897" s="3"/>
      <c r="ED897" s="3"/>
      <c r="EE897" s="3"/>
      <c r="EF897" s="3"/>
      <c r="EG897" s="3"/>
      <c r="EH897" s="3"/>
      <c r="EI897" s="3"/>
      <c r="EJ897" s="3"/>
      <c r="EK897" s="3"/>
      <c r="EL897" s="3"/>
      <c r="EM897" s="3"/>
      <c r="EN897" s="3"/>
      <c r="EO897" s="3"/>
      <c r="EP897" s="3"/>
      <c r="EQ897" s="3"/>
      <c r="ER897" s="3"/>
      <c r="ES897" s="3"/>
      <c r="ET897" s="3"/>
      <c r="EU897" s="3"/>
      <c r="EV897" s="3"/>
      <c r="EW897" s="3"/>
      <c r="EX897" s="3"/>
      <c r="EY897" s="3"/>
      <c r="EZ897" s="3"/>
      <c r="FA897" s="3"/>
      <c r="FB897" s="3"/>
      <c r="FC897" s="3"/>
      <c r="FD897" s="3"/>
      <c r="FE897" s="3"/>
      <c r="FF897" s="3"/>
      <c r="FG897" s="3"/>
      <c r="FH897" s="3"/>
      <c r="FI897" s="3"/>
      <c r="FJ897" s="3"/>
      <c r="FK897" s="3"/>
      <c r="FL897" s="3"/>
      <c r="FM897" s="3"/>
      <c r="FN897" s="3"/>
      <c r="FO897" s="3"/>
      <c r="FP897" s="3"/>
      <c r="FQ897" s="3"/>
      <c r="FR897" s="3"/>
      <c r="FS897" s="3"/>
      <c r="FT897" s="3"/>
      <c r="FU897" s="3"/>
      <c r="FV897" s="3"/>
      <c r="FW897" s="3"/>
      <c r="FX897" s="3"/>
      <c r="FY897" s="3"/>
      <c r="FZ897" s="3"/>
      <c r="GA897" s="3"/>
      <c r="GB897" s="3"/>
      <c r="GC897" s="3"/>
      <c r="GD897" s="3"/>
      <c r="GE897" s="3"/>
      <c r="GF897" s="3"/>
      <c r="GG897" s="3"/>
      <c r="GH897" s="3"/>
      <c r="GI897" s="3"/>
      <c r="GJ897" s="3"/>
      <c r="GK897" s="3"/>
      <c r="GL897" s="3"/>
      <c r="GM897" s="3"/>
      <c r="GN897" s="3"/>
      <c r="GO897" s="3"/>
      <c r="GP897" s="3"/>
      <c r="GQ897" s="3"/>
      <c r="GR897" s="3"/>
      <c r="GS897" s="3"/>
      <c r="GT897" s="3"/>
      <c r="GU897" s="3"/>
      <c r="GV897" s="3"/>
      <c r="GW897" s="3"/>
      <c r="GX897" s="3">
        <v>0</v>
      </c>
    </row>
    <row r="899" spans="1:206" x14ac:dyDescent="0.2">
      <c r="A899" s="4">
        <v>50</v>
      </c>
      <c r="B899" s="4">
        <v>0</v>
      </c>
      <c r="C899" s="4">
        <v>0</v>
      </c>
      <c r="D899" s="4">
        <v>1</v>
      </c>
      <c r="E899" s="4">
        <v>201</v>
      </c>
      <c r="F899" s="4">
        <f>ROUND(Source!O897,O899)</f>
        <v>0</v>
      </c>
      <c r="G899" s="4" t="s">
        <v>36</v>
      </c>
      <c r="H899" s="4" t="s">
        <v>37</v>
      </c>
      <c r="I899" s="4"/>
      <c r="J899" s="4"/>
      <c r="K899" s="4">
        <v>201</v>
      </c>
      <c r="L899" s="4">
        <v>1</v>
      </c>
      <c r="M899" s="4">
        <v>3</v>
      </c>
      <c r="N899" s="4" t="s">
        <v>3</v>
      </c>
      <c r="O899" s="4">
        <v>2</v>
      </c>
      <c r="P899" s="4"/>
      <c r="Q899" s="4"/>
      <c r="R899" s="4"/>
      <c r="S899" s="4"/>
      <c r="T899" s="4"/>
      <c r="U899" s="4"/>
      <c r="V899" s="4"/>
      <c r="W899" s="4">
        <v>0</v>
      </c>
      <c r="X899" s="4">
        <v>1</v>
      </c>
      <c r="Y899" s="4">
        <v>0</v>
      </c>
      <c r="Z899" s="4"/>
      <c r="AA899" s="4"/>
      <c r="AB899" s="4"/>
    </row>
    <row r="900" spans="1:206" x14ac:dyDescent="0.2">
      <c r="A900" s="4">
        <v>50</v>
      </c>
      <c r="B900" s="4">
        <v>0</v>
      </c>
      <c r="C900" s="4">
        <v>0</v>
      </c>
      <c r="D900" s="4">
        <v>1</v>
      </c>
      <c r="E900" s="4">
        <v>202</v>
      </c>
      <c r="F900" s="4">
        <f>ROUND(Source!P897,O900)</f>
        <v>0</v>
      </c>
      <c r="G900" s="4" t="s">
        <v>38</v>
      </c>
      <c r="H900" s="4" t="s">
        <v>39</v>
      </c>
      <c r="I900" s="4"/>
      <c r="J900" s="4"/>
      <c r="K900" s="4">
        <v>202</v>
      </c>
      <c r="L900" s="4">
        <v>2</v>
      </c>
      <c r="M900" s="4">
        <v>3</v>
      </c>
      <c r="N900" s="4" t="s">
        <v>3</v>
      </c>
      <c r="O900" s="4">
        <v>2</v>
      </c>
      <c r="P900" s="4"/>
      <c r="Q900" s="4"/>
      <c r="R900" s="4"/>
      <c r="S900" s="4"/>
      <c r="T900" s="4"/>
      <c r="U900" s="4"/>
      <c r="V900" s="4"/>
      <c r="W900" s="4">
        <v>0</v>
      </c>
      <c r="X900" s="4">
        <v>1</v>
      </c>
      <c r="Y900" s="4">
        <v>0</v>
      </c>
      <c r="Z900" s="4"/>
      <c r="AA900" s="4"/>
      <c r="AB900" s="4"/>
    </row>
    <row r="901" spans="1:206" x14ac:dyDescent="0.2">
      <c r="A901" s="4">
        <v>50</v>
      </c>
      <c r="B901" s="4">
        <v>0</v>
      </c>
      <c r="C901" s="4">
        <v>0</v>
      </c>
      <c r="D901" s="4">
        <v>1</v>
      </c>
      <c r="E901" s="4">
        <v>222</v>
      </c>
      <c r="F901" s="4">
        <f>ROUND(Source!AO897,O901)</f>
        <v>0</v>
      </c>
      <c r="G901" s="4" t="s">
        <v>40</v>
      </c>
      <c r="H901" s="4" t="s">
        <v>41</v>
      </c>
      <c r="I901" s="4"/>
      <c r="J901" s="4"/>
      <c r="K901" s="4">
        <v>222</v>
      </c>
      <c r="L901" s="4">
        <v>3</v>
      </c>
      <c r="M901" s="4">
        <v>3</v>
      </c>
      <c r="N901" s="4" t="s">
        <v>3</v>
      </c>
      <c r="O901" s="4">
        <v>2</v>
      </c>
      <c r="P901" s="4"/>
      <c r="Q901" s="4"/>
      <c r="R901" s="4"/>
      <c r="S901" s="4"/>
      <c r="T901" s="4"/>
      <c r="U901" s="4"/>
      <c r="V901" s="4"/>
      <c r="W901" s="4">
        <v>0</v>
      </c>
      <c r="X901" s="4">
        <v>1</v>
      </c>
      <c r="Y901" s="4">
        <v>0</v>
      </c>
      <c r="Z901" s="4"/>
      <c r="AA901" s="4"/>
      <c r="AB901" s="4"/>
    </row>
    <row r="902" spans="1:206" x14ac:dyDescent="0.2">
      <c r="A902" s="4">
        <v>50</v>
      </c>
      <c r="B902" s="4">
        <v>0</v>
      </c>
      <c r="C902" s="4">
        <v>0</v>
      </c>
      <c r="D902" s="4">
        <v>1</v>
      </c>
      <c r="E902" s="4">
        <v>225</v>
      </c>
      <c r="F902" s="4">
        <f>ROUND(Source!AV897,O902)</f>
        <v>0</v>
      </c>
      <c r="G902" s="4" t="s">
        <v>42</v>
      </c>
      <c r="H902" s="4" t="s">
        <v>43</v>
      </c>
      <c r="I902" s="4"/>
      <c r="J902" s="4"/>
      <c r="K902" s="4">
        <v>225</v>
      </c>
      <c r="L902" s="4">
        <v>4</v>
      </c>
      <c r="M902" s="4">
        <v>3</v>
      </c>
      <c r="N902" s="4" t="s">
        <v>3</v>
      </c>
      <c r="O902" s="4">
        <v>2</v>
      </c>
      <c r="P902" s="4"/>
      <c r="Q902" s="4"/>
      <c r="R902" s="4"/>
      <c r="S902" s="4"/>
      <c r="T902" s="4"/>
      <c r="U902" s="4"/>
      <c r="V902" s="4"/>
      <c r="W902" s="4">
        <v>0</v>
      </c>
      <c r="X902" s="4">
        <v>1</v>
      </c>
      <c r="Y902" s="4">
        <v>0</v>
      </c>
      <c r="Z902" s="4"/>
      <c r="AA902" s="4"/>
      <c r="AB902" s="4"/>
    </row>
    <row r="903" spans="1:206" x14ac:dyDescent="0.2">
      <c r="A903" s="4">
        <v>50</v>
      </c>
      <c r="B903" s="4">
        <v>0</v>
      </c>
      <c r="C903" s="4">
        <v>0</v>
      </c>
      <c r="D903" s="4">
        <v>1</v>
      </c>
      <c r="E903" s="4">
        <v>226</v>
      </c>
      <c r="F903" s="4">
        <f>ROUND(Source!AW897,O903)</f>
        <v>0</v>
      </c>
      <c r="G903" s="4" t="s">
        <v>44</v>
      </c>
      <c r="H903" s="4" t="s">
        <v>45</v>
      </c>
      <c r="I903" s="4"/>
      <c r="J903" s="4"/>
      <c r="K903" s="4">
        <v>226</v>
      </c>
      <c r="L903" s="4">
        <v>5</v>
      </c>
      <c r="M903" s="4">
        <v>3</v>
      </c>
      <c r="N903" s="4" t="s">
        <v>3</v>
      </c>
      <c r="O903" s="4">
        <v>2</v>
      </c>
      <c r="P903" s="4"/>
      <c r="Q903" s="4"/>
      <c r="R903" s="4"/>
      <c r="S903" s="4"/>
      <c r="T903" s="4"/>
      <c r="U903" s="4"/>
      <c r="V903" s="4"/>
      <c r="W903" s="4">
        <v>0</v>
      </c>
      <c r="X903" s="4">
        <v>1</v>
      </c>
      <c r="Y903" s="4">
        <v>0</v>
      </c>
      <c r="Z903" s="4"/>
      <c r="AA903" s="4"/>
      <c r="AB903" s="4"/>
    </row>
    <row r="904" spans="1:206" x14ac:dyDescent="0.2">
      <c r="A904" s="4">
        <v>50</v>
      </c>
      <c r="B904" s="4">
        <v>0</v>
      </c>
      <c r="C904" s="4">
        <v>0</v>
      </c>
      <c r="D904" s="4">
        <v>1</v>
      </c>
      <c r="E904" s="4">
        <v>227</v>
      </c>
      <c r="F904" s="4">
        <f>ROUND(Source!AX897,O904)</f>
        <v>0</v>
      </c>
      <c r="G904" s="4" t="s">
        <v>46</v>
      </c>
      <c r="H904" s="4" t="s">
        <v>47</v>
      </c>
      <c r="I904" s="4"/>
      <c r="J904" s="4"/>
      <c r="K904" s="4">
        <v>227</v>
      </c>
      <c r="L904" s="4">
        <v>6</v>
      </c>
      <c r="M904" s="4">
        <v>3</v>
      </c>
      <c r="N904" s="4" t="s">
        <v>3</v>
      </c>
      <c r="O904" s="4">
        <v>2</v>
      </c>
      <c r="P904" s="4"/>
      <c r="Q904" s="4"/>
      <c r="R904" s="4"/>
      <c r="S904" s="4"/>
      <c r="T904" s="4"/>
      <c r="U904" s="4"/>
      <c r="V904" s="4"/>
      <c r="W904" s="4">
        <v>0</v>
      </c>
      <c r="X904" s="4">
        <v>1</v>
      </c>
      <c r="Y904" s="4">
        <v>0</v>
      </c>
      <c r="Z904" s="4"/>
      <c r="AA904" s="4"/>
      <c r="AB904" s="4"/>
    </row>
    <row r="905" spans="1:206" x14ac:dyDescent="0.2">
      <c r="A905" s="4">
        <v>50</v>
      </c>
      <c r="B905" s="4">
        <v>0</v>
      </c>
      <c r="C905" s="4">
        <v>0</v>
      </c>
      <c r="D905" s="4">
        <v>1</v>
      </c>
      <c r="E905" s="4">
        <v>228</v>
      </c>
      <c r="F905" s="4">
        <f>ROUND(Source!AY897,O905)</f>
        <v>0</v>
      </c>
      <c r="G905" s="4" t="s">
        <v>48</v>
      </c>
      <c r="H905" s="4" t="s">
        <v>49</v>
      </c>
      <c r="I905" s="4"/>
      <c r="J905" s="4"/>
      <c r="K905" s="4">
        <v>228</v>
      </c>
      <c r="L905" s="4">
        <v>7</v>
      </c>
      <c r="M905" s="4">
        <v>3</v>
      </c>
      <c r="N905" s="4" t="s">
        <v>3</v>
      </c>
      <c r="O905" s="4">
        <v>2</v>
      </c>
      <c r="P905" s="4"/>
      <c r="Q905" s="4"/>
      <c r="R905" s="4"/>
      <c r="S905" s="4"/>
      <c r="T905" s="4"/>
      <c r="U905" s="4"/>
      <c r="V905" s="4"/>
      <c r="W905" s="4">
        <v>0</v>
      </c>
      <c r="X905" s="4">
        <v>1</v>
      </c>
      <c r="Y905" s="4">
        <v>0</v>
      </c>
      <c r="Z905" s="4"/>
      <c r="AA905" s="4"/>
      <c r="AB905" s="4"/>
    </row>
    <row r="906" spans="1:206" x14ac:dyDescent="0.2">
      <c r="A906" s="4">
        <v>50</v>
      </c>
      <c r="B906" s="4">
        <v>0</v>
      </c>
      <c r="C906" s="4">
        <v>0</v>
      </c>
      <c r="D906" s="4">
        <v>1</v>
      </c>
      <c r="E906" s="4">
        <v>216</v>
      </c>
      <c r="F906" s="4">
        <f>ROUND(Source!AP897,O906)</f>
        <v>0</v>
      </c>
      <c r="G906" s="4" t="s">
        <v>50</v>
      </c>
      <c r="H906" s="4" t="s">
        <v>51</v>
      </c>
      <c r="I906" s="4"/>
      <c r="J906" s="4"/>
      <c r="K906" s="4">
        <v>216</v>
      </c>
      <c r="L906" s="4">
        <v>8</v>
      </c>
      <c r="M906" s="4">
        <v>3</v>
      </c>
      <c r="N906" s="4" t="s">
        <v>3</v>
      </c>
      <c r="O906" s="4">
        <v>2</v>
      </c>
      <c r="P906" s="4"/>
      <c r="Q906" s="4"/>
      <c r="R906" s="4"/>
      <c r="S906" s="4"/>
      <c r="T906" s="4"/>
      <c r="U906" s="4"/>
      <c r="V906" s="4"/>
      <c r="W906" s="4">
        <v>0</v>
      </c>
      <c r="X906" s="4">
        <v>1</v>
      </c>
      <c r="Y906" s="4">
        <v>0</v>
      </c>
      <c r="Z906" s="4"/>
      <c r="AA906" s="4"/>
      <c r="AB906" s="4"/>
    </row>
    <row r="907" spans="1:206" x14ac:dyDescent="0.2">
      <c r="A907" s="4">
        <v>50</v>
      </c>
      <c r="B907" s="4">
        <v>0</v>
      </c>
      <c r="C907" s="4">
        <v>0</v>
      </c>
      <c r="D907" s="4">
        <v>1</v>
      </c>
      <c r="E907" s="4">
        <v>223</v>
      </c>
      <c r="F907" s="4">
        <f>ROUND(Source!AQ897,O907)</f>
        <v>0</v>
      </c>
      <c r="G907" s="4" t="s">
        <v>52</v>
      </c>
      <c r="H907" s="4" t="s">
        <v>53</v>
      </c>
      <c r="I907" s="4"/>
      <c r="J907" s="4"/>
      <c r="K907" s="4">
        <v>223</v>
      </c>
      <c r="L907" s="4">
        <v>9</v>
      </c>
      <c r="M907" s="4">
        <v>3</v>
      </c>
      <c r="N907" s="4" t="s">
        <v>3</v>
      </c>
      <c r="O907" s="4">
        <v>2</v>
      </c>
      <c r="P907" s="4"/>
      <c r="Q907" s="4"/>
      <c r="R907" s="4"/>
      <c r="S907" s="4"/>
      <c r="T907" s="4"/>
      <c r="U907" s="4"/>
      <c r="V907" s="4"/>
      <c r="W907" s="4">
        <v>0</v>
      </c>
      <c r="X907" s="4">
        <v>1</v>
      </c>
      <c r="Y907" s="4">
        <v>0</v>
      </c>
      <c r="Z907" s="4"/>
      <c r="AA907" s="4"/>
      <c r="AB907" s="4"/>
    </row>
    <row r="908" spans="1:206" x14ac:dyDescent="0.2">
      <c r="A908" s="4">
        <v>50</v>
      </c>
      <c r="B908" s="4">
        <v>0</v>
      </c>
      <c r="C908" s="4">
        <v>0</v>
      </c>
      <c r="D908" s="4">
        <v>1</v>
      </c>
      <c r="E908" s="4">
        <v>229</v>
      </c>
      <c r="F908" s="4">
        <f>ROUND(Source!AZ897,O908)</f>
        <v>0</v>
      </c>
      <c r="G908" s="4" t="s">
        <v>54</v>
      </c>
      <c r="H908" s="4" t="s">
        <v>55</v>
      </c>
      <c r="I908" s="4"/>
      <c r="J908" s="4"/>
      <c r="K908" s="4">
        <v>229</v>
      </c>
      <c r="L908" s="4">
        <v>10</v>
      </c>
      <c r="M908" s="4">
        <v>3</v>
      </c>
      <c r="N908" s="4" t="s">
        <v>3</v>
      </c>
      <c r="O908" s="4">
        <v>2</v>
      </c>
      <c r="P908" s="4"/>
      <c r="Q908" s="4"/>
      <c r="R908" s="4"/>
      <c r="S908" s="4"/>
      <c r="T908" s="4"/>
      <c r="U908" s="4"/>
      <c r="V908" s="4"/>
      <c r="W908" s="4">
        <v>0</v>
      </c>
      <c r="X908" s="4">
        <v>1</v>
      </c>
      <c r="Y908" s="4">
        <v>0</v>
      </c>
      <c r="Z908" s="4"/>
      <c r="AA908" s="4"/>
      <c r="AB908" s="4"/>
    </row>
    <row r="909" spans="1:206" x14ac:dyDescent="0.2">
      <c r="A909" s="4">
        <v>50</v>
      </c>
      <c r="B909" s="4">
        <v>0</v>
      </c>
      <c r="C909" s="4">
        <v>0</v>
      </c>
      <c r="D909" s="4">
        <v>1</v>
      </c>
      <c r="E909" s="4">
        <v>203</v>
      </c>
      <c r="F909" s="4">
        <f>ROUND(Source!Q897,O909)</f>
        <v>0</v>
      </c>
      <c r="G909" s="4" t="s">
        <v>56</v>
      </c>
      <c r="H909" s="4" t="s">
        <v>57</v>
      </c>
      <c r="I909" s="4"/>
      <c r="J909" s="4"/>
      <c r="K909" s="4">
        <v>203</v>
      </c>
      <c r="L909" s="4">
        <v>11</v>
      </c>
      <c r="M909" s="4">
        <v>3</v>
      </c>
      <c r="N909" s="4" t="s">
        <v>3</v>
      </c>
      <c r="O909" s="4">
        <v>2</v>
      </c>
      <c r="P909" s="4"/>
      <c r="Q909" s="4"/>
      <c r="R909" s="4"/>
      <c r="S909" s="4"/>
      <c r="T909" s="4"/>
      <c r="U909" s="4"/>
      <c r="V909" s="4"/>
      <c r="W909" s="4">
        <v>0</v>
      </c>
      <c r="X909" s="4">
        <v>1</v>
      </c>
      <c r="Y909" s="4">
        <v>0</v>
      </c>
      <c r="Z909" s="4"/>
      <c r="AA909" s="4"/>
      <c r="AB909" s="4"/>
    </row>
    <row r="910" spans="1:206" x14ac:dyDescent="0.2">
      <c r="A910" s="4">
        <v>50</v>
      </c>
      <c r="B910" s="4">
        <v>0</v>
      </c>
      <c r="C910" s="4">
        <v>0</v>
      </c>
      <c r="D910" s="4">
        <v>1</v>
      </c>
      <c r="E910" s="4">
        <v>231</v>
      </c>
      <c r="F910" s="4">
        <f>ROUND(Source!BB897,O910)</f>
        <v>0</v>
      </c>
      <c r="G910" s="4" t="s">
        <v>58</v>
      </c>
      <c r="H910" s="4" t="s">
        <v>59</v>
      </c>
      <c r="I910" s="4"/>
      <c r="J910" s="4"/>
      <c r="K910" s="4">
        <v>231</v>
      </c>
      <c r="L910" s="4">
        <v>12</v>
      </c>
      <c r="M910" s="4">
        <v>3</v>
      </c>
      <c r="N910" s="4" t="s">
        <v>3</v>
      </c>
      <c r="O910" s="4">
        <v>2</v>
      </c>
      <c r="P910" s="4"/>
      <c r="Q910" s="4"/>
      <c r="R910" s="4"/>
      <c r="S910" s="4"/>
      <c r="T910" s="4"/>
      <c r="U910" s="4"/>
      <c r="V910" s="4"/>
      <c r="W910" s="4">
        <v>0</v>
      </c>
      <c r="X910" s="4">
        <v>1</v>
      </c>
      <c r="Y910" s="4">
        <v>0</v>
      </c>
      <c r="Z910" s="4"/>
      <c r="AA910" s="4"/>
      <c r="AB910" s="4"/>
    </row>
    <row r="911" spans="1:206" x14ac:dyDescent="0.2">
      <c r="A911" s="4">
        <v>50</v>
      </c>
      <c r="B911" s="4">
        <v>0</v>
      </c>
      <c r="C911" s="4">
        <v>0</v>
      </c>
      <c r="D911" s="4">
        <v>1</v>
      </c>
      <c r="E911" s="4">
        <v>204</v>
      </c>
      <c r="F911" s="4">
        <f>ROUND(Source!R897,O911)</f>
        <v>0</v>
      </c>
      <c r="G911" s="4" t="s">
        <v>60</v>
      </c>
      <c r="H911" s="4" t="s">
        <v>61</v>
      </c>
      <c r="I911" s="4"/>
      <c r="J911" s="4"/>
      <c r="K911" s="4">
        <v>204</v>
      </c>
      <c r="L911" s="4">
        <v>13</v>
      </c>
      <c r="M911" s="4">
        <v>3</v>
      </c>
      <c r="N911" s="4" t="s">
        <v>3</v>
      </c>
      <c r="O911" s="4">
        <v>2</v>
      </c>
      <c r="P911" s="4"/>
      <c r="Q911" s="4"/>
      <c r="R911" s="4"/>
      <c r="S911" s="4"/>
      <c r="T911" s="4"/>
      <c r="U911" s="4"/>
      <c r="V911" s="4"/>
      <c r="W911" s="4">
        <v>0</v>
      </c>
      <c r="X911" s="4">
        <v>1</v>
      </c>
      <c r="Y911" s="4">
        <v>0</v>
      </c>
      <c r="Z911" s="4"/>
      <c r="AA911" s="4"/>
      <c r="AB911" s="4"/>
    </row>
    <row r="912" spans="1:206" x14ac:dyDescent="0.2">
      <c r="A912" s="4">
        <v>50</v>
      </c>
      <c r="B912" s="4">
        <v>0</v>
      </c>
      <c r="C912" s="4">
        <v>0</v>
      </c>
      <c r="D912" s="4">
        <v>1</v>
      </c>
      <c r="E912" s="4">
        <v>205</v>
      </c>
      <c r="F912" s="4">
        <f>ROUND(Source!S897,O912)</f>
        <v>0</v>
      </c>
      <c r="G912" s="4" t="s">
        <v>62</v>
      </c>
      <c r="H912" s="4" t="s">
        <v>63</v>
      </c>
      <c r="I912" s="4"/>
      <c r="J912" s="4"/>
      <c r="K912" s="4">
        <v>205</v>
      </c>
      <c r="L912" s="4">
        <v>14</v>
      </c>
      <c r="M912" s="4">
        <v>3</v>
      </c>
      <c r="N912" s="4" t="s">
        <v>3</v>
      </c>
      <c r="O912" s="4">
        <v>2</v>
      </c>
      <c r="P912" s="4"/>
      <c r="Q912" s="4"/>
      <c r="R912" s="4"/>
      <c r="S912" s="4"/>
      <c r="T912" s="4"/>
      <c r="U912" s="4"/>
      <c r="V912" s="4"/>
      <c r="W912" s="4">
        <v>0</v>
      </c>
      <c r="X912" s="4">
        <v>1</v>
      </c>
      <c r="Y912" s="4">
        <v>0</v>
      </c>
      <c r="Z912" s="4"/>
      <c r="AA912" s="4"/>
      <c r="AB912" s="4"/>
    </row>
    <row r="913" spans="1:206" x14ac:dyDescent="0.2">
      <c r="A913" s="4">
        <v>50</v>
      </c>
      <c r="B913" s="4">
        <v>0</v>
      </c>
      <c r="C913" s="4">
        <v>0</v>
      </c>
      <c r="D913" s="4">
        <v>1</v>
      </c>
      <c r="E913" s="4">
        <v>232</v>
      </c>
      <c r="F913" s="4">
        <f>ROUND(Source!BC897,O913)</f>
        <v>0</v>
      </c>
      <c r="G913" s="4" t="s">
        <v>64</v>
      </c>
      <c r="H913" s="4" t="s">
        <v>65</v>
      </c>
      <c r="I913" s="4"/>
      <c r="J913" s="4"/>
      <c r="K913" s="4">
        <v>232</v>
      </c>
      <c r="L913" s="4">
        <v>15</v>
      </c>
      <c r="M913" s="4">
        <v>3</v>
      </c>
      <c r="N913" s="4" t="s">
        <v>3</v>
      </c>
      <c r="O913" s="4">
        <v>2</v>
      </c>
      <c r="P913" s="4"/>
      <c r="Q913" s="4"/>
      <c r="R913" s="4"/>
      <c r="S913" s="4"/>
      <c r="T913" s="4"/>
      <c r="U913" s="4"/>
      <c r="V913" s="4"/>
      <c r="W913" s="4">
        <v>0</v>
      </c>
      <c r="X913" s="4">
        <v>1</v>
      </c>
      <c r="Y913" s="4">
        <v>0</v>
      </c>
      <c r="Z913" s="4"/>
      <c r="AA913" s="4"/>
      <c r="AB913" s="4"/>
    </row>
    <row r="914" spans="1:206" x14ac:dyDescent="0.2">
      <c r="A914" s="4">
        <v>50</v>
      </c>
      <c r="B914" s="4">
        <v>0</v>
      </c>
      <c r="C914" s="4">
        <v>0</v>
      </c>
      <c r="D914" s="4">
        <v>1</v>
      </c>
      <c r="E914" s="4">
        <v>214</v>
      </c>
      <c r="F914" s="4">
        <f>ROUND(Source!AS897,O914)</f>
        <v>0</v>
      </c>
      <c r="G914" s="4" t="s">
        <v>66</v>
      </c>
      <c r="H914" s="4" t="s">
        <v>67</v>
      </c>
      <c r="I914" s="4"/>
      <c r="J914" s="4"/>
      <c r="K914" s="4">
        <v>214</v>
      </c>
      <c r="L914" s="4">
        <v>16</v>
      </c>
      <c r="M914" s="4">
        <v>3</v>
      </c>
      <c r="N914" s="4" t="s">
        <v>3</v>
      </c>
      <c r="O914" s="4">
        <v>2</v>
      </c>
      <c r="P914" s="4"/>
      <c r="Q914" s="4"/>
      <c r="R914" s="4"/>
      <c r="S914" s="4"/>
      <c r="T914" s="4"/>
      <c r="U914" s="4"/>
      <c r="V914" s="4"/>
      <c r="W914" s="4">
        <v>0</v>
      </c>
      <c r="X914" s="4">
        <v>1</v>
      </c>
      <c r="Y914" s="4">
        <v>0</v>
      </c>
      <c r="Z914" s="4"/>
      <c r="AA914" s="4"/>
      <c r="AB914" s="4"/>
    </row>
    <row r="915" spans="1:206" x14ac:dyDescent="0.2">
      <c r="A915" s="4">
        <v>50</v>
      </c>
      <c r="B915" s="4">
        <v>0</v>
      </c>
      <c r="C915" s="4">
        <v>0</v>
      </c>
      <c r="D915" s="4">
        <v>1</v>
      </c>
      <c r="E915" s="4">
        <v>215</v>
      </c>
      <c r="F915" s="4">
        <f>ROUND(Source!AT897,O915)</f>
        <v>0</v>
      </c>
      <c r="G915" s="4" t="s">
        <v>68</v>
      </c>
      <c r="H915" s="4" t="s">
        <v>69</v>
      </c>
      <c r="I915" s="4"/>
      <c r="J915" s="4"/>
      <c r="K915" s="4">
        <v>215</v>
      </c>
      <c r="L915" s="4">
        <v>17</v>
      </c>
      <c r="M915" s="4">
        <v>3</v>
      </c>
      <c r="N915" s="4" t="s">
        <v>3</v>
      </c>
      <c r="O915" s="4">
        <v>2</v>
      </c>
      <c r="P915" s="4"/>
      <c r="Q915" s="4"/>
      <c r="R915" s="4"/>
      <c r="S915" s="4"/>
      <c r="T915" s="4"/>
      <c r="U915" s="4"/>
      <c r="V915" s="4"/>
      <c r="W915" s="4">
        <v>0</v>
      </c>
      <c r="X915" s="4">
        <v>1</v>
      </c>
      <c r="Y915" s="4">
        <v>0</v>
      </c>
      <c r="Z915" s="4"/>
      <c r="AA915" s="4"/>
      <c r="AB915" s="4"/>
    </row>
    <row r="916" spans="1:206" x14ac:dyDescent="0.2">
      <c r="A916" s="4">
        <v>50</v>
      </c>
      <c r="B916" s="4">
        <v>0</v>
      </c>
      <c r="C916" s="4">
        <v>0</v>
      </c>
      <c r="D916" s="4">
        <v>1</v>
      </c>
      <c r="E916" s="4">
        <v>217</v>
      </c>
      <c r="F916" s="4">
        <f>ROUND(Source!AU897,O916)</f>
        <v>0</v>
      </c>
      <c r="G916" s="4" t="s">
        <v>70</v>
      </c>
      <c r="H916" s="4" t="s">
        <v>71</v>
      </c>
      <c r="I916" s="4"/>
      <c r="J916" s="4"/>
      <c r="K916" s="4">
        <v>217</v>
      </c>
      <c r="L916" s="4">
        <v>18</v>
      </c>
      <c r="M916" s="4">
        <v>3</v>
      </c>
      <c r="N916" s="4" t="s">
        <v>3</v>
      </c>
      <c r="O916" s="4">
        <v>2</v>
      </c>
      <c r="P916" s="4"/>
      <c r="Q916" s="4"/>
      <c r="R916" s="4"/>
      <c r="S916" s="4"/>
      <c r="T916" s="4"/>
      <c r="U916" s="4"/>
      <c r="V916" s="4"/>
      <c r="W916" s="4">
        <v>0</v>
      </c>
      <c r="X916" s="4">
        <v>1</v>
      </c>
      <c r="Y916" s="4">
        <v>0</v>
      </c>
      <c r="Z916" s="4"/>
      <c r="AA916" s="4"/>
      <c r="AB916" s="4"/>
    </row>
    <row r="917" spans="1:206" x14ac:dyDescent="0.2">
      <c r="A917" s="4">
        <v>50</v>
      </c>
      <c r="B917" s="4">
        <v>0</v>
      </c>
      <c r="C917" s="4">
        <v>0</v>
      </c>
      <c r="D917" s="4">
        <v>1</v>
      </c>
      <c r="E917" s="4">
        <v>230</v>
      </c>
      <c r="F917" s="4">
        <f>ROUND(Source!BA897,O917)</f>
        <v>0</v>
      </c>
      <c r="G917" s="4" t="s">
        <v>72</v>
      </c>
      <c r="H917" s="4" t="s">
        <v>73</v>
      </c>
      <c r="I917" s="4"/>
      <c r="J917" s="4"/>
      <c r="K917" s="4">
        <v>230</v>
      </c>
      <c r="L917" s="4">
        <v>19</v>
      </c>
      <c r="M917" s="4">
        <v>3</v>
      </c>
      <c r="N917" s="4" t="s">
        <v>3</v>
      </c>
      <c r="O917" s="4">
        <v>2</v>
      </c>
      <c r="P917" s="4"/>
      <c r="Q917" s="4"/>
      <c r="R917" s="4"/>
      <c r="S917" s="4"/>
      <c r="T917" s="4"/>
      <c r="U917" s="4"/>
      <c r="V917" s="4"/>
      <c r="W917" s="4">
        <v>0</v>
      </c>
      <c r="X917" s="4">
        <v>1</v>
      </c>
      <c r="Y917" s="4">
        <v>0</v>
      </c>
      <c r="Z917" s="4"/>
      <c r="AA917" s="4"/>
      <c r="AB917" s="4"/>
    </row>
    <row r="918" spans="1:206" x14ac:dyDescent="0.2">
      <c r="A918" s="4">
        <v>50</v>
      </c>
      <c r="B918" s="4">
        <v>0</v>
      </c>
      <c r="C918" s="4">
        <v>0</v>
      </c>
      <c r="D918" s="4">
        <v>1</v>
      </c>
      <c r="E918" s="4">
        <v>206</v>
      </c>
      <c r="F918" s="4">
        <f>ROUND(Source!T897,O918)</f>
        <v>0</v>
      </c>
      <c r="G918" s="4" t="s">
        <v>74</v>
      </c>
      <c r="H918" s="4" t="s">
        <v>75</v>
      </c>
      <c r="I918" s="4"/>
      <c r="J918" s="4"/>
      <c r="K918" s="4">
        <v>206</v>
      </c>
      <c r="L918" s="4">
        <v>20</v>
      </c>
      <c r="M918" s="4">
        <v>3</v>
      </c>
      <c r="N918" s="4" t="s">
        <v>3</v>
      </c>
      <c r="O918" s="4">
        <v>2</v>
      </c>
      <c r="P918" s="4"/>
      <c r="Q918" s="4"/>
      <c r="R918" s="4"/>
      <c r="S918" s="4"/>
      <c r="T918" s="4"/>
      <c r="U918" s="4"/>
      <c r="V918" s="4"/>
      <c r="W918" s="4">
        <v>0</v>
      </c>
      <c r="X918" s="4">
        <v>1</v>
      </c>
      <c r="Y918" s="4">
        <v>0</v>
      </c>
      <c r="Z918" s="4"/>
      <c r="AA918" s="4"/>
      <c r="AB918" s="4"/>
    </row>
    <row r="919" spans="1:206" x14ac:dyDescent="0.2">
      <c r="A919" s="4">
        <v>50</v>
      </c>
      <c r="B919" s="4">
        <v>0</v>
      </c>
      <c r="C919" s="4">
        <v>0</v>
      </c>
      <c r="D919" s="4">
        <v>1</v>
      </c>
      <c r="E919" s="4">
        <v>207</v>
      </c>
      <c r="F919" s="4">
        <f>Source!U897</f>
        <v>0</v>
      </c>
      <c r="G919" s="4" t="s">
        <v>76</v>
      </c>
      <c r="H919" s="4" t="s">
        <v>77</v>
      </c>
      <c r="I919" s="4"/>
      <c r="J919" s="4"/>
      <c r="K919" s="4">
        <v>207</v>
      </c>
      <c r="L919" s="4">
        <v>21</v>
      </c>
      <c r="M919" s="4">
        <v>3</v>
      </c>
      <c r="N919" s="4" t="s">
        <v>3</v>
      </c>
      <c r="O919" s="4">
        <v>-1</v>
      </c>
      <c r="P919" s="4"/>
      <c r="Q919" s="4"/>
      <c r="R919" s="4"/>
      <c r="S919" s="4"/>
      <c r="T919" s="4"/>
      <c r="U919" s="4"/>
      <c r="V919" s="4"/>
      <c r="W919" s="4">
        <v>0</v>
      </c>
      <c r="X919" s="4">
        <v>1</v>
      </c>
      <c r="Y919" s="4">
        <v>0</v>
      </c>
      <c r="Z919" s="4"/>
      <c r="AA919" s="4"/>
      <c r="AB919" s="4"/>
    </row>
    <row r="920" spans="1:206" x14ac:dyDescent="0.2">
      <c r="A920" s="4">
        <v>50</v>
      </c>
      <c r="B920" s="4">
        <v>0</v>
      </c>
      <c r="C920" s="4">
        <v>0</v>
      </c>
      <c r="D920" s="4">
        <v>1</v>
      </c>
      <c r="E920" s="4">
        <v>208</v>
      </c>
      <c r="F920" s="4">
        <f>Source!V897</f>
        <v>0</v>
      </c>
      <c r="G920" s="4" t="s">
        <v>78</v>
      </c>
      <c r="H920" s="4" t="s">
        <v>79</v>
      </c>
      <c r="I920" s="4"/>
      <c r="J920" s="4"/>
      <c r="K920" s="4">
        <v>208</v>
      </c>
      <c r="L920" s="4">
        <v>22</v>
      </c>
      <c r="M920" s="4">
        <v>3</v>
      </c>
      <c r="N920" s="4" t="s">
        <v>3</v>
      </c>
      <c r="O920" s="4">
        <v>-1</v>
      </c>
      <c r="P920" s="4"/>
      <c r="Q920" s="4"/>
      <c r="R920" s="4"/>
      <c r="S920" s="4"/>
      <c r="T920" s="4"/>
      <c r="U920" s="4"/>
      <c r="V920" s="4"/>
      <c r="W920" s="4">
        <v>0</v>
      </c>
      <c r="X920" s="4">
        <v>1</v>
      </c>
      <c r="Y920" s="4">
        <v>0</v>
      </c>
      <c r="Z920" s="4"/>
      <c r="AA920" s="4"/>
      <c r="AB920" s="4"/>
    </row>
    <row r="921" spans="1:206" x14ac:dyDescent="0.2">
      <c r="A921" s="4">
        <v>50</v>
      </c>
      <c r="B921" s="4">
        <v>0</v>
      </c>
      <c r="C921" s="4">
        <v>0</v>
      </c>
      <c r="D921" s="4">
        <v>1</v>
      </c>
      <c r="E921" s="4">
        <v>209</v>
      </c>
      <c r="F921" s="4">
        <f>ROUND(Source!W897,O921)</f>
        <v>0</v>
      </c>
      <c r="G921" s="4" t="s">
        <v>80</v>
      </c>
      <c r="H921" s="4" t="s">
        <v>81</v>
      </c>
      <c r="I921" s="4"/>
      <c r="J921" s="4"/>
      <c r="K921" s="4">
        <v>209</v>
      </c>
      <c r="L921" s="4">
        <v>23</v>
      </c>
      <c r="M921" s="4">
        <v>3</v>
      </c>
      <c r="N921" s="4" t="s">
        <v>3</v>
      </c>
      <c r="O921" s="4">
        <v>2</v>
      </c>
      <c r="P921" s="4"/>
      <c r="Q921" s="4"/>
      <c r="R921" s="4"/>
      <c r="S921" s="4"/>
      <c r="T921" s="4"/>
      <c r="U921" s="4"/>
      <c r="V921" s="4"/>
      <c r="W921" s="4">
        <v>0</v>
      </c>
      <c r="X921" s="4">
        <v>1</v>
      </c>
      <c r="Y921" s="4">
        <v>0</v>
      </c>
      <c r="Z921" s="4"/>
      <c r="AA921" s="4"/>
      <c r="AB921" s="4"/>
    </row>
    <row r="922" spans="1:206" x14ac:dyDescent="0.2">
      <c r="A922" s="4">
        <v>50</v>
      </c>
      <c r="B922" s="4">
        <v>0</v>
      </c>
      <c r="C922" s="4">
        <v>0</v>
      </c>
      <c r="D922" s="4">
        <v>1</v>
      </c>
      <c r="E922" s="4">
        <v>233</v>
      </c>
      <c r="F922" s="4">
        <f>ROUND(Source!BD897,O922)</f>
        <v>0</v>
      </c>
      <c r="G922" s="4" t="s">
        <v>82</v>
      </c>
      <c r="H922" s="4" t="s">
        <v>83</v>
      </c>
      <c r="I922" s="4"/>
      <c r="J922" s="4"/>
      <c r="K922" s="4">
        <v>233</v>
      </c>
      <c r="L922" s="4">
        <v>24</v>
      </c>
      <c r="M922" s="4">
        <v>3</v>
      </c>
      <c r="N922" s="4" t="s">
        <v>3</v>
      </c>
      <c r="O922" s="4">
        <v>2</v>
      </c>
      <c r="P922" s="4"/>
      <c r="Q922" s="4"/>
      <c r="R922" s="4"/>
      <c r="S922" s="4"/>
      <c r="T922" s="4"/>
      <c r="U922" s="4"/>
      <c r="V922" s="4"/>
      <c r="W922" s="4">
        <v>0</v>
      </c>
      <c r="X922" s="4">
        <v>1</v>
      </c>
      <c r="Y922" s="4">
        <v>0</v>
      </c>
      <c r="Z922" s="4"/>
      <c r="AA922" s="4"/>
      <c r="AB922" s="4"/>
    </row>
    <row r="923" spans="1:206" x14ac:dyDescent="0.2">
      <c r="A923" s="4">
        <v>50</v>
      </c>
      <c r="B923" s="4">
        <v>0</v>
      </c>
      <c r="C923" s="4">
        <v>0</v>
      </c>
      <c r="D923" s="4">
        <v>1</v>
      </c>
      <c r="E923" s="4">
        <v>210</v>
      </c>
      <c r="F923" s="4">
        <f>ROUND(Source!X897,O923)</f>
        <v>0</v>
      </c>
      <c r="G923" s="4" t="s">
        <v>84</v>
      </c>
      <c r="H923" s="4" t="s">
        <v>85</v>
      </c>
      <c r="I923" s="4"/>
      <c r="J923" s="4"/>
      <c r="K923" s="4">
        <v>210</v>
      </c>
      <c r="L923" s="4">
        <v>25</v>
      </c>
      <c r="M923" s="4">
        <v>3</v>
      </c>
      <c r="N923" s="4" t="s">
        <v>3</v>
      </c>
      <c r="O923" s="4">
        <v>2</v>
      </c>
      <c r="P923" s="4"/>
      <c r="Q923" s="4"/>
      <c r="R923" s="4"/>
      <c r="S923" s="4"/>
      <c r="T923" s="4"/>
      <c r="U923" s="4"/>
      <c r="V923" s="4"/>
      <c r="W923" s="4">
        <v>0</v>
      </c>
      <c r="X923" s="4">
        <v>1</v>
      </c>
      <c r="Y923" s="4">
        <v>0</v>
      </c>
      <c r="Z923" s="4"/>
      <c r="AA923" s="4"/>
      <c r="AB923" s="4"/>
    </row>
    <row r="924" spans="1:206" x14ac:dyDescent="0.2">
      <c r="A924" s="4">
        <v>50</v>
      </c>
      <c r="B924" s="4">
        <v>0</v>
      </c>
      <c r="C924" s="4">
        <v>0</v>
      </c>
      <c r="D924" s="4">
        <v>1</v>
      </c>
      <c r="E924" s="4">
        <v>211</v>
      </c>
      <c r="F924" s="4">
        <f>ROUND(Source!Y897,O924)</f>
        <v>0</v>
      </c>
      <c r="G924" s="4" t="s">
        <v>86</v>
      </c>
      <c r="H924" s="4" t="s">
        <v>87</v>
      </c>
      <c r="I924" s="4"/>
      <c r="J924" s="4"/>
      <c r="K924" s="4">
        <v>211</v>
      </c>
      <c r="L924" s="4">
        <v>26</v>
      </c>
      <c r="M924" s="4">
        <v>3</v>
      </c>
      <c r="N924" s="4" t="s">
        <v>3</v>
      </c>
      <c r="O924" s="4">
        <v>2</v>
      </c>
      <c r="P924" s="4"/>
      <c r="Q924" s="4"/>
      <c r="R924" s="4"/>
      <c r="S924" s="4"/>
      <c r="T924" s="4"/>
      <c r="U924" s="4"/>
      <c r="V924" s="4"/>
      <c r="W924" s="4">
        <v>0</v>
      </c>
      <c r="X924" s="4">
        <v>1</v>
      </c>
      <c r="Y924" s="4">
        <v>0</v>
      </c>
      <c r="Z924" s="4"/>
      <c r="AA924" s="4"/>
      <c r="AB924" s="4"/>
    </row>
    <row r="925" spans="1:206" x14ac:dyDescent="0.2">
      <c r="A925" s="4">
        <v>50</v>
      </c>
      <c r="B925" s="4">
        <v>0</v>
      </c>
      <c r="C925" s="4">
        <v>0</v>
      </c>
      <c r="D925" s="4">
        <v>1</v>
      </c>
      <c r="E925" s="4">
        <v>224</v>
      </c>
      <c r="F925" s="4">
        <f>ROUND(Source!AR897,O925)</f>
        <v>0</v>
      </c>
      <c r="G925" s="4" t="s">
        <v>88</v>
      </c>
      <c r="H925" s="4" t="s">
        <v>89</v>
      </c>
      <c r="I925" s="4"/>
      <c r="J925" s="4"/>
      <c r="K925" s="4">
        <v>224</v>
      </c>
      <c r="L925" s="4">
        <v>27</v>
      </c>
      <c r="M925" s="4">
        <v>3</v>
      </c>
      <c r="N925" s="4" t="s">
        <v>3</v>
      </c>
      <c r="O925" s="4">
        <v>2</v>
      </c>
      <c r="P925" s="4"/>
      <c r="Q925" s="4"/>
      <c r="R925" s="4"/>
      <c r="S925" s="4"/>
      <c r="T925" s="4"/>
      <c r="U925" s="4"/>
      <c r="V925" s="4"/>
      <c r="W925" s="4">
        <v>0</v>
      </c>
      <c r="X925" s="4">
        <v>1</v>
      </c>
      <c r="Y925" s="4">
        <v>0</v>
      </c>
      <c r="Z925" s="4"/>
      <c r="AA925" s="4"/>
      <c r="AB925" s="4"/>
    </row>
    <row r="927" spans="1:206" x14ac:dyDescent="0.2">
      <c r="A927" s="2">
        <v>51</v>
      </c>
      <c r="B927" s="2">
        <f>B726</f>
        <v>1</v>
      </c>
      <c r="C927" s="2">
        <f>A726</f>
        <v>4</v>
      </c>
      <c r="D927" s="2">
        <f>ROW(A726)</f>
        <v>726</v>
      </c>
      <c r="E927" s="2"/>
      <c r="F927" s="2" t="str">
        <f>IF(F726&lt;&gt;"",F726,"")</f>
        <v>Новый раздел</v>
      </c>
      <c r="G927" s="2" t="str">
        <f>IF(G726&lt;&gt;"",G726,"")</f>
        <v>4. Системы электроснабжения</v>
      </c>
      <c r="H927" s="2">
        <v>0</v>
      </c>
      <c r="I927" s="2"/>
      <c r="J927" s="2"/>
      <c r="K927" s="2"/>
      <c r="L927" s="2"/>
      <c r="M927" s="2"/>
      <c r="N927" s="2"/>
      <c r="O927" s="2">
        <f t="shared" ref="O927:T927" si="916">ROUND(O860+O897+AB927,2)</f>
        <v>726900.53</v>
      </c>
      <c r="P927" s="2">
        <f t="shared" si="916"/>
        <v>11659.14</v>
      </c>
      <c r="Q927" s="2">
        <f t="shared" si="916"/>
        <v>327.06</v>
      </c>
      <c r="R927" s="2">
        <f t="shared" si="916"/>
        <v>207.38</v>
      </c>
      <c r="S927" s="2">
        <f t="shared" si="916"/>
        <v>714914.33</v>
      </c>
      <c r="T927" s="2">
        <f t="shared" si="916"/>
        <v>0</v>
      </c>
      <c r="U927" s="2">
        <f>U860+U897+AH927</f>
        <v>1192.5978280000002</v>
      </c>
      <c r="V927" s="2">
        <f>V860+V897+AI927</f>
        <v>0</v>
      </c>
      <c r="W927" s="2">
        <f>ROUND(W860+W897+AJ927,2)</f>
        <v>0</v>
      </c>
      <c r="X927" s="2">
        <f>ROUND(X860+X897+AK927,2)</f>
        <v>500440.04</v>
      </c>
      <c r="Y927" s="2">
        <f>ROUND(Y860+Y897+AL927,2)</f>
        <v>71491.42</v>
      </c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>
        <f t="shared" ref="AO927:BD927" si="917">ROUND(AO860+AO897+BX927,2)</f>
        <v>0</v>
      </c>
      <c r="AP927" s="2">
        <f t="shared" si="917"/>
        <v>0</v>
      </c>
      <c r="AQ927" s="2">
        <f t="shared" si="917"/>
        <v>0</v>
      </c>
      <c r="AR927" s="2">
        <f t="shared" si="917"/>
        <v>1299055.97</v>
      </c>
      <c r="AS927" s="2">
        <f t="shared" si="917"/>
        <v>0</v>
      </c>
      <c r="AT927" s="2">
        <f t="shared" si="917"/>
        <v>0</v>
      </c>
      <c r="AU927" s="2">
        <f t="shared" si="917"/>
        <v>1299055.97</v>
      </c>
      <c r="AV927" s="2">
        <f t="shared" si="917"/>
        <v>11659.14</v>
      </c>
      <c r="AW927" s="2">
        <f t="shared" si="917"/>
        <v>11659.14</v>
      </c>
      <c r="AX927" s="2">
        <f t="shared" si="917"/>
        <v>0</v>
      </c>
      <c r="AY927" s="2">
        <f t="shared" si="917"/>
        <v>11659.14</v>
      </c>
      <c r="AZ927" s="2">
        <f t="shared" si="917"/>
        <v>0</v>
      </c>
      <c r="BA927" s="2">
        <f t="shared" si="917"/>
        <v>0</v>
      </c>
      <c r="BB927" s="2">
        <f t="shared" si="917"/>
        <v>0</v>
      </c>
      <c r="BC927" s="2">
        <f t="shared" si="917"/>
        <v>0</v>
      </c>
      <c r="BD927" s="2">
        <f t="shared" si="917"/>
        <v>0</v>
      </c>
      <c r="BE927" s="2"/>
      <c r="BF927" s="2"/>
      <c r="BG927" s="2"/>
      <c r="BH927" s="2"/>
      <c r="BI927" s="2"/>
      <c r="BJ927" s="2"/>
      <c r="BK927" s="2"/>
      <c r="BL927" s="2"/>
      <c r="BM927" s="2"/>
      <c r="BN927" s="2"/>
      <c r="BO927" s="2"/>
      <c r="BP927" s="2"/>
      <c r="BQ927" s="2"/>
      <c r="BR927" s="2"/>
      <c r="BS927" s="2"/>
      <c r="BT927" s="2"/>
      <c r="BU927" s="2"/>
      <c r="BV927" s="2"/>
      <c r="BW927" s="2"/>
      <c r="BX927" s="2"/>
      <c r="BY927" s="2"/>
      <c r="BZ927" s="2"/>
      <c r="CA927" s="2"/>
      <c r="CB927" s="2"/>
      <c r="CC927" s="2"/>
      <c r="CD927" s="2"/>
      <c r="CE927" s="2"/>
      <c r="CF927" s="2"/>
      <c r="CG927" s="2"/>
      <c r="CH927" s="2"/>
      <c r="CI927" s="2"/>
      <c r="CJ927" s="2"/>
      <c r="CK927" s="2"/>
      <c r="CL927" s="2"/>
      <c r="CM927" s="2"/>
      <c r="CN927" s="2"/>
      <c r="CO927" s="2"/>
      <c r="CP927" s="2"/>
      <c r="CQ927" s="2"/>
      <c r="CR927" s="2"/>
      <c r="CS927" s="2"/>
      <c r="CT927" s="2"/>
      <c r="CU927" s="2"/>
      <c r="CV927" s="2"/>
      <c r="CW927" s="2"/>
      <c r="CX927" s="2"/>
      <c r="CY927" s="2"/>
      <c r="CZ927" s="2"/>
      <c r="DA927" s="2"/>
      <c r="DB927" s="2"/>
      <c r="DC927" s="2"/>
      <c r="DD927" s="2"/>
      <c r="DE927" s="2"/>
      <c r="DF927" s="2"/>
      <c r="DG927" s="3"/>
      <c r="DH927" s="3"/>
      <c r="DI927" s="3"/>
      <c r="DJ927" s="3"/>
      <c r="DK927" s="3"/>
      <c r="DL927" s="3"/>
      <c r="DM927" s="3"/>
      <c r="DN927" s="3"/>
      <c r="DO927" s="3"/>
      <c r="DP927" s="3"/>
      <c r="DQ927" s="3"/>
      <c r="DR927" s="3"/>
      <c r="DS927" s="3"/>
      <c r="DT927" s="3"/>
      <c r="DU927" s="3"/>
      <c r="DV927" s="3"/>
      <c r="DW927" s="3"/>
      <c r="DX927" s="3"/>
      <c r="DY927" s="3"/>
      <c r="DZ927" s="3"/>
      <c r="EA927" s="3"/>
      <c r="EB927" s="3"/>
      <c r="EC927" s="3"/>
      <c r="ED927" s="3"/>
      <c r="EE927" s="3"/>
      <c r="EF927" s="3"/>
      <c r="EG927" s="3"/>
      <c r="EH927" s="3"/>
      <c r="EI927" s="3"/>
      <c r="EJ927" s="3"/>
      <c r="EK927" s="3"/>
      <c r="EL927" s="3"/>
      <c r="EM927" s="3"/>
      <c r="EN927" s="3"/>
      <c r="EO927" s="3"/>
      <c r="EP927" s="3"/>
      <c r="EQ927" s="3"/>
      <c r="ER927" s="3"/>
      <c r="ES927" s="3"/>
      <c r="ET927" s="3"/>
      <c r="EU927" s="3"/>
      <c r="EV927" s="3"/>
      <c r="EW927" s="3"/>
      <c r="EX927" s="3"/>
      <c r="EY927" s="3"/>
      <c r="EZ927" s="3"/>
      <c r="FA927" s="3"/>
      <c r="FB927" s="3"/>
      <c r="FC927" s="3"/>
      <c r="FD927" s="3"/>
      <c r="FE927" s="3"/>
      <c r="FF927" s="3"/>
      <c r="FG927" s="3"/>
      <c r="FH927" s="3"/>
      <c r="FI927" s="3"/>
      <c r="FJ927" s="3"/>
      <c r="FK927" s="3"/>
      <c r="FL927" s="3"/>
      <c r="FM927" s="3"/>
      <c r="FN927" s="3"/>
      <c r="FO927" s="3"/>
      <c r="FP927" s="3"/>
      <c r="FQ927" s="3"/>
      <c r="FR927" s="3"/>
      <c r="FS927" s="3"/>
      <c r="FT927" s="3"/>
      <c r="FU927" s="3"/>
      <c r="FV927" s="3"/>
      <c r="FW927" s="3"/>
      <c r="FX927" s="3"/>
      <c r="FY927" s="3"/>
      <c r="FZ927" s="3"/>
      <c r="GA927" s="3"/>
      <c r="GB927" s="3"/>
      <c r="GC927" s="3"/>
      <c r="GD927" s="3"/>
      <c r="GE927" s="3"/>
      <c r="GF927" s="3"/>
      <c r="GG927" s="3"/>
      <c r="GH927" s="3"/>
      <c r="GI927" s="3"/>
      <c r="GJ927" s="3"/>
      <c r="GK927" s="3"/>
      <c r="GL927" s="3"/>
      <c r="GM927" s="3"/>
      <c r="GN927" s="3"/>
      <c r="GO927" s="3"/>
      <c r="GP927" s="3"/>
      <c r="GQ927" s="3"/>
      <c r="GR927" s="3"/>
      <c r="GS927" s="3"/>
      <c r="GT927" s="3"/>
      <c r="GU927" s="3"/>
      <c r="GV927" s="3"/>
      <c r="GW927" s="3"/>
      <c r="GX927" s="3">
        <v>0</v>
      </c>
    </row>
    <row r="929" spans="1:28" x14ac:dyDescent="0.2">
      <c r="A929" s="4">
        <v>50</v>
      </c>
      <c r="B929" s="4">
        <v>0</v>
      </c>
      <c r="C929" s="4">
        <v>0</v>
      </c>
      <c r="D929" s="4">
        <v>1</v>
      </c>
      <c r="E929" s="4">
        <v>201</v>
      </c>
      <c r="F929" s="4">
        <f>ROUND(Source!O927,O929)</f>
        <v>726900.53</v>
      </c>
      <c r="G929" s="4" t="s">
        <v>36</v>
      </c>
      <c r="H929" s="4" t="s">
        <v>37</v>
      </c>
      <c r="I929" s="4"/>
      <c r="J929" s="4"/>
      <c r="K929" s="4">
        <v>201</v>
      </c>
      <c r="L929" s="4">
        <v>1</v>
      </c>
      <c r="M929" s="4">
        <v>3</v>
      </c>
      <c r="N929" s="4" t="s">
        <v>3</v>
      </c>
      <c r="O929" s="4">
        <v>2</v>
      </c>
      <c r="P929" s="4"/>
      <c r="Q929" s="4"/>
      <c r="R929" s="4"/>
      <c r="S929" s="4"/>
      <c r="T929" s="4"/>
      <c r="U929" s="4"/>
      <c r="V929" s="4"/>
      <c r="W929" s="4">
        <v>726900.53</v>
      </c>
      <c r="X929" s="4">
        <v>1</v>
      </c>
      <c r="Y929" s="4">
        <v>726900.53</v>
      </c>
      <c r="Z929" s="4"/>
      <c r="AA929" s="4"/>
      <c r="AB929" s="4"/>
    </row>
    <row r="930" spans="1:28" x14ac:dyDescent="0.2">
      <c r="A930" s="4">
        <v>50</v>
      </c>
      <c r="B930" s="4">
        <v>0</v>
      </c>
      <c r="C930" s="4">
        <v>0</v>
      </c>
      <c r="D930" s="4">
        <v>1</v>
      </c>
      <c r="E930" s="4">
        <v>202</v>
      </c>
      <c r="F930" s="4">
        <f>ROUND(Source!P927,O930)</f>
        <v>11659.14</v>
      </c>
      <c r="G930" s="4" t="s">
        <v>38</v>
      </c>
      <c r="H930" s="4" t="s">
        <v>39</v>
      </c>
      <c r="I930" s="4"/>
      <c r="J930" s="4"/>
      <c r="K930" s="4">
        <v>202</v>
      </c>
      <c r="L930" s="4">
        <v>2</v>
      </c>
      <c r="M930" s="4">
        <v>3</v>
      </c>
      <c r="N930" s="4" t="s">
        <v>3</v>
      </c>
      <c r="O930" s="4">
        <v>2</v>
      </c>
      <c r="P930" s="4"/>
      <c r="Q930" s="4"/>
      <c r="R930" s="4"/>
      <c r="S930" s="4"/>
      <c r="T930" s="4"/>
      <c r="U930" s="4"/>
      <c r="V930" s="4"/>
      <c r="W930" s="4">
        <v>11659.14</v>
      </c>
      <c r="X930" s="4">
        <v>1</v>
      </c>
      <c r="Y930" s="4">
        <v>11659.14</v>
      </c>
      <c r="Z930" s="4"/>
      <c r="AA930" s="4"/>
      <c r="AB930" s="4"/>
    </row>
    <row r="931" spans="1:28" x14ac:dyDescent="0.2">
      <c r="A931" s="4">
        <v>50</v>
      </c>
      <c r="B931" s="4">
        <v>0</v>
      </c>
      <c r="C931" s="4">
        <v>0</v>
      </c>
      <c r="D931" s="4">
        <v>1</v>
      </c>
      <c r="E931" s="4">
        <v>222</v>
      </c>
      <c r="F931" s="4">
        <f>ROUND(Source!AO927,O931)</f>
        <v>0</v>
      </c>
      <c r="G931" s="4" t="s">
        <v>40</v>
      </c>
      <c r="H931" s="4" t="s">
        <v>41</v>
      </c>
      <c r="I931" s="4"/>
      <c r="J931" s="4"/>
      <c r="K931" s="4">
        <v>222</v>
      </c>
      <c r="L931" s="4">
        <v>3</v>
      </c>
      <c r="M931" s="4">
        <v>3</v>
      </c>
      <c r="N931" s="4" t="s">
        <v>3</v>
      </c>
      <c r="O931" s="4">
        <v>2</v>
      </c>
      <c r="P931" s="4"/>
      <c r="Q931" s="4"/>
      <c r="R931" s="4"/>
      <c r="S931" s="4"/>
      <c r="T931" s="4"/>
      <c r="U931" s="4"/>
      <c r="V931" s="4"/>
      <c r="W931" s="4">
        <v>0</v>
      </c>
      <c r="X931" s="4">
        <v>1</v>
      </c>
      <c r="Y931" s="4">
        <v>0</v>
      </c>
      <c r="Z931" s="4"/>
      <c r="AA931" s="4"/>
      <c r="AB931" s="4"/>
    </row>
    <row r="932" spans="1:28" x14ac:dyDescent="0.2">
      <c r="A932" s="4">
        <v>50</v>
      </c>
      <c r="B932" s="4">
        <v>0</v>
      </c>
      <c r="C932" s="4">
        <v>0</v>
      </c>
      <c r="D932" s="4">
        <v>1</v>
      </c>
      <c r="E932" s="4">
        <v>225</v>
      </c>
      <c r="F932" s="4">
        <f>ROUND(Source!AV927,O932)</f>
        <v>11659.14</v>
      </c>
      <c r="G932" s="4" t="s">
        <v>42</v>
      </c>
      <c r="H932" s="4" t="s">
        <v>43</v>
      </c>
      <c r="I932" s="4"/>
      <c r="J932" s="4"/>
      <c r="K932" s="4">
        <v>225</v>
      </c>
      <c r="L932" s="4">
        <v>4</v>
      </c>
      <c r="M932" s="4">
        <v>3</v>
      </c>
      <c r="N932" s="4" t="s">
        <v>3</v>
      </c>
      <c r="O932" s="4">
        <v>2</v>
      </c>
      <c r="P932" s="4"/>
      <c r="Q932" s="4"/>
      <c r="R932" s="4"/>
      <c r="S932" s="4"/>
      <c r="T932" s="4"/>
      <c r="U932" s="4"/>
      <c r="V932" s="4"/>
      <c r="W932" s="4">
        <v>11659.14</v>
      </c>
      <c r="X932" s="4">
        <v>1</v>
      </c>
      <c r="Y932" s="4">
        <v>11659.14</v>
      </c>
      <c r="Z932" s="4"/>
      <c r="AA932" s="4"/>
      <c r="AB932" s="4"/>
    </row>
    <row r="933" spans="1:28" x14ac:dyDescent="0.2">
      <c r="A933" s="4">
        <v>50</v>
      </c>
      <c r="B933" s="4">
        <v>0</v>
      </c>
      <c r="C933" s="4">
        <v>0</v>
      </c>
      <c r="D933" s="4">
        <v>1</v>
      </c>
      <c r="E933" s="4">
        <v>226</v>
      </c>
      <c r="F933" s="4">
        <f>ROUND(Source!AW927,O933)</f>
        <v>11659.14</v>
      </c>
      <c r="G933" s="4" t="s">
        <v>44</v>
      </c>
      <c r="H933" s="4" t="s">
        <v>45</v>
      </c>
      <c r="I933" s="4"/>
      <c r="J933" s="4"/>
      <c r="K933" s="4">
        <v>226</v>
      </c>
      <c r="L933" s="4">
        <v>5</v>
      </c>
      <c r="M933" s="4">
        <v>3</v>
      </c>
      <c r="N933" s="4" t="s">
        <v>3</v>
      </c>
      <c r="O933" s="4">
        <v>2</v>
      </c>
      <c r="P933" s="4"/>
      <c r="Q933" s="4"/>
      <c r="R933" s="4"/>
      <c r="S933" s="4"/>
      <c r="T933" s="4"/>
      <c r="U933" s="4"/>
      <c r="V933" s="4"/>
      <c r="W933" s="4">
        <v>11659.14</v>
      </c>
      <c r="X933" s="4">
        <v>1</v>
      </c>
      <c r="Y933" s="4">
        <v>11659.14</v>
      </c>
      <c r="Z933" s="4"/>
      <c r="AA933" s="4"/>
      <c r="AB933" s="4"/>
    </row>
    <row r="934" spans="1:28" x14ac:dyDescent="0.2">
      <c r="A934" s="4">
        <v>50</v>
      </c>
      <c r="B934" s="4">
        <v>0</v>
      </c>
      <c r="C934" s="4">
        <v>0</v>
      </c>
      <c r="D934" s="4">
        <v>1</v>
      </c>
      <c r="E934" s="4">
        <v>227</v>
      </c>
      <c r="F934" s="4">
        <f>ROUND(Source!AX927,O934)</f>
        <v>0</v>
      </c>
      <c r="G934" s="4" t="s">
        <v>46</v>
      </c>
      <c r="H934" s="4" t="s">
        <v>47</v>
      </c>
      <c r="I934" s="4"/>
      <c r="J934" s="4"/>
      <c r="K934" s="4">
        <v>227</v>
      </c>
      <c r="L934" s="4">
        <v>6</v>
      </c>
      <c r="M934" s="4">
        <v>3</v>
      </c>
      <c r="N934" s="4" t="s">
        <v>3</v>
      </c>
      <c r="O934" s="4">
        <v>2</v>
      </c>
      <c r="P934" s="4"/>
      <c r="Q934" s="4"/>
      <c r="R934" s="4"/>
      <c r="S934" s="4"/>
      <c r="T934" s="4"/>
      <c r="U934" s="4"/>
      <c r="V934" s="4"/>
      <c r="W934" s="4">
        <v>0</v>
      </c>
      <c r="X934" s="4">
        <v>1</v>
      </c>
      <c r="Y934" s="4">
        <v>0</v>
      </c>
      <c r="Z934" s="4"/>
      <c r="AA934" s="4"/>
      <c r="AB934" s="4"/>
    </row>
    <row r="935" spans="1:28" x14ac:dyDescent="0.2">
      <c r="A935" s="4">
        <v>50</v>
      </c>
      <c r="B935" s="4">
        <v>0</v>
      </c>
      <c r="C935" s="4">
        <v>0</v>
      </c>
      <c r="D935" s="4">
        <v>1</v>
      </c>
      <c r="E935" s="4">
        <v>228</v>
      </c>
      <c r="F935" s="4">
        <f>ROUND(Source!AY927,O935)</f>
        <v>11659.14</v>
      </c>
      <c r="G935" s="4" t="s">
        <v>48</v>
      </c>
      <c r="H935" s="4" t="s">
        <v>49</v>
      </c>
      <c r="I935" s="4"/>
      <c r="J935" s="4"/>
      <c r="K935" s="4">
        <v>228</v>
      </c>
      <c r="L935" s="4">
        <v>7</v>
      </c>
      <c r="M935" s="4">
        <v>3</v>
      </c>
      <c r="N935" s="4" t="s">
        <v>3</v>
      </c>
      <c r="O935" s="4">
        <v>2</v>
      </c>
      <c r="P935" s="4"/>
      <c r="Q935" s="4"/>
      <c r="R935" s="4"/>
      <c r="S935" s="4"/>
      <c r="T935" s="4"/>
      <c r="U935" s="4"/>
      <c r="V935" s="4"/>
      <c r="W935" s="4">
        <v>11659.14</v>
      </c>
      <c r="X935" s="4">
        <v>1</v>
      </c>
      <c r="Y935" s="4">
        <v>11659.14</v>
      </c>
      <c r="Z935" s="4"/>
      <c r="AA935" s="4"/>
      <c r="AB935" s="4"/>
    </row>
    <row r="936" spans="1:28" x14ac:dyDescent="0.2">
      <c r="A936" s="4">
        <v>50</v>
      </c>
      <c r="B936" s="4">
        <v>0</v>
      </c>
      <c r="C936" s="4">
        <v>0</v>
      </c>
      <c r="D936" s="4">
        <v>1</v>
      </c>
      <c r="E936" s="4">
        <v>216</v>
      </c>
      <c r="F936" s="4">
        <f>ROUND(Source!AP927,O936)</f>
        <v>0</v>
      </c>
      <c r="G936" s="4" t="s">
        <v>50</v>
      </c>
      <c r="H936" s="4" t="s">
        <v>51</v>
      </c>
      <c r="I936" s="4"/>
      <c r="J936" s="4"/>
      <c r="K936" s="4">
        <v>216</v>
      </c>
      <c r="L936" s="4">
        <v>8</v>
      </c>
      <c r="M936" s="4">
        <v>3</v>
      </c>
      <c r="N936" s="4" t="s">
        <v>3</v>
      </c>
      <c r="O936" s="4">
        <v>2</v>
      </c>
      <c r="P936" s="4"/>
      <c r="Q936" s="4"/>
      <c r="R936" s="4"/>
      <c r="S936" s="4"/>
      <c r="T936" s="4"/>
      <c r="U936" s="4"/>
      <c r="V936" s="4"/>
      <c r="W936" s="4">
        <v>0</v>
      </c>
      <c r="X936" s="4">
        <v>1</v>
      </c>
      <c r="Y936" s="4">
        <v>0</v>
      </c>
      <c r="Z936" s="4"/>
      <c r="AA936" s="4"/>
      <c r="AB936" s="4"/>
    </row>
    <row r="937" spans="1:28" x14ac:dyDescent="0.2">
      <c r="A937" s="4">
        <v>50</v>
      </c>
      <c r="B937" s="4">
        <v>0</v>
      </c>
      <c r="C937" s="4">
        <v>0</v>
      </c>
      <c r="D937" s="4">
        <v>1</v>
      </c>
      <c r="E937" s="4">
        <v>223</v>
      </c>
      <c r="F937" s="4">
        <f>ROUND(Source!AQ927,O937)</f>
        <v>0</v>
      </c>
      <c r="G937" s="4" t="s">
        <v>52</v>
      </c>
      <c r="H937" s="4" t="s">
        <v>53</v>
      </c>
      <c r="I937" s="4"/>
      <c r="J937" s="4"/>
      <c r="K937" s="4">
        <v>223</v>
      </c>
      <c r="L937" s="4">
        <v>9</v>
      </c>
      <c r="M937" s="4">
        <v>3</v>
      </c>
      <c r="N937" s="4" t="s">
        <v>3</v>
      </c>
      <c r="O937" s="4">
        <v>2</v>
      </c>
      <c r="P937" s="4"/>
      <c r="Q937" s="4"/>
      <c r="R937" s="4"/>
      <c r="S937" s="4"/>
      <c r="T937" s="4"/>
      <c r="U937" s="4"/>
      <c r="V937" s="4"/>
      <c r="W937" s="4">
        <v>0</v>
      </c>
      <c r="X937" s="4">
        <v>1</v>
      </c>
      <c r="Y937" s="4">
        <v>0</v>
      </c>
      <c r="Z937" s="4"/>
      <c r="AA937" s="4"/>
      <c r="AB937" s="4"/>
    </row>
    <row r="938" spans="1:28" x14ac:dyDescent="0.2">
      <c r="A938" s="4">
        <v>50</v>
      </c>
      <c r="B938" s="4">
        <v>0</v>
      </c>
      <c r="C938" s="4">
        <v>0</v>
      </c>
      <c r="D938" s="4">
        <v>1</v>
      </c>
      <c r="E938" s="4">
        <v>229</v>
      </c>
      <c r="F938" s="4">
        <f>ROUND(Source!AZ927,O938)</f>
        <v>0</v>
      </c>
      <c r="G938" s="4" t="s">
        <v>54</v>
      </c>
      <c r="H938" s="4" t="s">
        <v>55</v>
      </c>
      <c r="I938" s="4"/>
      <c r="J938" s="4"/>
      <c r="K938" s="4">
        <v>229</v>
      </c>
      <c r="L938" s="4">
        <v>10</v>
      </c>
      <c r="M938" s="4">
        <v>3</v>
      </c>
      <c r="N938" s="4" t="s">
        <v>3</v>
      </c>
      <c r="O938" s="4">
        <v>2</v>
      </c>
      <c r="P938" s="4"/>
      <c r="Q938" s="4"/>
      <c r="R938" s="4"/>
      <c r="S938" s="4"/>
      <c r="T938" s="4"/>
      <c r="U938" s="4"/>
      <c r="V938" s="4"/>
      <c r="W938" s="4">
        <v>0</v>
      </c>
      <c r="X938" s="4">
        <v>1</v>
      </c>
      <c r="Y938" s="4">
        <v>0</v>
      </c>
      <c r="Z938" s="4"/>
      <c r="AA938" s="4"/>
      <c r="AB938" s="4"/>
    </row>
    <row r="939" spans="1:28" x14ac:dyDescent="0.2">
      <c r="A939" s="4">
        <v>50</v>
      </c>
      <c r="B939" s="4">
        <v>0</v>
      </c>
      <c r="C939" s="4">
        <v>0</v>
      </c>
      <c r="D939" s="4">
        <v>1</v>
      </c>
      <c r="E939" s="4">
        <v>203</v>
      </c>
      <c r="F939" s="4">
        <f>ROUND(Source!Q927,O939)</f>
        <v>327.06</v>
      </c>
      <c r="G939" s="4" t="s">
        <v>56</v>
      </c>
      <c r="H939" s="4" t="s">
        <v>57</v>
      </c>
      <c r="I939" s="4"/>
      <c r="J939" s="4"/>
      <c r="K939" s="4">
        <v>203</v>
      </c>
      <c r="L939" s="4">
        <v>11</v>
      </c>
      <c r="M939" s="4">
        <v>3</v>
      </c>
      <c r="N939" s="4" t="s">
        <v>3</v>
      </c>
      <c r="O939" s="4">
        <v>2</v>
      </c>
      <c r="P939" s="4"/>
      <c r="Q939" s="4"/>
      <c r="R939" s="4"/>
      <c r="S939" s="4"/>
      <c r="T939" s="4"/>
      <c r="U939" s="4"/>
      <c r="V939" s="4"/>
      <c r="W939" s="4">
        <v>327.06</v>
      </c>
      <c r="X939" s="4">
        <v>1</v>
      </c>
      <c r="Y939" s="4">
        <v>327.06</v>
      </c>
      <c r="Z939" s="4"/>
      <c r="AA939" s="4"/>
      <c r="AB939" s="4"/>
    </row>
    <row r="940" spans="1:28" x14ac:dyDescent="0.2">
      <c r="A940" s="4">
        <v>50</v>
      </c>
      <c r="B940" s="4">
        <v>0</v>
      </c>
      <c r="C940" s="4">
        <v>0</v>
      </c>
      <c r="D940" s="4">
        <v>1</v>
      </c>
      <c r="E940" s="4">
        <v>231</v>
      </c>
      <c r="F940" s="4">
        <f>ROUND(Source!BB927,O940)</f>
        <v>0</v>
      </c>
      <c r="G940" s="4" t="s">
        <v>58</v>
      </c>
      <c r="H940" s="4" t="s">
        <v>59</v>
      </c>
      <c r="I940" s="4"/>
      <c r="J940" s="4"/>
      <c r="K940" s="4">
        <v>231</v>
      </c>
      <c r="L940" s="4">
        <v>12</v>
      </c>
      <c r="M940" s="4">
        <v>3</v>
      </c>
      <c r="N940" s="4" t="s">
        <v>3</v>
      </c>
      <c r="O940" s="4">
        <v>2</v>
      </c>
      <c r="P940" s="4"/>
      <c r="Q940" s="4"/>
      <c r="R940" s="4"/>
      <c r="S940" s="4"/>
      <c r="T940" s="4"/>
      <c r="U940" s="4"/>
      <c r="V940" s="4"/>
      <c r="W940" s="4">
        <v>0</v>
      </c>
      <c r="X940" s="4">
        <v>1</v>
      </c>
      <c r="Y940" s="4">
        <v>0</v>
      </c>
      <c r="Z940" s="4"/>
      <c r="AA940" s="4"/>
      <c r="AB940" s="4"/>
    </row>
    <row r="941" spans="1:28" x14ac:dyDescent="0.2">
      <c r="A941" s="4">
        <v>50</v>
      </c>
      <c r="B941" s="4">
        <v>0</v>
      </c>
      <c r="C941" s="4">
        <v>0</v>
      </c>
      <c r="D941" s="4">
        <v>1</v>
      </c>
      <c r="E941" s="4">
        <v>204</v>
      </c>
      <c r="F941" s="4">
        <f>ROUND(Source!R927,O941)</f>
        <v>207.38</v>
      </c>
      <c r="G941" s="4" t="s">
        <v>60</v>
      </c>
      <c r="H941" s="4" t="s">
        <v>61</v>
      </c>
      <c r="I941" s="4"/>
      <c r="J941" s="4"/>
      <c r="K941" s="4">
        <v>204</v>
      </c>
      <c r="L941" s="4">
        <v>13</v>
      </c>
      <c r="M941" s="4">
        <v>3</v>
      </c>
      <c r="N941" s="4" t="s">
        <v>3</v>
      </c>
      <c r="O941" s="4">
        <v>2</v>
      </c>
      <c r="P941" s="4"/>
      <c r="Q941" s="4"/>
      <c r="R941" s="4"/>
      <c r="S941" s="4"/>
      <c r="T941" s="4"/>
      <c r="U941" s="4"/>
      <c r="V941" s="4"/>
      <c r="W941" s="4">
        <v>207.38</v>
      </c>
      <c r="X941" s="4">
        <v>1</v>
      </c>
      <c r="Y941" s="4">
        <v>207.38</v>
      </c>
      <c r="Z941" s="4"/>
      <c r="AA941" s="4"/>
      <c r="AB941" s="4"/>
    </row>
    <row r="942" spans="1:28" x14ac:dyDescent="0.2">
      <c r="A942" s="4">
        <v>50</v>
      </c>
      <c r="B942" s="4">
        <v>0</v>
      </c>
      <c r="C942" s="4">
        <v>0</v>
      </c>
      <c r="D942" s="4">
        <v>1</v>
      </c>
      <c r="E942" s="4">
        <v>205</v>
      </c>
      <c r="F942" s="4">
        <f>ROUND(Source!S927,O942)</f>
        <v>714914.33</v>
      </c>
      <c r="G942" s="4" t="s">
        <v>62</v>
      </c>
      <c r="H942" s="4" t="s">
        <v>63</v>
      </c>
      <c r="I942" s="4"/>
      <c r="J942" s="4"/>
      <c r="K942" s="4">
        <v>205</v>
      </c>
      <c r="L942" s="4">
        <v>14</v>
      </c>
      <c r="M942" s="4">
        <v>3</v>
      </c>
      <c r="N942" s="4" t="s">
        <v>3</v>
      </c>
      <c r="O942" s="4">
        <v>2</v>
      </c>
      <c r="P942" s="4"/>
      <c r="Q942" s="4"/>
      <c r="R942" s="4"/>
      <c r="S942" s="4"/>
      <c r="T942" s="4"/>
      <c r="U942" s="4"/>
      <c r="V942" s="4"/>
      <c r="W942" s="4">
        <v>714914.33</v>
      </c>
      <c r="X942" s="4">
        <v>1</v>
      </c>
      <c r="Y942" s="4">
        <v>714914.33</v>
      </c>
      <c r="Z942" s="4"/>
      <c r="AA942" s="4"/>
      <c r="AB942" s="4"/>
    </row>
    <row r="943" spans="1:28" x14ac:dyDescent="0.2">
      <c r="A943" s="4">
        <v>50</v>
      </c>
      <c r="B943" s="4">
        <v>0</v>
      </c>
      <c r="C943" s="4">
        <v>0</v>
      </c>
      <c r="D943" s="4">
        <v>1</v>
      </c>
      <c r="E943" s="4">
        <v>232</v>
      </c>
      <c r="F943" s="4">
        <f>ROUND(Source!BC927,O943)</f>
        <v>0</v>
      </c>
      <c r="G943" s="4" t="s">
        <v>64</v>
      </c>
      <c r="H943" s="4" t="s">
        <v>65</v>
      </c>
      <c r="I943" s="4"/>
      <c r="J943" s="4"/>
      <c r="K943" s="4">
        <v>232</v>
      </c>
      <c r="L943" s="4">
        <v>15</v>
      </c>
      <c r="M943" s="4">
        <v>3</v>
      </c>
      <c r="N943" s="4" t="s">
        <v>3</v>
      </c>
      <c r="O943" s="4">
        <v>2</v>
      </c>
      <c r="P943" s="4"/>
      <c r="Q943" s="4"/>
      <c r="R943" s="4"/>
      <c r="S943" s="4"/>
      <c r="T943" s="4"/>
      <c r="U943" s="4"/>
      <c r="V943" s="4"/>
      <c r="W943" s="4">
        <v>0</v>
      </c>
      <c r="X943" s="4">
        <v>1</v>
      </c>
      <c r="Y943" s="4">
        <v>0</v>
      </c>
      <c r="Z943" s="4"/>
      <c r="AA943" s="4"/>
      <c r="AB943" s="4"/>
    </row>
    <row r="944" spans="1:28" x14ac:dyDescent="0.2">
      <c r="A944" s="4">
        <v>50</v>
      </c>
      <c r="B944" s="4">
        <v>0</v>
      </c>
      <c r="C944" s="4">
        <v>0</v>
      </c>
      <c r="D944" s="4">
        <v>1</v>
      </c>
      <c r="E944" s="4">
        <v>214</v>
      </c>
      <c r="F944" s="4">
        <f>ROUND(Source!AS927,O944)</f>
        <v>0</v>
      </c>
      <c r="G944" s="4" t="s">
        <v>66</v>
      </c>
      <c r="H944" s="4" t="s">
        <v>67</v>
      </c>
      <c r="I944" s="4"/>
      <c r="J944" s="4"/>
      <c r="K944" s="4">
        <v>214</v>
      </c>
      <c r="L944" s="4">
        <v>16</v>
      </c>
      <c r="M944" s="4">
        <v>3</v>
      </c>
      <c r="N944" s="4" t="s">
        <v>3</v>
      </c>
      <c r="O944" s="4">
        <v>2</v>
      </c>
      <c r="P944" s="4"/>
      <c r="Q944" s="4"/>
      <c r="R944" s="4"/>
      <c r="S944" s="4"/>
      <c r="T944" s="4"/>
      <c r="U944" s="4"/>
      <c r="V944" s="4"/>
      <c r="W944" s="4">
        <v>0</v>
      </c>
      <c r="X944" s="4">
        <v>1</v>
      </c>
      <c r="Y944" s="4">
        <v>0</v>
      </c>
      <c r="Z944" s="4"/>
      <c r="AA944" s="4"/>
      <c r="AB944" s="4"/>
    </row>
    <row r="945" spans="1:206" x14ac:dyDescent="0.2">
      <c r="A945" s="4">
        <v>50</v>
      </c>
      <c r="B945" s="4">
        <v>0</v>
      </c>
      <c r="C945" s="4">
        <v>0</v>
      </c>
      <c r="D945" s="4">
        <v>1</v>
      </c>
      <c r="E945" s="4">
        <v>215</v>
      </c>
      <c r="F945" s="4">
        <f>ROUND(Source!AT927,O945)</f>
        <v>0</v>
      </c>
      <c r="G945" s="4" t="s">
        <v>68</v>
      </c>
      <c r="H945" s="4" t="s">
        <v>69</v>
      </c>
      <c r="I945" s="4"/>
      <c r="J945" s="4"/>
      <c r="K945" s="4">
        <v>215</v>
      </c>
      <c r="L945" s="4">
        <v>17</v>
      </c>
      <c r="M945" s="4">
        <v>3</v>
      </c>
      <c r="N945" s="4" t="s">
        <v>3</v>
      </c>
      <c r="O945" s="4">
        <v>2</v>
      </c>
      <c r="P945" s="4"/>
      <c r="Q945" s="4"/>
      <c r="R945" s="4"/>
      <c r="S945" s="4"/>
      <c r="T945" s="4"/>
      <c r="U945" s="4"/>
      <c r="V945" s="4"/>
      <c r="W945" s="4">
        <v>0</v>
      </c>
      <c r="X945" s="4">
        <v>1</v>
      </c>
      <c r="Y945" s="4">
        <v>0</v>
      </c>
      <c r="Z945" s="4"/>
      <c r="AA945" s="4"/>
      <c r="AB945" s="4"/>
    </row>
    <row r="946" spans="1:206" x14ac:dyDescent="0.2">
      <c r="A946" s="4">
        <v>50</v>
      </c>
      <c r="B946" s="4">
        <v>0</v>
      </c>
      <c r="C946" s="4">
        <v>0</v>
      </c>
      <c r="D946" s="4">
        <v>1</v>
      </c>
      <c r="E946" s="4">
        <v>217</v>
      </c>
      <c r="F946" s="4">
        <f>ROUND(Source!AU927,O946)</f>
        <v>1299055.97</v>
      </c>
      <c r="G946" s="4" t="s">
        <v>70</v>
      </c>
      <c r="H946" s="4" t="s">
        <v>71</v>
      </c>
      <c r="I946" s="4"/>
      <c r="J946" s="4"/>
      <c r="K946" s="4">
        <v>217</v>
      </c>
      <c r="L946" s="4">
        <v>18</v>
      </c>
      <c r="M946" s="4">
        <v>3</v>
      </c>
      <c r="N946" s="4" t="s">
        <v>3</v>
      </c>
      <c r="O946" s="4">
        <v>2</v>
      </c>
      <c r="P946" s="4"/>
      <c r="Q946" s="4"/>
      <c r="R946" s="4"/>
      <c r="S946" s="4"/>
      <c r="T946" s="4"/>
      <c r="U946" s="4"/>
      <c r="V946" s="4"/>
      <c r="W946" s="4">
        <v>1299055.97</v>
      </c>
      <c r="X946" s="4">
        <v>1</v>
      </c>
      <c r="Y946" s="4">
        <v>1299055.97</v>
      </c>
      <c r="Z946" s="4"/>
      <c r="AA946" s="4"/>
      <c r="AB946" s="4"/>
    </row>
    <row r="947" spans="1:206" x14ac:dyDescent="0.2">
      <c r="A947" s="4">
        <v>50</v>
      </c>
      <c r="B947" s="4">
        <v>0</v>
      </c>
      <c r="C947" s="4">
        <v>0</v>
      </c>
      <c r="D947" s="4">
        <v>1</v>
      </c>
      <c r="E947" s="4">
        <v>230</v>
      </c>
      <c r="F947" s="4">
        <f>ROUND(Source!BA927,O947)</f>
        <v>0</v>
      </c>
      <c r="G947" s="4" t="s">
        <v>72</v>
      </c>
      <c r="H947" s="4" t="s">
        <v>73</v>
      </c>
      <c r="I947" s="4"/>
      <c r="J947" s="4"/>
      <c r="K947" s="4">
        <v>230</v>
      </c>
      <c r="L947" s="4">
        <v>19</v>
      </c>
      <c r="M947" s="4">
        <v>3</v>
      </c>
      <c r="N947" s="4" t="s">
        <v>3</v>
      </c>
      <c r="O947" s="4">
        <v>2</v>
      </c>
      <c r="P947" s="4"/>
      <c r="Q947" s="4"/>
      <c r="R947" s="4"/>
      <c r="S947" s="4"/>
      <c r="T947" s="4"/>
      <c r="U947" s="4"/>
      <c r="V947" s="4"/>
      <c r="W947" s="4">
        <v>0</v>
      </c>
      <c r="X947" s="4">
        <v>1</v>
      </c>
      <c r="Y947" s="4">
        <v>0</v>
      </c>
      <c r="Z947" s="4"/>
      <c r="AA947" s="4"/>
      <c r="AB947" s="4"/>
    </row>
    <row r="948" spans="1:206" x14ac:dyDescent="0.2">
      <c r="A948" s="4">
        <v>50</v>
      </c>
      <c r="B948" s="4">
        <v>0</v>
      </c>
      <c r="C948" s="4">
        <v>0</v>
      </c>
      <c r="D948" s="4">
        <v>1</v>
      </c>
      <c r="E948" s="4">
        <v>206</v>
      </c>
      <c r="F948" s="4">
        <f>ROUND(Source!T927,O948)</f>
        <v>0</v>
      </c>
      <c r="G948" s="4" t="s">
        <v>74</v>
      </c>
      <c r="H948" s="4" t="s">
        <v>75</v>
      </c>
      <c r="I948" s="4"/>
      <c r="J948" s="4"/>
      <c r="K948" s="4">
        <v>206</v>
      </c>
      <c r="L948" s="4">
        <v>20</v>
      </c>
      <c r="M948" s="4">
        <v>3</v>
      </c>
      <c r="N948" s="4" t="s">
        <v>3</v>
      </c>
      <c r="O948" s="4">
        <v>2</v>
      </c>
      <c r="P948" s="4"/>
      <c r="Q948" s="4"/>
      <c r="R948" s="4"/>
      <c r="S948" s="4"/>
      <c r="T948" s="4"/>
      <c r="U948" s="4"/>
      <c r="V948" s="4"/>
      <c r="W948" s="4">
        <v>0</v>
      </c>
      <c r="X948" s="4">
        <v>1</v>
      </c>
      <c r="Y948" s="4">
        <v>0</v>
      </c>
      <c r="Z948" s="4"/>
      <c r="AA948" s="4"/>
      <c r="AB948" s="4"/>
    </row>
    <row r="949" spans="1:206" x14ac:dyDescent="0.2">
      <c r="A949" s="4">
        <v>50</v>
      </c>
      <c r="B949" s="4">
        <v>0</v>
      </c>
      <c r="C949" s="4">
        <v>0</v>
      </c>
      <c r="D949" s="4">
        <v>1</v>
      </c>
      <c r="E949" s="4">
        <v>207</v>
      </c>
      <c r="F949" s="4">
        <f>Source!U927</f>
        <v>1192.5978280000002</v>
      </c>
      <c r="G949" s="4" t="s">
        <v>76</v>
      </c>
      <c r="H949" s="4" t="s">
        <v>77</v>
      </c>
      <c r="I949" s="4"/>
      <c r="J949" s="4"/>
      <c r="K949" s="4">
        <v>207</v>
      </c>
      <c r="L949" s="4">
        <v>21</v>
      </c>
      <c r="M949" s="4">
        <v>3</v>
      </c>
      <c r="N949" s="4" t="s">
        <v>3</v>
      </c>
      <c r="O949" s="4">
        <v>-1</v>
      </c>
      <c r="P949" s="4"/>
      <c r="Q949" s="4"/>
      <c r="R949" s="4"/>
      <c r="S949" s="4"/>
      <c r="T949" s="4"/>
      <c r="U949" s="4"/>
      <c r="V949" s="4"/>
      <c r="W949" s="4">
        <v>1192.5978280000002</v>
      </c>
      <c r="X949" s="4">
        <v>1</v>
      </c>
      <c r="Y949" s="4">
        <v>1192.5978280000002</v>
      </c>
      <c r="Z949" s="4"/>
      <c r="AA949" s="4"/>
      <c r="AB949" s="4"/>
    </row>
    <row r="950" spans="1:206" x14ac:dyDescent="0.2">
      <c r="A950" s="4">
        <v>50</v>
      </c>
      <c r="B950" s="4">
        <v>0</v>
      </c>
      <c r="C950" s="4">
        <v>0</v>
      </c>
      <c r="D950" s="4">
        <v>1</v>
      </c>
      <c r="E950" s="4">
        <v>208</v>
      </c>
      <c r="F950" s="4">
        <f>Source!V927</f>
        <v>0</v>
      </c>
      <c r="G950" s="4" t="s">
        <v>78</v>
      </c>
      <c r="H950" s="4" t="s">
        <v>79</v>
      </c>
      <c r="I950" s="4"/>
      <c r="J950" s="4"/>
      <c r="K950" s="4">
        <v>208</v>
      </c>
      <c r="L950" s="4">
        <v>22</v>
      </c>
      <c r="M950" s="4">
        <v>3</v>
      </c>
      <c r="N950" s="4" t="s">
        <v>3</v>
      </c>
      <c r="O950" s="4">
        <v>-1</v>
      </c>
      <c r="P950" s="4"/>
      <c r="Q950" s="4"/>
      <c r="R950" s="4"/>
      <c r="S950" s="4"/>
      <c r="T950" s="4"/>
      <c r="U950" s="4"/>
      <c r="V950" s="4"/>
      <c r="W950" s="4">
        <v>0</v>
      </c>
      <c r="X950" s="4">
        <v>1</v>
      </c>
      <c r="Y950" s="4">
        <v>0</v>
      </c>
      <c r="Z950" s="4"/>
      <c r="AA950" s="4"/>
      <c r="AB950" s="4"/>
    </row>
    <row r="951" spans="1:206" x14ac:dyDescent="0.2">
      <c r="A951" s="4">
        <v>50</v>
      </c>
      <c r="B951" s="4">
        <v>0</v>
      </c>
      <c r="C951" s="4">
        <v>0</v>
      </c>
      <c r="D951" s="4">
        <v>1</v>
      </c>
      <c r="E951" s="4">
        <v>209</v>
      </c>
      <c r="F951" s="4">
        <f>ROUND(Source!W927,O951)</f>
        <v>0</v>
      </c>
      <c r="G951" s="4" t="s">
        <v>80</v>
      </c>
      <c r="H951" s="4" t="s">
        <v>81</v>
      </c>
      <c r="I951" s="4"/>
      <c r="J951" s="4"/>
      <c r="K951" s="4">
        <v>209</v>
      </c>
      <c r="L951" s="4">
        <v>23</v>
      </c>
      <c r="M951" s="4">
        <v>3</v>
      </c>
      <c r="N951" s="4" t="s">
        <v>3</v>
      </c>
      <c r="O951" s="4">
        <v>2</v>
      </c>
      <c r="P951" s="4"/>
      <c r="Q951" s="4"/>
      <c r="R951" s="4"/>
      <c r="S951" s="4"/>
      <c r="T951" s="4"/>
      <c r="U951" s="4"/>
      <c r="V951" s="4"/>
      <c r="W951" s="4">
        <v>0</v>
      </c>
      <c r="X951" s="4">
        <v>1</v>
      </c>
      <c r="Y951" s="4">
        <v>0</v>
      </c>
      <c r="Z951" s="4"/>
      <c r="AA951" s="4"/>
      <c r="AB951" s="4"/>
    </row>
    <row r="952" spans="1:206" x14ac:dyDescent="0.2">
      <c r="A952" s="4">
        <v>50</v>
      </c>
      <c r="B952" s="4">
        <v>0</v>
      </c>
      <c r="C952" s="4">
        <v>0</v>
      </c>
      <c r="D952" s="4">
        <v>1</v>
      </c>
      <c r="E952" s="4">
        <v>233</v>
      </c>
      <c r="F952" s="4">
        <f>ROUND(Source!BD927,O952)</f>
        <v>0</v>
      </c>
      <c r="G952" s="4" t="s">
        <v>82</v>
      </c>
      <c r="H952" s="4" t="s">
        <v>83</v>
      </c>
      <c r="I952" s="4"/>
      <c r="J952" s="4"/>
      <c r="K952" s="4">
        <v>233</v>
      </c>
      <c r="L952" s="4">
        <v>24</v>
      </c>
      <c r="M952" s="4">
        <v>3</v>
      </c>
      <c r="N952" s="4" t="s">
        <v>3</v>
      </c>
      <c r="O952" s="4">
        <v>2</v>
      </c>
      <c r="P952" s="4"/>
      <c r="Q952" s="4"/>
      <c r="R952" s="4"/>
      <c r="S952" s="4"/>
      <c r="T952" s="4"/>
      <c r="U952" s="4"/>
      <c r="V952" s="4"/>
      <c r="W952" s="4">
        <v>0</v>
      </c>
      <c r="X952" s="4">
        <v>1</v>
      </c>
      <c r="Y952" s="4">
        <v>0</v>
      </c>
      <c r="Z952" s="4"/>
      <c r="AA952" s="4"/>
      <c r="AB952" s="4"/>
    </row>
    <row r="953" spans="1:206" x14ac:dyDescent="0.2">
      <c r="A953" s="4">
        <v>50</v>
      </c>
      <c r="B953" s="4">
        <v>0</v>
      </c>
      <c r="C953" s="4">
        <v>0</v>
      </c>
      <c r="D953" s="4">
        <v>1</v>
      </c>
      <c r="E953" s="4">
        <v>210</v>
      </c>
      <c r="F953" s="4">
        <f>ROUND(Source!X927,O953)</f>
        <v>500440.04</v>
      </c>
      <c r="G953" s="4" t="s">
        <v>84</v>
      </c>
      <c r="H953" s="4" t="s">
        <v>85</v>
      </c>
      <c r="I953" s="4"/>
      <c r="J953" s="4"/>
      <c r="K953" s="4">
        <v>210</v>
      </c>
      <c r="L953" s="4">
        <v>25</v>
      </c>
      <c r="M953" s="4">
        <v>3</v>
      </c>
      <c r="N953" s="4" t="s">
        <v>3</v>
      </c>
      <c r="O953" s="4">
        <v>2</v>
      </c>
      <c r="P953" s="4"/>
      <c r="Q953" s="4"/>
      <c r="R953" s="4"/>
      <c r="S953" s="4"/>
      <c r="T953" s="4"/>
      <c r="U953" s="4"/>
      <c r="V953" s="4"/>
      <c r="W953" s="4">
        <v>500440.04</v>
      </c>
      <c r="X953" s="4">
        <v>1</v>
      </c>
      <c r="Y953" s="4">
        <v>500440.04</v>
      </c>
      <c r="Z953" s="4"/>
      <c r="AA953" s="4"/>
      <c r="AB953" s="4"/>
    </row>
    <row r="954" spans="1:206" x14ac:dyDescent="0.2">
      <c r="A954" s="4">
        <v>50</v>
      </c>
      <c r="B954" s="4">
        <v>0</v>
      </c>
      <c r="C954" s="4">
        <v>0</v>
      </c>
      <c r="D954" s="4">
        <v>1</v>
      </c>
      <c r="E954" s="4">
        <v>211</v>
      </c>
      <c r="F954" s="4">
        <f>ROUND(Source!Y927,O954)</f>
        <v>71491.42</v>
      </c>
      <c r="G954" s="4" t="s">
        <v>86</v>
      </c>
      <c r="H954" s="4" t="s">
        <v>87</v>
      </c>
      <c r="I954" s="4"/>
      <c r="J954" s="4"/>
      <c r="K954" s="4">
        <v>211</v>
      </c>
      <c r="L954" s="4">
        <v>26</v>
      </c>
      <c r="M954" s="4">
        <v>3</v>
      </c>
      <c r="N954" s="4" t="s">
        <v>3</v>
      </c>
      <c r="O954" s="4">
        <v>2</v>
      </c>
      <c r="P954" s="4"/>
      <c r="Q954" s="4"/>
      <c r="R954" s="4"/>
      <c r="S954" s="4"/>
      <c r="T954" s="4"/>
      <c r="U954" s="4"/>
      <c r="V954" s="4"/>
      <c r="W954" s="4">
        <v>71491.42</v>
      </c>
      <c r="X954" s="4">
        <v>1</v>
      </c>
      <c r="Y954" s="4">
        <v>71491.42</v>
      </c>
      <c r="Z954" s="4"/>
      <c r="AA954" s="4"/>
      <c r="AB954" s="4"/>
    </row>
    <row r="955" spans="1:206" x14ac:dyDescent="0.2">
      <c r="A955" s="4">
        <v>50</v>
      </c>
      <c r="B955" s="4">
        <v>0</v>
      </c>
      <c r="C955" s="4">
        <v>0</v>
      </c>
      <c r="D955" s="4">
        <v>1</v>
      </c>
      <c r="E955" s="4">
        <v>224</v>
      </c>
      <c r="F955" s="4">
        <f>ROUND(Source!AR927,O955)</f>
        <v>1299055.97</v>
      </c>
      <c r="G955" s="4" t="s">
        <v>88</v>
      </c>
      <c r="H955" s="4" t="s">
        <v>89</v>
      </c>
      <c r="I955" s="4"/>
      <c r="J955" s="4"/>
      <c r="K955" s="4">
        <v>224</v>
      </c>
      <c r="L955" s="4">
        <v>27</v>
      </c>
      <c r="M955" s="4">
        <v>3</v>
      </c>
      <c r="N955" s="4" t="s">
        <v>3</v>
      </c>
      <c r="O955" s="4">
        <v>2</v>
      </c>
      <c r="P955" s="4"/>
      <c r="Q955" s="4"/>
      <c r="R955" s="4"/>
      <c r="S955" s="4"/>
      <c r="T955" s="4"/>
      <c r="U955" s="4"/>
      <c r="V955" s="4"/>
      <c r="W955" s="4">
        <v>1299055.97</v>
      </c>
      <c r="X955" s="4">
        <v>1</v>
      </c>
      <c r="Y955" s="4">
        <v>1299055.97</v>
      </c>
      <c r="Z955" s="4"/>
      <c r="AA955" s="4"/>
      <c r="AB955" s="4"/>
    </row>
    <row r="957" spans="1:206" x14ac:dyDescent="0.2">
      <c r="A957" s="1">
        <v>4</v>
      </c>
      <c r="B957" s="1">
        <v>1</v>
      </c>
      <c r="C957" s="1"/>
      <c r="D957" s="1">
        <f>ROW(A975)</f>
        <v>975</v>
      </c>
      <c r="E957" s="1"/>
      <c r="F957" s="1" t="s">
        <v>13</v>
      </c>
      <c r="G957" s="1" t="s">
        <v>841</v>
      </c>
      <c r="H957" s="1" t="s">
        <v>3</v>
      </c>
      <c r="I957" s="1">
        <v>0</v>
      </c>
      <c r="J957" s="1"/>
      <c r="K957" s="1">
        <v>-1</v>
      </c>
      <c r="L957" s="1"/>
      <c r="M957" s="1" t="s">
        <v>3</v>
      </c>
      <c r="N957" s="1"/>
      <c r="O957" s="1"/>
      <c r="P957" s="1"/>
      <c r="Q957" s="1"/>
      <c r="R957" s="1"/>
      <c r="S957" s="1">
        <v>0</v>
      </c>
      <c r="T957" s="1"/>
      <c r="U957" s="1" t="s">
        <v>3</v>
      </c>
      <c r="V957" s="1">
        <v>0</v>
      </c>
      <c r="W957" s="1"/>
      <c r="X957" s="1"/>
      <c r="Y957" s="1"/>
      <c r="Z957" s="1"/>
      <c r="AA957" s="1"/>
      <c r="AB957" s="1" t="s">
        <v>3</v>
      </c>
      <c r="AC957" s="1" t="s">
        <v>3</v>
      </c>
      <c r="AD957" s="1" t="s">
        <v>3</v>
      </c>
      <c r="AE957" s="1" t="s">
        <v>3</v>
      </c>
      <c r="AF957" s="1" t="s">
        <v>3</v>
      </c>
      <c r="AG957" s="1" t="s">
        <v>3</v>
      </c>
      <c r="AH957" s="1"/>
      <c r="AI957" s="1"/>
      <c r="AJ957" s="1"/>
      <c r="AK957" s="1"/>
      <c r="AL957" s="1"/>
      <c r="AM957" s="1"/>
      <c r="AN957" s="1"/>
      <c r="AO957" s="1"/>
      <c r="AP957" s="1" t="s">
        <v>3</v>
      </c>
      <c r="AQ957" s="1" t="s">
        <v>3</v>
      </c>
      <c r="AR957" s="1" t="s">
        <v>3</v>
      </c>
      <c r="AS957" s="1"/>
      <c r="AT957" s="1"/>
      <c r="AU957" s="1"/>
      <c r="AV957" s="1"/>
      <c r="AW957" s="1"/>
      <c r="AX957" s="1"/>
      <c r="AY957" s="1"/>
      <c r="AZ957" s="1" t="s">
        <v>3</v>
      </c>
      <c r="BA957" s="1"/>
      <c r="BB957" s="1" t="s">
        <v>3</v>
      </c>
      <c r="BC957" s="1" t="s">
        <v>3</v>
      </c>
      <c r="BD957" s="1" t="s">
        <v>3</v>
      </c>
      <c r="BE957" s="1" t="s">
        <v>3</v>
      </c>
      <c r="BF957" s="1" t="s">
        <v>3</v>
      </c>
      <c r="BG957" s="1" t="s">
        <v>3</v>
      </c>
      <c r="BH957" s="1" t="s">
        <v>3</v>
      </c>
      <c r="BI957" s="1" t="s">
        <v>3</v>
      </c>
      <c r="BJ957" s="1" t="s">
        <v>3</v>
      </c>
      <c r="BK957" s="1" t="s">
        <v>3</v>
      </c>
      <c r="BL957" s="1" t="s">
        <v>3</v>
      </c>
      <c r="BM957" s="1" t="s">
        <v>3</v>
      </c>
      <c r="BN957" s="1" t="s">
        <v>3</v>
      </c>
      <c r="BO957" s="1" t="s">
        <v>3</v>
      </c>
      <c r="BP957" s="1" t="s">
        <v>3</v>
      </c>
      <c r="BQ957" s="1"/>
      <c r="BR957" s="1"/>
      <c r="BS957" s="1"/>
      <c r="BT957" s="1"/>
      <c r="BU957" s="1"/>
      <c r="BV957" s="1"/>
      <c r="BW957" s="1"/>
      <c r="BX957" s="1">
        <v>0</v>
      </c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>
        <v>0</v>
      </c>
    </row>
    <row r="959" spans="1:206" x14ac:dyDescent="0.2">
      <c r="A959" s="2">
        <v>52</v>
      </c>
      <c r="B959" s="2">
        <f t="shared" ref="B959:G959" si="918">B975</f>
        <v>1</v>
      </c>
      <c r="C959" s="2">
        <f t="shared" si="918"/>
        <v>4</v>
      </c>
      <c r="D959" s="2">
        <f t="shared" si="918"/>
        <v>957</v>
      </c>
      <c r="E959" s="2">
        <f t="shared" si="918"/>
        <v>0</v>
      </c>
      <c r="F959" s="2" t="str">
        <f t="shared" si="918"/>
        <v>Новый раздел</v>
      </c>
      <c r="G959" s="2" t="str">
        <f t="shared" si="918"/>
        <v>5. Автоматизация и диспетчеризация инженерных систем.</v>
      </c>
      <c r="H959" s="2"/>
      <c r="I959" s="2"/>
      <c r="J959" s="2"/>
      <c r="K959" s="2"/>
      <c r="L959" s="2"/>
      <c r="M959" s="2"/>
      <c r="N959" s="2"/>
      <c r="O959" s="2">
        <f t="shared" ref="O959:AT959" si="919">O975</f>
        <v>80953.37</v>
      </c>
      <c r="P959" s="2">
        <f t="shared" si="919"/>
        <v>217.39</v>
      </c>
      <c r="Q959" s="2">
        <f t="shared" si="919"/>
        <v>45.61</v>
      </c>
      <c r="R959" s="2">
        <f t="shared" si="919"/>
        <v>28.92</v>
      </c>
      <c r="S959" s="2">
        <f t="shared" si="919"/>
        <v>80690.37</v>
      </c>
      <c r="T959" s="2">
        <f t="shared" si="919"/>
        <v>0</v>
      </c>
      <c r="U959" s="2">
        <f t="shared" si="919"/>
        <v>114.004</v>
      </c>
      <c r="V959" s="2">
        <f t="shared" si="919"/>
        <v>0</v>
      </c>
      <c r="W959" s="2">
        <f t="shared" si="919"/>
        <v>0</v>
      </c>
      <c r="X959" s="2">
        <f t="shared" si="919"/>
        <v>56483.27</v>
      </c>
      <c r="Y959" s="2">
        <f t="shared" si="919"/>
        <v>8069.05</v>
      </c>
      <c r="Z959" s="2">
        <f t="shared" si="919"/>
        <v>0</v>
      </c>
      <c r="AA959" s="2">
        <f t="shared" si="919"/>
        <v>0</v>
      </c>
      <c r="AB959" s="2">
        <f t="shared" si="919"/>
        <v>80953.37</v>
      </c>
      <c r="AC959" s="2">
        <f t="shared" si="919"/>
        <v>217.39</v>
      </c>
      <c r="AD959" s="2">
        <f t="shared" si="919"/>
        <v>45.61</v>
      </c>
      <c r="AE959" s="2">
        <f t="shared" si="919"/>
        <v>28.92</v>
      </c>
      <c r="AF959" s="2">
        <f t="shared" si="919"/>
        <v>80690.37</v>
      </c>
      <c r="AG959" s="2">
        <f t="shared" si="919"/>
        <v>0</v>
      </c>
      <c r="AH959" s="2">
        <f t="shared" si="919"/>
        <v>114.004</v>
      </c>
      <c r="AI959" s="2">
        <f t="shared" si="919"/>
        <v>0</v>
      </c>
      <c r="AJ959" s="2">
        <f t="shared" si="919"/>
        <v>0</v>
      </c>
      <c r="AK959" s="2">
        <f t="shared" si="919"/>
        <v>56483.27</v>
      </c>
      <c r="AL959" s="2">
        <f t="shared" si="919"/>
        <v>8069.05</v>
      </c>
      <c r="AM959" s="2">
        <f t="shared" si="919"/>
        <v>0</v>
      </c>
      <c r="AN959" s="2">
        <f t="shared" si="919"/>
        <v>0</v>
      </c>
      <c r="AO959" s="2">
        <f t="shared" si="919"/>
        <v>0</v>
      </c>
      <c r="AP959" s="2">
        <f t="shared" si="919"/>
        <v>0</v>
      </c>
      <c r="AQ959" s="2">
        <f t="shared" si="919"/>
        <v>0</v>
      </c>
      <c r="AR959" s="2">
        <f t="shared" si="919"/>
        <v>145536.92000000001</v>
      </c>
      <c r="AS959" s="2">
        <f t="shared" si="919"/>
        <v>0</v>
      </c>
      <c r="AT959" s="2">
        <f t="shared" si="919"/>
        <v>0</v>
      </c>
      <c r="AU959" s="2">
        <f t="shared" ref="AU959:BZ959" si="920">AU975</f>
        <v>145536.92000000001</v>
      </c>
      <c r="AV959" s="2">
        <f t="shared" si="920"/>
        <v>217.39</v>
      </c>
      <c r="AW959" s="2">
        <f t="shared" si="920"/>
        <v>217.39</v>
      </c>
      <c r="AX959" s="2">
        <f t="shared" si="920"/>
        <v>0</v>
      </c>
      <c r="AY959" s="2">
        <f t="shared" si="920"/>
        <v>217.39</v>
      </c>
      <c r="AZ959" s="2">
        <f t="shared" si="920"/>
        <v>0</v>
      </c>
      <c r="BA959" s="2">
        <f t="shared" si="920"/>
        <v>0</v>
      </c>
      <c r="BB959" s="2">
        <f t="shared" si="920"/>
        <v>0</v>
      </c>
      <c r="BC959" s="2">
        <f t="shared" si="920"/>
        <v>0</v>
      </c>
      <c r="BD959" s="2">
        <f t="shared" si="920"/>
        <v>0</v>
      </c>
      <c r="BE959" s="2">
        <f t="shared" si="920"/>
        <v>0</v>
      </c>
      <c r="BF959" s="2">
        <f t="shared" si="920"/>
        <v>0</v>
      </c>
      <c r="BG959" s="2">
        <f t="shared" si="920"/>
        <v>0</v>
      </c>
      <c r="BH959" s="2">
        <f t="shared" si="920"/>
        <v>0</v>
      </c>
      <c r="BI959" s="2">
        <f t="shared" si="920"/>
        <v>0</v>
      </c>
      <c r="BJ959" s="2">
        <f t="shared" si="920"/>
        <v>0</v>
      </c>
      <c r="BK959" s="2">
        <f t="shared" si="920"/>
        <v>0</v>
      </c>
      <c r="BL959" s="2">
        <f t="shared" si="920"/>
        <v>0</v>
      </c>
      <c r="BM959" s="2">
        <f t="shared" si="920"/>
        <v>0</v>
      </c>
      <c r="BN959" s="2">
        <f t="shared" si="920"/>
        <v>0</v>
      </c>
      <c r="BO959" s="2">
        <f t="shared" si="920"/>
        <v>0</v>
      </c>
      <c r="BP959" s="2">
        <f t="shared" si="920"/>
        <v>0</v>
      </c>
      <c r="BQ959" s="2">
        <f t="shared" si="920"/>
        <v>0</v>
      </c>
      <c r="BR959" s="2">
        <f t="shared" si="920"/>
        <v>0</v>
      </c>
      <c r="BS959" s="2">
        <f t="shared" si="920"/>
        <v>0</v>
      </c>
      <c r="BT959" s="2">
        <f t="shared" si="920"/>
        <v>0</v>
      </c>
      <c r="BU959" s="2">
        <f t="shared" si="920"/>
        <v>0</v>
      </c>
      <c r="BV959" s="2">
        <f t="shared" si="920"/>
        <v>0</v>
      </c>
      <c r="BW959" s="2">
        <f t="shared" si="920"/>
        <v>0</v>
      </c>
      <c r="BX959" s="2">
        <f t="shared" si="920"/>
        <v>0</v>
      </c>
      <c r="BY959" s="2">
        <f t="shared" si="920"/>
        <v>0</v>
      </c>
      <c r="BZ959" s="2">
        <f t="shared" si="920"/>
        <v>0</v>
      </c>
      <c r="CA959" s="2">
        <f t="shared" ref="CA959:DF959" si="921">CA975</f>
        <v>145536.92000000001</v>
      </c>
      <c r="CB959" s="2">
        <f t="shared" si="921"/>
        <v>0</v>
      </c>
      <c r="CC959" s="2">
        <f t="shared" si="921"/>
        <v>0</v>
      </c>
      <c r="CD959" s="2">
        <f t="shared" si="921"/>
        <v>145536.92000000001</v>
      </c>
      <c r="CE959" s="2">
        <f t="shared" si="921"/>
        <v>217.39</v>
      </c>
      <c r="CF959" s="2">
        <f t="shared" si="921"/>
        <v>217.39</v>
      </c>
      <c r="CG959" s="2">
        <f t="shared" si="921"/>
        <v>0</v>
      </c>
      <c r="CH959" s="2">
        <f t="shared" si="921"/>
        <v>217.39</v>
      </c>
      <c r="CI959" s="2">
        <f t="shared" si="921"/>
        <v>0</v>
      </c>
      <c r="CJ959" s="2">
        <f t="shared" si="921"/>
        <v>0</v>
      </c>
      <c r="CK959" s="2">
        <f t="shared" si="921"/>
        <v>0</v>
      </c>
      <c r="CL959" s="2">
        <f t="shared" si="921"/>
        <v>0</v>
      </c>
      <c r="CM959" s="2">
        <f t="shared" si="921"/>
        <v>0</v>
      </c>
      <c r="CN959" s="2">
        <f t="shared" si="921"/>
        <v>0</v>
      </c>
      <c r="CO959" s="2">
        <f t="shared" si="921"/>
        <v>0</v>
      </c>
      <c r="CP959" s="2">
        <f t="shared" si="921"/>
        <v>0</v>
      </c>
      <c r="CQ959" s="2">
        <f t="shared" si="921"/>
        <v>0</v>
      </c>
      <c r="CR959" s="2">
        <f t="shared" si="921"/>
        <v>0</v>
      </c>
      <c r="CS959" s="2">
        <f t="shared" si="921"/>
        <v>0</v>
      </c>
      <c r="CT959" s="2">
        <f t="shared" si="921"/>
        <v>0</v>
      </c>
      <c r="CU959" s="2">
        <f t="shared" si="921"/>
        <v>0</v>
      </c>
      <c r="CV959" s="2">
        <f t="shared" si="921"/>
        <v>0</v>
      </c>
      <c r="CW959" s="2">
        <f t="shared" si="921"/>
        <v>0</v>
      </c>
      <c r="CX959" s="2">
        <f t="shared" si="921"/>
        <v>0</v>
      </c>
      <c r="CY959" s="2">
        <f t="shared" si="921"/>
        <v>0</v>
      </c>
      <c r="CZ959" s="2">
        <f t="shared" si="921"/>
        <v>0</v>
      </c>
      <c r="DA959" s="2">
        <f t="shared" si="921"/>
        <v>0</v>
      </c>
      <c r="DB959" s="2">
        <f t="shared" si="921"/>
        <v>0</v>
      </c>
      <c r="DC959" s="2">
        <f t="shared" si="921"/>
        <v>0</v>
      </c>
      <c r="DD959" s="2">
        <f t="shared" si="921"/>
        <v>0</v>
      </c>
      <c r="DE959" s="2">
        <f t="shared" si="921"/>
        <v>0</v>
      </c>
      <c r="DF959" s="2">
        <f t="shared" si="921"/>
        <v>0</v>
      </c>
      <c r="DG959" s="3">
        <f t="shared" ref="DG959:EL959" si="922">DG975</f>
        <v>0</v>
      </c>
      <c r="DH959" s="3">
        <f t="shared" si="922"/>
        <v>0</v>
      </c>
      <c r="DI959" s="3">
        <f t="shared" si="922"/>
        <v>0</v>
      </c>
      <c r="DJ959" s="3">
        <f t="shared" si="922"/>
        <v>0</v>
      </c>
      <c r="DK959" s="3">
        <f t="shared" si="922"/>
        <v>0</v>
      </c>
      <c r="DL959" s="3">
        <f t="shared" si="922"/>
        <v>0</v>
      </c>
      <c r="DM959" s="3">
        <f t="shared" si="922"/>
        <v>0</v>
      </c>
      <c r="DN959" s="3">
        <f t="shared" si="922"/>
        <v>0</v>
      </c>
      <c r="DO959" s="3">
        <f t="shared" si="922"/>
        <v>0</v>
      </c>
      <c r="DP959" s="3">
        <f t="shared" si="922"/>
        <v>0</v>
      </c>
      <c r="DQ959" s="3">
        <f t="shared" si="922"/>
        <v>0</v>
      </c>
      <c r="DR959" s="3">
        <f t="shared" si="922"/>
        <v>0</v>
      </c>
      <c r="DS959" s="3">
        <f t="shared" si="922"/>
        <v>0</v>
      </c>
      <c r="DT959" s="3">
        <f t="shared" si="922"/>
        <v>0</v>
      </c>
      <c r="DU959" s="3">
        <f t="shared" si="922"/>
        <v>0</v>
      </c>
      <c r="DV959" s="3">
        <f t="shared" si="922"/>
        <v>0</v>
      </c>
      <c r="DW959" s="3">
        <f t="shared" si="922"/>
        <v>0</v>
      </c>
      <c r="DX959" s="3">
        <f t="shared" si="922"/>
        <v>0</v>
      </c>
      <c r="DY959" s="3">
        <f t="shared" si="922"/>
        <v>0</v>
      </c>
      <c r="DZ959" s="3">
        <f t="shared" si="922"/>
        <v>0</v>
      </c>
      <c r="EA959" s="3">
        <f t="shared" si="922"/>
        <v>0</v>
      </c>
      <c r="EB959" s="3">
        <f t="shared" si="922"/>
        <v>0</v>
      </c>
      <c r="EC959" s="3">
        <f t="shared" si="922"/>
        <v>0</v>
      </c>
      <c r="ED959" s="3">
        <f t="shared" si="922"/>
        <v>0</v>
      </c>
      <c r="EE959" s="3">
        <f t="shared" si="922"/>
        <v>0</v>
      </c>
      <c r="EF959" s="3">
        <f t="shared" si="922"/>
        <v>0</v>
      </c>
      <c r="EG959" s="3">
        <f t="shared" si="922"/>
        <v>0</v>
      </c>
      <c r="EH959" s="3">
        <f t="shared" si="922"/>
        <v>0</v>
      </c>
      <c r="EI959" s="3">
        <f t="shared" si="922"/>
        <v>0</v>
      </c>
      <c r="EJ959" s="3">
        <f t="shared" si="922"/>
        <v>0</v>
      </c>
      <c r="EK959" s="3">
        <f t="shared" si="922"/>
        <v>0</v>
      </c>
      <c r="EL959" s="3">
        <f t="shared" si="922"/>
        <v>0</v>
      </c>
      <c r="EM959" s="3">
        <f t="shared" ref="EM959:FR959" si="923">EM975</f>
        <v>0</v>
      </c>
      <c r="EN959" s="3">
        <f t="shared" si="923"/>
        <v>0</v>
      </c>
      <c r="EO959" s="3">
        <f t="shared" si="923"/>
        <v>0</v>
      </c>
      <c r="EP959" s="3">
        <f t="shared" si="923"/>
        <v>0</v>
      </c>
      <c r="EQ959" s="3">
        <f t="shared" si="923"/>
        <v>0</v>
      </c>
      <c r="ER959" s="3">
        <f t="shared" si="923"/>
        <v>0</v>
      </c>
      <c r="ES959" s="3">
        <f t="shared" si="923"/>
        <v>0</v>
      </c>
      <c r="ET959" s="3">
        <f t="shared" si="923"/>
        <v>0</v>
      </c>
      <c r="EU959" s="3">
        <f t="shared" si="923"/>
        <v>0</v>
      </c>
      <c r="EV959" s="3">
        <f t="shared" si="923"/>
        <v>0</v>
      </c>
      <c r="EW959" s="3">
        <f t="shared" si="923"/>
        <v>0</v>
      </c>
      <c r="EX959" s="3">
        <f t="shared" si="923"/>
        <v>0</v>
      </c>
      <c r="EY959" s="3">
        <f t="shared" si="923"/>
        <v>0</v>
      </c>
      <c r="EZ959" s="3">
        <f t="shared" si="923"/>
        <v>0</v>
      </c>
      <c r="FA959" s="3">
        <f t="shared" si="923"/>
        <v>0</v>
      </c>
      <c r="FB959" s="3">
        <f t="shared" si="923"/>
        <v>0</v>
      </c>
      <c r="FC959" s="3">
        <f t="shared" si="923"/>
        <v>0</v>
      </c>
      <c r="FD959" s="3">
        <f t="shared" si="923"/>
        <v>0</v>
      </c>
      <c r="FE959" s="3">
        <f t="shared" si="923"/>
        <v>0</v>
      </c>
      <c r="FF959" s="3">
        <f t="shared" si="923"/>
        <v>0</v>
      </c>
      <c r="FG959" s="3">
        <f t="shared" si="923"/>
        <v>0</v>
      </c>
      <c r="FH959" s="3">
        <f t="shared" si="923"/>
        <v>0</v>
      </c>
      <c r="FI959" s="3">
        <f t="shared" si="923"/>
        <v>0</v>
      </c>
      <c r="FJ959" s="3">
        <f t="shared" si="923"/>
        <v>0</v>
      </c>
      <c r="FK959" s="3">
        <f t="shared" si="923"/>
        <v>0</v>
      </c>
      <c r="FL959" s="3">
        <f t="shared" si="923"/>
        <v>0</v>
      </c>
      <c r="FM959" s="3">
        <f t="shared" si="923"/>
        <v>0</v>
      </c>
      <c r="FN959" s="3">
        <f t="shared" si="923"/>
        <v>0</v>
      </c>
      <c r="FO959" s="3">
        <f t="shared" si="923"/>
        <v>0</v>
      </c>
      <c r="FP959" s="3">
        <f t="shared" si="923"/>
        <v>0</v>
      </c>
      <c r="FQ959" s="3">
        <f t="shared" si="923"/>
        <v>0</v>
      </c>
      <c r="FR959" s="3">
        <f t="shared" si="923"/>
        <v>0</v>
      </c>
      <c r="FS959" s="3">
        <f t="shared" ref="FS959:GX959" si="924">FS975</f>
        <v>0</v>
      </c>
      <c r="FT959" s="3">
        <f t="shared" si="924"/>
        <v>0</v>
      </c>
      <c r="FU959" s="3">
        <f t="shared" si="924"/>
        <v>0</v>
      </c>
      <c r="FV959" s="3">
        <f t="shared" si="924"/>
        <v>0</v>
      </c>
      <c r="FW959" s="3">
        <f t="shared" si="924"/>
        <v>0</v>
      </c>
      <c r="FX959" s="3">
        <f t="shared" si="924"/>
        <v>0</v>
      </c>
      <c r="FY959" s="3">
        <f t="shared" si="924"/>
        <v>0</v>
      </c>
      <c r="FZ959" s="3">
        <f t="shared" si="924"/>
        <v>0</v>
      </c>
      <c r="GA959" s="3">
        <f t="shared" si="924"/>
        <v>0</v>
      </c>
      <c r="GB959" s="3">
        <f t="shared" si="924"/>
        <v>0</v>
      </c>
      <c r="GC959" s="3">
        <f t="shared" si="924"/>
        <v>0</v>
      </c>
      <c r="GD959" s="3">
        <f t="shared" si="924"/>
        <v>0</v>
      </c>
      <c r="GE959" s="3">
        <f t="shared" si="924"/>
        <v>0</v>
      </c>
      <c r="GF959" s="3">
        <f t="shared" si="924"/>
        <v>0</v>
      </c>
      <c r="GG959" s="3">
        <f t="shared" si="924"/>
        <v>0</v>
      </c>
      <c r="GH959" s="3">
        <f t="shared" si="924"/>
        <v>0</v>
      </c>
      <c r="GI959" s="3">
        <f t="shared" si="924"/>
        <v>0</v>
      </c>
      <c r="GJ959" s="3">
        <f t="shared" si="924"/>
        <v>0</v>
      </c>
      <c r="GK959" s="3">
        <f t="shared" si="924"/>
        <v>0</v>
      </c>
      <c r="GL959" s="3">
        <f t="shared" si="924"/>
        <v>0</v>
      </c>
      <c r="GM959" s="3">
        <f t="shared" si="924"/>
        <v>0</v>
      </c>
      <c r="GN959" s="3">
        <f t="shared" si="924"/>
        <v>0</v>
      </c>
      <c r="GO959" s="3">
        <f t="shared" si="924"/>
        <v>0</v>
      </c>
      <c r="GP959" s="3">
        <f t="shared" si="924"/>
        <v>0</v>
      </c>
      <c r="GQ959" s="3">
        <f t="shared" si="924"/>
        <v>0</v>
      </c>
      <c r="GR959" s="3">
        <f t="shared" si="924"/>
        <v>0</v>
      </c>
      <c r="GS959" s="3">
        <f t="shared" si="924"/>
        <v>0</v>
      </c>
      <c r="GT959" s="3">
        <f t="shared" si="924"/>
        <v>0</v>
      </c>
      <c r="GU959" s="3">
        <f t="shared" si="924"/>
        <v>0</v>
      </c>
      <c r="GV959" s="3">
        <f t="shared" si="924"/>
        <v>0</v>
      </c>
      <c r="GW959" s="3">
        <f t="shared" si="924"/>
        <v>0</v>
      </c>
      <c r="GX959" s="3">
        <f t="shared" si="924"/>
        <v>0</v>
      </c>
    </row>
    <row r="961" spans="1:245" x14ac:dyDescent="0.2">
      <c r="A961">
        <v>17</v>
      </c>
      <c r="B961">
        <v>1</v>
      </c>
      <c r="D961">
        <f>ROW(EtalonRes!A902)</f>
        <v>902</v>
      </c>
      <c r="E961" t="s">
        <v>842</v>
      </c>
      <c r="F961" t="s">
        <v>843</v>
      </c>
      <c r="G961" t="s">
        <v>844</v>
      </c>
      <c r="H961" t="s">
        <v>20</v>
      </c>
      <c r="I961">
        <v>1</v>
      </c>
      <c r="J961">
        <v>0</v>
      </c>
      <c r="K961">
        <v>1</v>
      </c>
      <c r="O961">
        <f t="shared" ref="O961:O969" si="925">ROUND(CP961,2)</f>
        <v>478.26</v>
      </c>
      <c r="P961">
        <f t="shared" ref="P961:P969" si="926">ROUND(CQ961*I961,2)</f>
        <v>0.47</v>
      </c>
      <c r="Q961">
        <f t="shared" ref="Q961:Q969" si="927">ROUND(CR961*I961,2)</f>
        <v>45.61</v>
      </c>
      <c r="R961">
        <f t="shared" ref="R961:R969" si="928">ROUND(CS961*I961,2)</f>
        <v>28.92</v>
      </c>
      <c r="S961">
        <f t="shared" ref="S961:S969" si="929">ROUND(CT961*I961,2)</f>
        <v>432.18</v>
      </c>
      <c r="T961">
        <f t="shared" ref="T961:T969" si="930">ROUND(CU961*I961,2)</f>
        <v>0</v>
      </c>
      <c r="U961">
        <f t="shared" ref="U961:U969" si="931">CV961*I961</f>
        <v>0.60899999999999999</v>
      </c>
      <c r="V961">
        <f t="shared" ref="V961:V969" si="932">CW961*I961</f>
        <v>0</v>
      </c>
      <c r="W961">
        <f t="shared" ref="W961:W969" si="933">ROUND(CX961*I961,2)</f>
        <v>0</v>
      </c>
      <c r="X961">
        <f t="shared" ref="X961:X969" si="934">ROUND(CY961,2)</f>
        <v>302.52999999999997</v>
      </c>
      <c r="Y961">
        <f t="shared" ref="Y961:Y969" si="935">ROUND(CZ961,2)</f>
        <v>43.22</v>
      </c>
      <c r="AA961">
        <v>1472506909</v>
      </c>
      <c r="AB961">
        <f t="shared" ref="AB961:AB969" si="936">ROUND((AC961+AD961+AF961),6)</f>
        <v>478.255</v>
      </c>
      <c r="AC961">
        <f>ROUND(((ES961*1)),6)</f>
        <v>0.47</v>
      </c>
      <c r="AD961">
        <f>ROUND(((((ET961*0.7))-((EU961*0.7)))+AE961),6)</f>
        <v>45.604999999999997</v>
      </c>
      <c r="AE961">
        <f>ROUND(((EU961*0.7)),6)</f>
        <v>28.917000000000002</v>
      </c>
      <c r="AF961">
        <f>ROUND(((EV961*0.7)),6)</f>
        <v>432.18</v>
      </c>
      <c r="AG961">
        <f t="shared" ref="AG961:AG969" si="937">ROUND((AP961),6)</f>
        <v>0</v>
      </c>
      <c r="AH961">
        <f>((EW961*0.7))</f>
        <v>0.60899999999999999</v>
      </c>
      <c r="AI961">
        <f>((EX961*0.7))</f>
        <v>0</v>
      </c>
      <c r="AJ961">
        <f t="shared" ref="AJ961:AJ969" si="938">(AS961)</f>
        <v>0</v>
      </c>
      <c r="AK961">
        <v>683.02</v>
      </c>
      <c r="AL961">
        <v>0.47</v>
      </c>
      <c r="AM961">
        <v>65.150000000000006</v>
      </c>
      <c r="AN961">
        <v>41.31</v>
      </c>
      <c r="AO961">
        <v>617.4</v>
      </c>
      <c r="AP961">
        <v>0</v>
      </c>
      <c r="AQ961">
        <v>0.87</v>
      </c>
      <c r="AR961">
        <v>0</v>
      </c>
      <c r="AS961">
        <v>0</v>
      </c>
      <c r="AT961">
        <v>70</v>
      </c>
      <c r="AU961">
        <v>10</v>
      </c>
      <c r="AV961">
        <v>1</v>
      </c>
      <c r="AW961">
        <v>1</v>
      </c>
      <c r="AZ961">
        <v>1</v>
      </c>
      <c r="BA961">
        <v>1</v>
      </c>
      <c r="BB961">
        <v>1</v>
      </c>
      <c r="BC961">
        <v>1</v>
      </c>
      <c r="BD961" t="s">
        <v>3</v>
      </c>
      <c r="BE961" t="s">
        <v>3</v>
      </c>
      <c r="BF961" t="s">
        <v>3</v>
      </c>
      <c r="BG961" t="s">
        <v>3</v>
      </c>
      <c r="BH961">
        <v>0</v>
      </c>
      <c r="BI961">
        <v>4</v>
      </c>
      <c r="BJ961" t="s">
        <v>845</v>
      </c>
      <c r="BM961">
        <v>0</v>
      </c>
      <c r="BN961">
        <v>0</v>
      </c>
      <c r="BO961" t="s">
        <v>3</v>
      </c>
      <c r="BP961">
        <v>0</v>
      </c>
      <c r="BQ961">
        <v>1</v>
      </c>
      <c r="BR961">
        <v>0</v>
      </c>
      <c r="BS961">
        <v>1</v>
      </c>
      <c r="BT961">
        <v>1</v>
      </c>
      <c r="BU961">
        <v>1</v>
      </c>
      <c r="BV961">
        <v>1</v>
      </c>
      <c r="BW961">
        <v>1</v>
      </c>
      <c r="BX961">
        <v>1</v>
      </c>
      <c r="BY961" t="s">
        <v>3</v>
      </c>
      <c r="BZ961">
        <v>70</v>
      </c>
      <c r="CA961">
        <v>10</v>
      </c>
      <c r="CB961" t="s">
        <v>3</v>
      </c>
      <c r="CE961">
        <v>0</v>
      </c>
      <c r="CF961">
        <v>0</v>
      </c>
      <c r="CG961">
        <v>0</v>
      </c>
      <c r="CM961">
        <v>0</v>
      </c>
      <c r="CN961" t="s">
        <v>1069</v>
      </c>
      <c r="CO961">
        <v>0</v>
      </c>
      <c r="CP961">
        <f t="shared" ref="CP961:CP969" si="939">(P961+Q961+S961)</f>
        <v>478.26</v>
      </c>
      <c r="CQ961">
        <f t="shared" ref="CQ961:CQ969" si="940">(AC961*BC961*AW961)</f>
        <v>0.47</v>
      </c>
      <c r="CR961">
        <f>(((((ET961*0.7))*BB961-((EU961*0.7))*BS961)+AE961*BS961)*AV961)</f>
        <v>45.605000000000004</v>
      </c>
      <c r="CS961">
        <f t="shared" ref="CS961:CS969" si="941">(AE961*BS961*AV961)</f>
        <v>28.917000000000002</v>
      </c>
      <c r="CT961">
        <f t="shared" ref="CT961:CT969" si="942">(AF961*BA961*AV961)</f>
        <v>432.18</v>
      </c>
      <c r="CU961">
        <f t="shared" ref="CU961:CU969" si="943">AG961</f>
        <v>0</v>
      </c>
      <c r="CV961">
        <f t="shared" ref="CV961:CV969" si="944">(AH961*AV961)</f>
        <v>0.60899999999999999</v>
      </c>
      <c r="CW961">
        <f t="shared" ref="CW961:CW969" si="945">AI961</f>
        <v>0</v>
      </c>
      <c r="CX961">
        <f t="shared" ref="CX961:CX969" si="946">AJ961</f>
        <v>0</v>
      </c>
      <c r="CY961">
        <f t="shared" ref="CY961:CY969" si="947">((S961*BZ961)/100)</f>
        <v>302.52600000000001</v>
      </c>
      <c r="CZ961">
        <f t="shared" ref="CZ961:CZ969" si="948">((S961*CA961)/100)</f>
        <v>43.218000000000004</v>
      </c>
      <c r="DC961" t="s">
        <v>3</v>
      </c>
      <c r="DD961" t="s">
        <v>235</v>
      </c>
      <c r="DE961" t="s">
        <v>236</v>
      </c>
      <c r="DF961" t="s">
        <v>236</v>
      </c>
      <c r="DG961" t="s">
        <v>236</v>
      </c>
      <c r="DH961" t="s">
        <v>3</v>
      </c>
      <c r="DI961" t="s">
        <v>236</v>
      </c>
      <c r="DJ961" t="s">
        <v>236</v>
      </c>
      <c r="DK961" t="s">
        <v>3</v>
      </c>
      <c r="DL961" t="s">
        <v>3</v>
      </c>
      <c r="DM961" t="s">
        <v>3</v>
      </c>
      <c r="DN961">
        <v>0</v>
      </c>
      <c r="DO961">
        <v>0</v>
      </c>
      <c r="DP961">
        <v>1</v>
      </c>
      <c r="DQ961">
        <v>1</v>
      </c>
      <c r="DU961">
        <v>16987630</v>
      </c>
      <c r="DV961" t="s">
        <v>20</v>
      </c>
      <c r="DW961" t="s">
        <v>20</v>
      </c>
      <c r="DX961">
        <v>1</v>
      </c>
      <c r="DZ961" t="s">
        <v>3</v>
      </c>
      <c r="EA961" t="s">
        <v>3</v>
      </c>
      <c r="EB961" t="s">
        <v>3</v>
      </c>
      <c r="EC961" t="s">
        <v>3</v>
      </c>
      <c r="EE961">
        <v>1441815344</v>
      </c>
      <c r="EF961">
        <v>1</v>
      </c>
      <c r="EG961" t="s">
        <v>22</v>
      </c>
      <c r="EH961">
        <v>0</v>
      </c>
      <c r="EI961" t="s">
        <v>3</v>
      </c>
      <c r="EJ961">
        <v>4</v>
      </c>
      <c r="EK961">
        <v>0</v>
      </c>
      <c r="EL961" t="s">
        <v>23</v>
      </c>
      <c r="EM961" t="s">
        <v>24</v>
      </c>
      <c r="EO961" t="s">
        <v>237</v>
      </c>
      <c r="EQ961">
        <v>768</v>
      </c>
      <c r="ER961">
        <v>683.02</v>
      </c>
      <c r="ES961">
        <v>0.47</v>
      </c>
      <c r="ET961">
        <v>65.150000000000006</v>
      </c>
      <c r="EU961">
        <v>41.31</v>
      </c>
      <c r="EV961">
        <v>617.4</v>
      </c>
      <c r="EW961">
        <v>0.87</v>
      </c>
      <c r="EX961">
        <v>0</v>
      </c>
      <c r="EY961">
        <v>0</v>
      </c>
      <c r="FQ961">
        <v>0</v>
      </c>
      <c r="FR961">
        <f t="shared" ref="FR961:FR969" si="949">ROUND(IF(BI961=3,GM961,0),2)</f>
        <v>0</v>
      </c>
      <c r="FS961">
        <v>0</v>
      </c>
      <c r="FX961">
        <v>70</v>
      </c>
      <c r="FY961">
        <v>10</v>
      </c>
      <c r="GA961" t="s">
        <v>3</v>
      </c>
      <c r="GD961">
        <v>0</v>
      </c>
      <c r="GF961">
        <v>-739357925</v>
      </c>
      <c r="GG961">
        <v>2</v>
      </c>
      <c r="GH961">
        <v>1</v>
      </c>
      <c r="GI961">
        <v>-2</v>
      </c>
      <c r="GJ961">
        <v>0</v>
      </c>
      <c r="GK961">
        <f>ROUND(R961*(R12)/100,2)</f>
        <v>31.23</v>
      </c>
      <c r="GL961">
        <f t="shared" ref="GL961:GL969" si="950">ROUND(IF(AND(BH961=3,BI961=3,FS961&lt;&gt;0),P961,0),2)</f>
        <v>0</v>
      </c>
      <c r="GM961">
        <f t="shared" ref="GM961:GM969" si="951">ROUND(O961+X961+Y961+GK961,2)+GX961</f>
        <v>855.24</v>
      </c>
      <c r="GN961">
        <f t="shared" ref="GN961:GN969" si="952">IF(OR(BI961=0,BI961=1),GM961-GX961,0)</f>
        <v>0</v>
      </c>
      <c r="GO961">
        <f t="shared" ref="GO961:GO969" si="953">IF(BI961=2,GM961-GX961,0)</f>
        <v>0</v>
      </c>
      <c r="GP961">
        <f t="shared" ref="GP961:GP969" si="954">IF(BI961=4,GM961-GX961,0)</f>
        <v>855.24</v>
      </c>
      <c r="GR961">
        <v>0</v>
      </c>
      <c r="GS961">
        <v>3</v>
      </c>
      <c r="GT961">
        <v>0</v>
      </c>
      <c r="GU961" t="s">
        <v>3</v>
      </c>
      <c r="GV961">
        <f t="shared" ref="GV961:GV969" si="955">ROUND((GT961),6)</f>
        <v>0</v>
      </c>
      <c r="GW961">
        <v>1</v>
      </c>
      <c r="GX961">
        <f t="shared" ref="GX961:GX969" si="956">ROUND(HC961*I961,2)</f>
        <v>0</v>
      </c>
      <c r="HA961">
        <v>0</v>
      </c>
      <c r="HB961">
        <v>0</v>
      </c>
      <c r="HC961">
        <f t="shared" ref="HC961:HC969" si="957">GV961*GW961</f>
        <v>0</v>
      </c>
      <c r="HE961" t="s">
        <v>3</v>
      </c>
      <c r="HF961" t="s">
        <v>3</v>
      </c>
      <c r="HM961" t="s">
        <v>3</v>
      </c>
      <c r="HN961" t="s">
        <v>3</v>
      </c>
      <c r="HO961" t="s">
        <v>3</v>
      </c>
      <c r="HP961" t="s">
        <v>3</v>
      </c>
      <c r="HQ961" t="s">
        <v>3</v>
      </c>
      <c r="IK961">
        <v>0</v>
      </c>
    </row>
    <row r="962" spans="1:245" x14ac:dyDescent="0.2">
      <c r="A962">
        <v>17</v>
      </c>
      <c r="B962">
        <v>1</v>
      </c>
      <c r="D962">
        <f>ROW(EtalonRes!A906)</f>
        <v>906</v>
      </c>
      <c r="E962" t="s">
        <v>3</v>
      </c>
      <c r="F962" t="s">
        <v>846</v>
      </c>
      <c r="G962" t="s">
        <v>847</v>
      </c>
      <c r="H962" t="s">
        <v>20</v>
      </c>
      <c r="I962">
        <v>1</v>
      </c>
      <c r="J962">
        <v>0</v>
      </c>
      <c r="K962">
        <v>1</v>
      </c>
      <c r="O962">
        <f t="shared" si="925"/>
        <v>241.26</v>
      </c>
      <c r="P962">
        <f t="shared" si="926"/>
        <v>4.3499999999999996</v>
      </c>
      <c r="Q962">
        <f t="shared" si="927"/>
        <v>29.32</v>
      </c>
      <c r="R962">
        <f t="shared" si="928"/>
        <v>18.59</v>
      </c>
      <c r="S962">
        <f t="shared" si="929"/>
        <v>207.59</v>
      </c>
      <c r="T962">
        <f t="shared" si="930"/>
        <v>0</v>
      </c>
      <c r="U962">
        <f t="shared" si="931"/>
        <v>0.29249999999999998</v>
      </c>
      <c r="V962">
        <f t="shared" si="932"/>
        <v>0</v>
      </c>
      <c r="W962">
        <f t="shared" si="933"/>
        <v>0</v>
      </c>
      <c r="X962">
        <f t="shared" si="934"/>
        <v>145.31</v>
      </c>
      <c r="Y962">
        <f t="shared" si="935"/>
        <v>20.76</v>
      </c>
      <c r="AA962">
        <v>-1</v>
      </c>
      <c r="AB962">
        <f t="shared" si="936"/>
        <v>241.2525</v>
      </c>
      <c r="AC962">
        <f>ROUND((((ES962*3)*1)),6)</f>
        <v>4.3499999999999996</v>
      </c>
      <c r="AD962">
        <f>ROUND((((((ET962*3)*0.75))-(((EU962*3)*0.75)))+AE962),6)</f>
        <v>29.317499999999999</v>
      </c>
      <c r="AE962">
        <f>ROUND((((EU962*3)*0.75)),6)</f>
        <v>18.585000000000001</v>
      </c>
      <c r="AF962">
        <f>ROUND((((EV962*3)*0.75)),6)</f>
        <v>207.58500000000001</v>
      </c>
      <c r="AG962">
        <f t="shared" si="937"/>
        <v>0</v>
      </c>
      <c r="AH962">
        <f>(((EW962*3)*0.75))</f>
        <v>0.29249999999999998</v>
      </c>
      <c r="AI962">
        <f>(((EX962*3)*0.75))</f>
        <v>0</v>
      </c>
      <c r="AJ962">
        <f t="shared" si="938"/>
        <v>0</v>
      </c>
      <c r="AK962">
        <v>106.74</v>
      </c>
      <c r="AL962">
        <v>1.45</v>
      </c>
      <c r="AM962">
        <v>13.03</v>
      </c>
      <c r="AN962">
        <v>8.26</v>
      </c>
      <c r="AO962">
        <v>92.26</v>
      </c>
      <c r="AP962">
        <v>0</v>
      </c>
      <c r="AQ962">
        <v>0.13</v>
      </c>
      <c r="AR962">
        <v>0</v>
      </c>
      <c r="AS962">
        <v>0</v>
      </c>
      <c r="AT962">
        <v>70</v>
      </c>
      <c r="AU962">
        <v>10</v>
      </c>
      <c r="AV962">
        <v>1</v>
      </c>
      <c r="AW962">
        <v>1</v>
      </c>
      <c r="AZ962">
        <v>1</v>
      </c>
      <c r="BA962">
        <v>1</v>
      </c>
      <c r="BB962">
        <v>1</v>
      </c>
      <c r="BC962">
        <v>1</v>
      </c>
      <c r="BD962" t="s">
        <v>3</v>
      </c>
      <c r="BE962" t="s">
        <v>3</v>
      </c>
      <c r="BF962" t="s">
        <v>3</v>
      </c>
      <c r="BG962" t="s">
        <v>3</v>
      </c>
      <c r="BH962">
        <v>0</v>
      </c>
      <c r="BI962">
        <v>4</v>
      </c>
      <c r="BJ962" t="s">
        <v>848</v>
      </c>
      <c r="BM962">
        <v>0</v>
      </c>
      <c r="BN962">
        <v>0</v>
      </c>
      <c r="BO962" t="s">
        <v>3</v>
      </c>
      <c r="BP962">
        <v>0</v>
      </c>
      <c r="BQ962">
        <v>1</v>
      </c>
      <c r="BR962">
        <v>0</v>
      </c>
      <c r="BS962">
        <v>1</v>
      </c>
      <c r="BT962">
        <v>1</v>
      </c>
      <c r="BU962">
        <v>1</v>
      </c>
      <c r="BV962">
        <v>1</v>
      </c>
      <c r="BW962">
        <v>1</v>
      </c>
      <c r="BX962">
        <v>1</v>
      </c>
      <c r="BY962" t="s">
        <v>3</v>
      </c>
      <c r="BZ962">
        <v>70</v>
      </c>
      <c r="CA962">
        <v>10</v>
      </c>
      <c r="CB962" t="s">
        <v>3</v>
      </c>
      <c r="CE962">
        <v>0</v>
      </c>
      <c r="CF962">
        <v>0</v>
      </c>
      <c r="CG962">
        <v>0</v>
      </c>
      <c r="CM962">
        <v>0</v>
      </c>
      <c r="CN962" t="s">
        <v>1070</v>
      </c>
      <c r="CO962">
        <v>0</v>
      </c>
      <c r="CP962">
        <f t="shared" si="939"/>
        <v>241.26</v>
      </c>
      <c r="CQ962">
        <f t="shared" si="940"/>
        <v>4.3499999999999996</v>
      </c>
      <c r="CR962">
        <f>((((((ET962*3)*0.75))*BB962-(((EU962*3)*0.75))*BS962)+AE962*BS962)*AV962)</f>
        <v>29.317499999999995</v>
      </c>
      <c r="CS962">
        <f t="shared" si="941"/>
        <v>18.585000000000001</v>
      </c>
      <c r="CT962">
        <f t="shared" si="942"/>
        <v>207.58500000000001</v>
      </c>
      <c r="CU962">
        <f t="shared" si="943"/>
        <v>0</v>
      </c>
      <c r="CV962">
        <f t="shared" si="944"/>
        <v>0.29249999999999998</v>
      </c>
      <c r="CW962">
        <f t="shared" si="945"/>
        <v>0</v>
      </c>
      <c r="CX962">
        <f t="shared" si="946"/>
        <v>0</v>
      </c>
      <c r="CY962">
        <f t="shared" si="947"/>
        <v>145.31300000000002</v>
      </c>
      <c r="CZ962">
        <f t="shared" si="948"/>
        <v>20.759</v>
      </c>
      <c r="DC962" t="s">
        <v>3</v>
      </c>
      <c r="DD962" t="s">
        <v>241</v>
      </c>
      <c r="DE962" t="s">
        <v>242</v>
      </c>
      <c r="DF962" t="s">
        <v>242</v>
      </c>
      <c r="DG962" t="s">
        <v>242</v>
      </c>
      <c r="DH962" t="s">
        <v>3</v>
      </c>
      <c r="DI962" t="s">
        <v>242</v>
      </c>
      <c r="DJ962" t="s">
        <v>242</v>
      </c>
      <c r="DK962" t="s">
        <v>3</v>
      </c>
      <c r="DL962" t="s">
        <v>3</v>
      </c>
      <c r="DM962" t="s">
        <v>3</v>
      </c>
      <c r="DN962">
        <v>0</v>
      </c>
      <c r="DO962">
        <v>0</v>
      </c>
      <c r="DP962">
        <v>1</v>
      </c>
      <c r="DQ962">
        <v>1</v>
      </c>
      <c r="DU962">
        <v>16987630</v>
      </c>
      <c r="DV962" t="s">
        <v>20</v>
      </c>
      <c r="DW962" t="s">
        <v>20</v>
      </c>
      <c r="DX962">
        <v>1</v>
      </c>
      <c r="DZ962" t="s">
        <v>3</v>
      </c>
      <c r="EA962" t="s">
        <v>3</v>
      </c>
      <c r="EB962" t="s">
        <v>3</v>
      </c>
      <c r="EC962" t="s">
        <v>3</v>
      </c>
      <c r="EE962">
        <v>1441815344</v>
      </c>
      <c r="EF962">
        <v>1</v>
      </c>
      <c r="EG962" t="s">
        <v>22</v>
      </c>
      <c r="EH962">
        <v>0</v>
      </c>
      <c r="EI962" t="s">
        <v>3</v>
      </c>
      <c r="EJ962">
        <v>4</v>
      </c>
      <c r="EK962">
        <v>0</v>
      </c>
      <c r="EL962" t="s">
        <v>23</v>
      </c>
      <c r="EM962" t="s">
        <v>24</v>
      </c>
      <c r="EO962" t="s">
        <v>243</v>
      </c>
      <c r="EQ962">
        <v>1792</v>
      </c>
      <c r="ER962">
        <v>106.74</v>
      </c>
      <c r="ES962">
        <v>1.45</v>
      </c>
      <c r="ET962">
        <v>13.03</v>
      </c>
      <c r="EU962">
        <v>8.26</v>
      </c>
      <c r="EV962">
        <v>92.26</v>
      </c>
      <c r="EW962">
        <v>0.13</v>
      </c>
      <c r="EX962">
        <v>0</v>
      </c>
      <c r="EY962">
        <v>0</v>
      </c>
      <c r="FQ962">
        <v>0</v>
      </c>
      <c r="FR962">
        <f t="shared" si="949"/>
        <v>0</v>
      </c>
      <c r="FS962">
        <v>0</v>
      </c>
      <c r="FX962">
        <v>70</v>
      </c>
      <c r="FY962">
        <v>10</v>
      </c>
      <c r="GA962" t="s">
        <v>3</v>
      </c>
      <c r="GD962">
        <v>0</v>
      </c>
      <c r="GF962">
        <v>230831399</v>
      </c>
      <c r="GG962">
        <v>2</v>
      </c>
      <c r="GH962">
        <v>1</v>
      </c>
      <c r="GI962">
        <v>-2</v>
      </c>
      <c r="GJ962">
        <v>0</v>
      </c>
      <c r="GK962">
        <f>ROUND(R962*(R12)/100,2)</f>
        <v>20.079999999999998</v>
      </c>
      <c r="GL962">
        <f t="shared" si="950"/>
        <v>0</v>
      </c>
      <c r="GM962">
        <f t="shared" si="951"/>
        <v>427.41</v>
      </c>
      <c r="GN962">
        <f t="shared" si="952"/>
        <v>0</v>
      </c>
      <c r="GO962">
        <f t="shared" si="953"/>
        <v>0</v>
      </c>
      <c r="GP962">
        <f t="shared" si="954"/>
        <v>427.41</v>
      </c>
      <c r="GR962">
        <v>0</v>
      </c>
      <c r="GS962">
        <v>3</v>
      </c>
      <c r="GT962">
        <v>0</v>
      </c>
      <c r="GU962" t="s">
        <v>3</v>
      </c>
      <c r="GV962">
        <f t="shared" si="955"/>
        <v>0</v>
      </c>
      <c r="GW962">
        <v>1</v>
      </c>
      <c r="GX962">
        <f t="shared" si="956"/>
        <v>0</v>
      </c>
      <c r="HA962">
        <v>0</v>
      </c>
      <c r="HB962">
        <v>0</v>
      </c>
      <c r="HC962">
        <f t="shared" si="957"/>
        <v>0</v>
      </c>
      <c r="HE962" t="s">
        <v>3</v>
      </c>
      <c r="HF962" t="s">
        <v>3</v>
      </c>
      <c r="HM962" t="s">
        <v>3</v>
      </c>
      <c r="HN962" t="s">
        <v>3</v>
      </c>
      <c r="HO962" t="s">
        <v>3</v>
      </c>
      <c r="HP962" t="s">
        <v>3</v>
      </c>
      <c r="HQ962" t="s">
        <v>3</v>
      </c>
      <c r="IK962">
        <v>0</v>
      </c>
    </row>
    <row r="963" spans="1:245" x14ac:dyDescent="0.2">
      <c r="A963">
        <v>17</v>
      </c>
      <c r="B963">
        <v>1</v>
      </c>
      <c r="D963">
        <f>ROW(EtalonRes!A907)</f>
        <v>907</v>
      </c>
      <c r="E963" t="s">
        <v>849</v>
      </c>
      <c r="F963" t="s">
        <v>298</v>
      </c>
      <c r="G963" t="s">
        <v>850</v>
      </c>
      <c r="H963" t="s">
        <v>20</v>
      </c>
      <c r="I963">
        <v>1</v>
      </c>
      <c r="J963">
        <v>0</v>
      </c>
      <c r="K963">
        <v>1</v>
      </c>
      <c r="O963">
        <f t="shared" si="925"/>
        <v>987.98</v>
      </c>
      <c r="P963">
        <f t="shared" si="926"/>
        <v>0</v>
      </c>
      <c r="Q963">
        <f t="shared" si="927"/>
        <v>0</v>
      </c>
      <c r="R963">
        <f t="shared" si="928"/>
        <v>0</v>
      </c>
      <c r="S963">
        <f t="shared" si="929"/>
        <v>987.98</v>
      </c>
      <c r="T963">
        <f t="shared" si="930"/>
        <v>0</v>
      </c>
      <c r="U963">
        <f t="shared" si="931"/>
        <v>1.6</v>
      </c>
      <c r="V963">
        <f t="shared" si="932"/>
        <v>0</v>
      </c>
      <c r="W963">
        <f t="shared" si="933"/>
        <v>0</v>
      </c>
      <c r="X963">
        <f t="shared" si="934"/>
        <v>691.59</v>
      </c>
      <c r="Y963">
        <f t="shared" si="935"/>
        <v>98.8</v>
      </c>
      <c r="AA963">
        <v>1472506909</v>
      </c>
      <c r="AB963">
        <f t="shared" si="936"/>
        <v>987.98</v>
      </c>
      <c r="AC963">
        <f>ROUND(((ES963*2)),6)</f>
        <v>0</v>
      </c>
      <c r="AD963">
        <f>ROUND(((((ET963*2))-((EU963*2)))+AE963),6)</f>
        <v>0</v>
      </c>
      <c r="AE963">
        <f>ROUND(((EU963*2)),6)</f>
        <v>0</v>
      </c>
      <c r="AF963">
        <f>ROUND(((EV963*2)),6)</f>
        <v>987.98</v>
      </c>
      <c r="AG963">
        <f t="shared" si="937"/>
        <v>0</v>
      </c>
      <c r="AH963">
        <f>((EW963*2))</f>
        <v>1.6</v>
      </c>
      <c r="AI963">
        <f>((EX963*2))</f>
        <v>0</v>
      </c>
      <c r="AJ963">
        <f t="shared" si="938"/>
        <v>0</v>
      </c>
      <c r="AK963">
        <v>493.99</v>
      </c>
      <c r="AL963">
        <v>0</v>
      </c>
      <c r="AM963">
        <v>0</v>
      </c>
      <c r="AN963">
        <v>0</v>
      </c>
      <c r="AO963">
        <v>493.99</v>
      </c>
      <c r="AP963">
        <v>0</v>
      </c>
      <c r="AQ963">
        <v>0.8</v>
      </c>
      <c r="AR963">
        <v>0</v>
      </c>
      <c r="AS963">
        <v>0</v>
      </c>
      <c r="AT963">
        <v>70</v>
      </c>
      <c r="AU963">
        <v>10</v>
      </c>
      <c r="AV963">
        <v>1</v>
      </c>
      <c r="AW963">
        <v>1</v>
      </c>
      <c r="AZ963">
        <v>1</v>
      </c>
      <c r="BA963">
        <v>1</v>
      </c>
      <c r="BB963">
        <v>1</v>
      </c>
      <c r="BC963">
        <v>1</v>
      </c>
      <c r="BD963" t="s">
        <v>3</v>
      </c>
      <c r="BE963" t="s">
        <v>3</v>
      </c>
      <c r="BF963" t="s">
        <v>3</v>
      </c>
      <c r="BG963" t="s">
        <v>3</v>
      </c>
      <c r="BH963">
        <v>0</v>
      </c>
      <c r="BI963">
        <v>4</v>
      </c>
      <c r="BJ963" t="s">
        <v>300</v>
      </c>
      <c r="BM963">
        <v>0</v>
      </c>
      <c r="BN963">
        <v>0</v>
      </c>
      <c r="BO963" t="s">
        <v>3</v>
      </c>
      <c r="BP963">
        <v>0</v>
      </c>
      <c r="BQ963">
        <v>1</v>
      </c>
      <c r="BR963">
        <v>0</v>
      </c>
      <c r="BS963">
        <v>1</v>
      </c>
      <c r="BT963">
        <v>1</v>
      </c>
      <c r="BU963">
        <v>1</v>
      </c>
      <c r="BV963">
        <v>1</v>
      </c>
      <c r="BW963">
        <v>1</v>
      </c>
      <c r="BX963">
        <v>1</v>
      </c>
      <c r="BY963" t="s">
        <v>3</v>
      </c>
      <c r="BZ963">
        <v>70</v>
      </c>
      <c r="CA963">
        <v>10</v>
      </c>
      <c r="CB963" t="s">
        <v>3</v>
      </c>
      <c r="CE963">
        <v>0</v>
      </c>
      <c r="CF963">
        <v>0</v>
      </c>
      <c r="CG963">
        <v>0</v>
      </c>
      <c r="CM963">
        <v>0</v>
      </c>
      <c r="CN963" t="s">
        <v>3</v>
      </c>
      <c r="CO963">
        <v>0</v>
      </c>
      <c r="CP963">
        <f t="shared" si="939"/>
        <v>987.98</v>
      </c>
      <c r="CQ963">
        <f t="shared" si="940"/>
        <v>0</v>
      </c>
      <c r="CR963">
        <f>(((((ET963*2))*BB963-((EU963*2))*BS963)+AE963*BS963)*AV963)</f>
        <v>0</v>
      </c>
      <c r="CS963">
        <f t="shared" si="941"/>
        <v>0</v>
      </c>
      <c r="CT963">
        <f t="shared" si="942"/>
        <v>987.98</v>
      </c>
      <c r="CU963">
        <f t="shared" si="943"/>
        <v>0</v>
      </c>
      <c r="CV963">
        <f t="shared" si="944"/>
        <v>1.6</v>
      </c>
      <c r="CW963">
        <f t="shared" si="945"/>
        <v>0</v>
      </c>
      <c r="CX963">
        <f t="shared" si="946"/>
        <v>0</v>
      </c>
      <c r="CY963">
        <f t="shared" si="947"/>
        <v>691.58600000000001</v>
      </c>
      <c r="CZ963">
        <f t="shared" si="948"/>
        <v>98.797999999999988</v>
      </c>
      <c r="DC963" t="s">
        <v>3</v>
      </c>
      <c r="DD963" t="s">
        <v>28</v>
      </c>
      <c r="DE963" t="s">
        <v>28</v>
      </c>
      <c r="DF963" t="s">
        <v>28</v>
      </c>
      <c r="DG963" t="s">
        <v>28</v>
      </c>
      <c r="DH963" t="s">
        <v>3</v>
      </c>
      <c r="DI963" t="s">
        <v>28</v>
      </c>
      <c r="DJ963" t="s">
        <v>28</v>
      </c>
      <c r="DK963" t="s">
        <v>3</v>
      </c>
      <c r="DL963" t="s">
        <v>3</v>
      </c>
      <c r="DM963" t="s">
        <v>3</v>
      </c>
      <c r="DN963">
        <v>0</v>
      </c>
      <c r="DO963">
        <v>0</v>
      </c>
      <c r="DP963">
        <v>1</v>
      </c>
      <c r="DQ963">
        <v>1</v>
      </c>
      <c r="DU963">
        <v>16987630</v>
      </c>
      <c r="DV963" t="s">
        <v>20</v>
      </c>
      <c r="DW963" t="s">
        <v>20</v>
      </c>
      <c r="DX963">
        <v>1</v>
      </c>
      <c r="DZ963" t="s">
        <v>3</v>
      </c>
      <c r="EA963" t="s">
        <v>3</v>
      </c>
      <c r="EB963" t="s">
        <v>3</v>
      </c>
      <c r="EC963" t="s">
        <v>3</v>
      </c>
      <c r="EE963">
        <v>1441815344</v>
      </c>
      <c r="EF963">
        <v>1</v>
      </c>
      <c r="EG963" t="s">
        <v>22</v>
      </c>
      <c r="EH963">
        <v>0</v>
      </c>
      <c r="EI963" t="s">
        <v>3</v>
      </c>
      <c r="EJ963">
        <v>4</v>
      </c>
      <c r="EK963">
        <v>0</v>
      </c>
      <c r="EL963" t="s">
        <v>23</v>
      </c>
      <c r="EM963" t="s">
        <v>24</v>
      </c>
      <c r="EO963" t="s">
        <v>3</v>
      </c>
      <c r="EQ963">
        <v>0</v>
      </c>
      <c r="ER963">
        <v>493.99</v>
      </c>
      <c r="ES963">
        <v>0</v>
      </c>
      <c r="ET963">
        <v>0</v>
      </c>
      <c r="EU963">
        <v>0</v>
      </c>
      <c r="EV963">
        <v>493.99</v>
      </c>
      <c r="EW963">
        <v>0.8</v>
      </c>
      <c r="EX963">
        <v>0</v>
      </c>
      <c r="EY963">
        <v>0</v>
      </c>
      <c r="FQ963">
        <v>0</v>
      </c>
      <c r="FR963">
        <f t="shared" si="949"/>
        <v>0</v>
      </c>
      <c r="FS963">
        <v>0</v>
      </c>
      <c r="FX963">
        <v>70</v>
      </c>
      <c r="FY963">
        <v>10</v>
      </c>
      <c r="GA963" t="s">
        <v>3</v>
      </c>
      <c r="GD963">
        <v>0</v>
      </c>
      <c r="GF963">
        <v>948773043</v>
      </c>
      <c r="GG963">
        <v>2</v>
      </c>
      <c r="GH963">
        <v>1</v>
      </c>
      <c r="GI963">
        <v>-2</v>
      </c>
      <c r="GJ963">
        <v>0</v>
      </c>
      <c r="GK963">
        <f>ROUND(R963*(R12)/100,2)</f>
        <v>0</v>
      </c>
      <c r="GL963">
        <f t="shared" si="950"/>
        <v>0</v>
      </c>
      <c r="GM963">
        <f t="shared" si="951"/>
        <v>1778.37</v>
      </c>
      <c r="GN963">
        <f t="shared" si="952"/>
        <v>0</v>
      </c>
      <c r="GO963">
        <f t="shared" si="953"/>
        <v>0</v>
      </c>
      <c r="GP963">
        <f t="shared" si="954"/>
        <v>1778.37</v>
      </c>
      <c r="GR963">
        <v>0</v>
      </c>
      <c r="GS963">
        <v>3</v>
      </c>
      <c r="GT963">
        <v>0</v>
      </c>
      <c r="GU963" t="s">
        <v>3</v>
      </c>
      <c r="GV963">
        <f t="shared" si="955"/>
        <v>0</v>
      </c>
      <c r="GW963">
        <v>1</v>
      </c>
      <c r="GX963">
        <f t="shared" si="956"/>
        <v>0</v>
      </c>
      <c r="HA963">
        <v>0</v>
      </c>
      <c r="HB963">
        <v>0</v>
      </c>
      <c r="HC963">
        <f t="shared" si="957"/>
        <v>0</v>
      </c>
      <c r="HE963" t="s">
        <v>3</v>
      </c>
      <c r="HF963" t="s">
        <v>3</v>
      </c>
      <c r="HM963" t="s">
        <v>3</v>
      </c>
      <c r="HN963" t="s">
        <v>3</v>
      </c>
      <c r="HO963" t="s">
        <v>3</v>
      </c>
      <c r="HP963" t="s">
        <v>3</v>
      </c>
      <c r="HQ963" t="s">
        <v>3</v>
      </c>
      <c r="IK963">
        <v>0</v>
      </c>
    </row>
    <row r="964" spans="1:245" x14ac:dyDescent="0.2">
      <c r="A964">
        <v>17</v>
      </c>
      <c r="B964">
        <v>1</v>
      </c>
      <c r="D964">
        <f>ROW(EtalonRes!A910)</f>
        <v>910</v>
      </c>
      <c r="E964" t="s">
        <v>851</v>
      </c>
      <c r="F964" t="s">
        <v>852</v>
      </c>
      <c r="G964" t="s">
        <v>853</v>
      </c>
      <c r="H964" t="s">
        <v>20</v>
      </c>
      <c r="I964">
        <v>14</v>
      </c>
      <c r="J964">
        <v>0</v>
      </c>
      <c r="K964">
        <v>14</v>
      </c>
      <c r="O964">
        <f t="shared" si="925"/>
        <v>74127.06</v>
      </c>
      <c r="P964">
        <f t="shared" si="926"/>
        <v>208.74</v>
      </c>
      <c r="Q964">
        <f t="shared" si="927"/>
        <v>0</v>
      </c>
      <c r="R964">
        <f t="shared" si="928"/>
        <v>0</v>
      </c>
      <c r="S964">
        <f t="shared" si="929"/>
        <v>73918.320000000007</v>
      </c>
      <c r="T964">
        <f t="shared" si="930"/>
        <v>0</v>
      </c>
      <c r="U964">
        <f t="shared" si="931"/>
        <v>104.16000000000001</v>
      </c>
      <c r="V964">
        <f t="shared" si="932"/>
        <v>0</v>
      </c>
      <c r="W964">
        <f t="shared" si="933"/>
        <v>0</v>
      </c>
      <c r="X964">
        <f t="shared" si="934"/>
        <v>51742.82</v>
      </c>
      <c r="Y964">
        <f t="shared" si="935"/>
        <v>7391.83</v>
      </c>
      <c r="AA964">
        <v>1472506909</v>
      </c>
      <c r="AB964">
        <f t="shared" si="936"/>
        <v>5294.79</v>
      </c>
      <c r="AC964">
        <f>ROUND(((ES964*3)),6)</f>
        <v>14.91</v>
      </c>
      <c r="AD964">
        <f>ROUND(((((ET964*2))-((EU964*2)))+AE964),6)</f>
        <v>0</v>
      </c>
      <c r="AE964">
        <f>ROUND(((EU964*2)),6)</f>
        <v>0</v>
      </c>
      <c r="AF964">
        <f>ROUND(((EV964*2)),6)</f>
        <v>5279.88</v>
      </c>
      <c r="AG964">
        <f t="shared" si="937"/>
        <v>0</v>
      </c>
      <c r="AH964">
        <f>((EW964*2))</f>
        <v>7.44</v>
      </c>
      <c r="AI964">
        <f>((EX964*2))</f>
        <v>0</v>
      </c>
      <c r="AJ964">
        <f t="shared" si="938"/>
        <v>0</v>
      </c>
      <c r="AK964">
        <v>2644.91</v>
      </c>
      <c r="AL964">
        <v>4.97</v>
      </c>
      <c r="AM964">
        <v>0</v>
      </c>
      <c r="AN964">
        <v>0</v>
      </c>
      <c r="AO964">
        <v>2639.94</v>
      </c>
      <c r="AP964">
        <v>0</v>
      </c>
      <c r="AQ964">
        <v>3.72</v>
      </c>
      <c r="AR964">
        <v>0</v>
      </c>
      <c r="AS964">
        <v>0</v>
      </c>
      <c r="AT964">
        <v>70</v>
      </c>
      <c r="AU964">
        <v>10</v>
      </c>
      <c r="AV964">
        <v>1</v>
      </c>
      <c r="AW964">
        <v>1</v>
      </c>
      <c r="AZ964">
        <v>1</v>
      </c>
      <c r="BA964">
        <v>1</v>
      </c>
      <c r="BB964">
        <v>1</v>
      </c>
      <c r="BC964">
        <v>1</v>
      </c>
      <c r="BD964" t="s">
        <v>3</v>
      </c>
      <c r="BE964" t="s">
        <v>3</v>
      </c>
      <c r="BF964" t="s">
        <v>3</v>
      </c>
      <c r="BG964" t="s">
        <v>3</v>
      </c>
      <c r="BH964">
        <v>0</v>
      </c>
      <c r="BI964">
        <v>4</v>
      </c>
      <c r="BJ964" t="s">
        <v>854</v>
      </c>
      <c r="BM964">
        <v>0</v>
      </c>
      <c r="BN964">
        <v>0</v>
      </c>
      <c r="BO964" t="s">
        <v>3</v>
      </c>
      <c r="BP964">
        <v>0</v>
      </c>
      <c r="BQ964">
        <v>1</v>
      </c>
      <c r="BR964">
        <v>0</v>
      </c>
      <c r="BS964">
        <v>1</v>
      </c>
      <c r="BT964">
        <v>1</v>
      </c>
      <c r="BU964">
        <v>1</v>
      </c>
      <c r="BV964">
        <v>1</v>
      </c>
      <c r="BW964">
        <v>1</v>
      </c>
      <c r="BX964">
        <v>1</v>
      </c>
      <c r="BY964" t="s">
        <v>3</v>
      </c>
      <c r="BZ964">
        <v>70</v>
      </c>
      <c r="CA964">
        <v>10</v>
      </c>
      <c r="CB964" t="s">
        <v>3</v>
      </c>
      <c r="CE964">
        <v>0</v>
      </c>
      <c r="CF964">
        <v>0</v>
      </c>
      <c r="CG964">
        <v>0</v>
      </c>
      <c r="CM964">
        <v>0</v>
      </c>
      <c r="CN964" t="s">
        <v>3</v>
      </c>
      <c r="CO964">
        <v>0</v>
      </c>
      <c r="CP964">
        <f t="shared" si="939"/>
        <v>74127.060000000012</v>
      </c>
      <c r="CQ964">
        <f t="shared" si="940"/>
        <v>14.91</v>
      </c>
      <c r="CR964">
        <f>(((((ET964*2))*BB964-((EU964*2))*BS964)+AE964*BS964)*AV964)</f>
        <v>0</v>
      </c>
      <c r="CS964">
        <f t="shared" si="941"/>
        <v>0</v>
      </c>
      <c r="CT964">
        <f t="shared" si="942"/>
        <v>5279.88</v>
      </c>
      <c r="CU964">
        <f t="shared" si="943"/>
        <v>0</v>
      </c>
      <c r="CV964">
        <f t="shared" si="944"/>
        <v>7.44</v>
      </c>
      <c r="CW964">
        <f t="shared" si="945"/>
        <v>0</v>
      </c>
      <c r="CX964">
        <f t="shared" si="946"/>
        <v>0</v>
      </c>
      <c r="CY964">
        <f t="shared" si="947"/>
        <v>51742.824000000001</v>
      </c>
      <c r="CZ964">
        <f t="shared" si="948"/>
        <v>7391.8320000000003</v>
      </c>
      <c r="DC964" t="s">
        <v>3</v>
      </c>
      <c r="DD964" t="s">
        <v>516</v>
      </c>
      <c r="DE964" t="s">
        <v>28</v>
      </c>
      <c r="DF964" t="s">
        <v>28</v>
      </c>
      <c r="DG964" t="s">
        <v>28</v>
      </c>
      <c r="DH964" t="s">
        <v>3</v>
      </c>
      <c r="DI964" t="s">
        <v>28</v>
      </c>
      <c r="DJ964" t="s">
        <v>28</v>
      </c>
      <c r="DK964" t="s">
        <v>3</v>
      </c>
      <c r="DL964" t="s">
        <v>3</v>
      </c>
      <c r="DM964" t="s">
        <v>3</v>
      </c>
      <c r="DN964">
        <v>0</v>
      </c>
      <c r="DO964">
        <v>0</v>
      </c>
      <c r="DP964">
        <v>1</v>
      </c>
      <c r="DQ964">
        <v>1</v>
      </c>
      <c r="DU964">
        <v>16987630</v>
      </c>
      <c r="DV964" t="s">
        <v>20</v>
      </c>
      <c r="DW964" t="s">
        <v>20</v>
      </c>
      <c r="DX964">
        <v>1</v>
      </c>
      <c r="DZ964" t="s">
        <v>3</v>
      </c>
      <c r="EA964" t="s">
        <v>3</v>
      </c>
      <c r="EB964" t="s">
        <v>3</v>
      </c>
      <c r="EC964" t="s">
        <v>3</v>
      </c>
      <c r="EE964">
        <v>1441815344</v>
      </c>
      <c r="EF964">
        <v>1</v>
      </c>
      <c r="EG964" t="s">
        <v>22</v>
      </c>
      <c r="EH964">
        <v>0</v>
      </c>
      <c r="EI964" t="s">
        <v>3</v>
      </c>
      <c r="EJ964">
        <v>4</v>
      </c>
      <c r="EK964">
        <v>0</v>
      </c>
      <c r="EL964" t="s">
        <v>23</v>
      </c>
      <c r="EM964" t="s">
        <v>24</v>
      </c>
      <c r="EO964" t="s">
        <v>3</v>
      </c>
      <c r="EQ964">
        <v>0</v>
      </c>
      <c r="ER964">
        <v>2644.91</v>
      </c>
      <c r="ES964">
        <v>4.97</v>
      </c>
      <c r="ET964">
        <v>0</v>
      </c>
      <c r="EU964">
        <v>0</v>
      </c>
      <c r="EV964">
        <v>2639.94</v>
      </c>
      <c r="EW964">
        <v>3.72</v>
      </c>
      <c r="EX964">
        <v>0</v>
      </c>
      <c r="EY964">
        <v>0</v>
      </c>
      <c r="FQ964">
        <v>0</v>
      </c>
      <c r="FR964">
        <f t="shared" si="949"/>
        <v>0</v>
      </c>
      <c r="FS964">
        <v>0</v>
      </c>
      <c r="FX964">
        <v>70</v>
      </c>
      <c r="FY964">
        <v>10</v>
      </c>
      <c r="GA964" t="s">
        <v>3</v>
      </c>
      <c r="GD964">
        <v>0</v>
      </c>
      <c r="GF964">
        <v>-542159701</v>
      </c>
      <c r="GG964">
        <v>2</v>
      </c>
      <c r="GH964">
        <v>1</v>
      </c>
      <c r="GI964">
        <v>-2</v>
      </c>
      <c r="GJ964">
        <v>0</v>
      </c>
      <c r="GK964">
        <f>ROUND(R964*(R12)/100,2)</f>
        <v>0</v>
      </c>
      <c r="GL964">
        <f t="shared" si="950"/>
        <v>0</v>
      </c>
      <c r="GM964">
        <f t="shared" si="951"/>
        <v>133261.71</v>
      </c>
      <c r="GN964">
        <f t="shared" si="952"/>
        <v>0</v>
      </c>
      <c r="GO964">
        <f t="shared" si="953"/>
        <v>0</v>
      </c>
      <c r="GP964">
        <f t="shared" si="954"/>
        <v>133261.71</v>
      </c>
      <c r="GR964">
        <v>0</v>
      </c>
      <c r="GS964">
        <v>3</v>
      </c>
      <c r="GT964">
        <v>0</v>
      </c>
      <c r="GU964" t="s">
        <v>3</v>
      </c>
      <c r="GV964">
        <f t="shared" si="955"/>
        <v>0</v>
      </c>
      <c r="GW964">
        <v>1</v>
      </c>
      <c r="GX964">
        <f t="shared" si="956"/>
        <v>0</v>
      </c>
      <c r="HA964">
        <v>0</v>
      </c>
      <c r="HB964">
        <v>0</v>
      </c>
      <c r="HC964">
        <f t="shared" si="957"/>
        <v>0</v>
      </c>
      <c r="HE964" t="s">
        <v>3</v>
      </c>
      <c r="HF964" t="s">
        <v>3</v>
      </c>
      <c r="HM964" t="s">
        <v>3</v>
      </c>
      <c r="HN964" t="s">
        <v>3</v>
      </c>
      <c r="HO964" t="s">
        <v>3</v>
      </c>
      <c r="HP964" t="s">
        <v>3</v>
      </c>
      <c r="HQ964" t="s">
        <v>3</v>
      </c>
      <c r="IK964">
        <v>0</v>
      </c>
    </row>
    <row r="965" spans="1:245" x14ac:dyDescent="0.2">
      <c r="A965">
        <v>17</v>
      </c>
      <c r="B965">
        <v>1</v>
      </c>
      <c r="D965">
        <f>ROW(EtalonRes!A914)</f>
        <v>914</v>
      </c>
      <c r="E965" t="s">
        <v>855</v>
      </c>
      <c r="F965" t="s">
        <v>856</v>
      </c>
      <c r="G965" t="s">
        <v>857</v>
      </c>
      <c r="H965" t="s">
        <v>20</v>
      </c>
      <c r="I965">
        <f>ROUND(1+1,9)</f>
        <v>2</v>
      </c>
      <c r="J965">
        <v>0</v>
      </c>
      <c r="K965">
        <f>ROUND(1+1,9)</f>
        <v>2</v>
      </c>
      <c r="O965">
        <f t="shared" si="925"/>
        <v>963.74</v>
      </c>
      <c r="P965">
        <f t="shared" si="926"/>
        <v>8.18</v>
      </c>
      <c r="Q965">
        <f t="shared" si="927"/>
        <v>0</v>
      </c>
      <c r="R965">
        <f t="shared" si="928"/>
        <v>0</v>
      </c>
      <c r="S965">
        <f t="shared" si="929"/>
        <v>955.56</v>
      </c>
      <c r="T965">
        <f t="shared" si="930"/>
        <v>0</v>
      </c>
      <c r="U965">
        <f t="shared" si="931"/>
        <v>1.44</v>
      </c>
      <c r="V965">
        <f t="shared" si="932"/>
        <v>0</v>
      </c>
      <c r="W965">
        <f t="shared" si="933"/>
        <v>0</v>
      </c>
      <c r="X965">
        <f t="shared" si="934"/>
        <v>668.89</v>
      </c>
      <c r="Y965">
        <f t="shared" si="935"/>
        <v>95.56</v>
      </c>
      <c r="AA965">
        <v>1472506909</v>
      </c>
      <c r="AB965">
        <f t="shared" si="936"/>
        <v>481.87</v>
      </c>
      <c r="AC965">
        <f>ROUND((ES965),6)</f>
        <v>4.09</v>
      </c>
      <c r="AD965">
        <f>ROUND((((ET965)-(EU965))+AE965),6)</f>
        <v>0</v>
      </c>
      <c r="AE965">
        <f>ROUND((EU965),6)</f>
        <v>0</v>
      </c>
      <c r="AF965">
        <f>ROUND((EV965),6)</f>
        <v>477.78</v>
      </c>
      <c r="AG965">
        <f t="shared" si="937"/>
        <v>0</v>
      </c>
      <c r="AH965">
        <f>(EW965)</f>
        <v>0.72</v>
      </c>
      <c r="AI965">
        <f>(EX965)</f>
        <v>0</v>
      </c>
      <c r="AJ965">
        <f t="shared" si="938"/>
        <v>0</v>
      </c>
      <c r="AK965">
        <v>481.87</v>
      </c>
      <c r="AL965">
        <v>4.09</v>
      </c>
      <c r="AM965">
        <v>0</v>
      </c>
      <c r="AN965">
        <v>0</v>
      </c>
      <c r="AO965">
        <v>477.78</v>
      </c>
      <c r="AP965">
        <v>0</v>
      </c>
      <c r="AQ965">
        <v>0.72</v>
      </c>
      <c r="AR965">
        <v>0</v>
      </c>
      <c r="AS965">
        <v>0</v>
      </c>
      <c r="AT965">
        <v>70</v>
      </c>
      <c r="AU965">
        <v>10</v>
      </c>
      <c r="AV965">
        <v>1</v>
      </c>
      <c r="AW965">
        <v>1</v>
      </c>
      <c r="AZ965">
        <v>1</v>
      </c>
      <c r="BA965">
        <v>1</v>
      </c>
      <c r="BB965">
        <v>1</v>
      </c>
      <c r="BC965">
        <v>1</v>
      </c>
      <c r="BD965" t="s">
        <v>3</v>
      </c>
      <c r="BE965" t="s">
        <v>3</v>
      </c>
      <c r="BF965" t="s">
        <v>3</v>
      </c>
      <c r="BG965" t="s">
        <v>3</v>
      </c>
      <c r="BH965">
        <v>0</v>
      </c>
      <c r="BI965">
        <v>4</v>
      </c>
      <c r="BJ965" t="s">
        <v>858</v>
      </c>
      <c r="BM965">
        <v>0</v>
      </c>
      <c r="BN965">
        <v>0</v>
      </c>
      <c r="BO965" t="s">
        <v>3</v>
      </c>
      <c r="BP965">
        <v>0</v>
      </c>
      <c r="BQ965">
        <v>1</v>
      </c>
      <c r="BR965">
        <v>0</v>
      </c>
      <c r="BS965">
        <v>1</v>
      </c>
      <c r="BT965">
        <v>1</v>
      </c>
      <c r="BU965">
        <v>1</v>
      </c>
      <c r="BV965">
        <v>1</v>
      </c>
      <c r="BW965">
        <v>1</v>
      </c>
      <c r="BX965">
        <v>1</v>
      </c>
      <c r="BY965" t="s">
        <v>3</v>
      </c>
      <c r="BZ965">
        <v>70</v>
      </c>
      <c r="CA965">
        <v>10</v>
      </c>
      <c r="CB965" t="s">
        <v>3</v>
      </c>
      <c r="CE965">
        <v>0</v>
      </c>
      <c r="CF965">
        <v>0</v>
      </c>
      <c r="CG965">
        <v>0</v>
      </c>
      <c r="CM965">
        <v>0</v>
      </c>
      <c r="CN965" t="s">
        <v>3</v>
      </c>
      <c r="CO965">
        <v>0</v>
      </c>
      <c r="CP965">
        <f t="shared" si="939"/>
        <v>963.7399999999999</v>
      </c>
      <c r="CQ965">
        <f t="shared" si="940"/>
        <v>4.09</v>
      </c>
      <c r="CR965">
        <f>((((ET965)*BB965-(EU965)*BS965)+AE965*BS965)*AV965)</f>
        <v>0</v>
      </c>
      <c r="CS965">
        <f t="shared" si="941"/>
        <v>0</v>
      </c>
      <c r="CT965">
        <f t="shared" si="942"/>
        <v>477.78</v>
      </c>
      <c r="CU965">
        <f t="shared" si="943"/>
        <v>0</v>
      </c>
      <c r="CV965">
        <f t="shared" si="944"/>
        <v>0.72</v>
      </c>
      <c r="CW965">
        <f t="shared" si="945"/>
        <v>0</v>
      </c>
      <c r="CX965">
        <f t="shared" si="946"/>
        <v>0</v>
      </c>
      <c r="CY965">
        <f t="shared" si="947"/>
        <v>668.89199999999994</v>
      </c>
      <c r="CZ965">
        <f t="shared" si="948"/>
        <v>95.555999999999983</v>
      </c>
      <c r="DC965" t="s">
        <v>3</v>
      </c>
      <c r="DD965" t="s">
        <v>3</v>
      </c>
      <c r="DE965" t="s">
        <v>3</v>
      </c>
      <c r="DF965" t="s">
        <v>3</v>
      </c>
      <c r="DG965" t="s">
        <v>3</v>
      </c>
      <c r="DH965" t="s">
        <v>3</v>
      </c>
      <c r="DI965" t="s">
        <v>3</v>
      </c>
      <c r="DJ965" t="s">
        <v>3</v>
      </c>
      <c r="DK965" t="s">
        <v>3</v>
      </c>
      <c r="DL965" t="s">
        <v>3</v>
      </c>
      <c r="DM965" t="s">
        <v>3</v>
      </c>
      <c r="DN965">
        <v>0</v>
      </c>
      <c r="DO965">
        <v>0</v>
      </c>
      <c r="DP965">
        <v>1</v>
      </c>
      <c r="DQ965">
        <v>1</v>
      </c>
      <c r="DU965">
        <v>16987630</v>
      </c>
      <c r="DV965" t="s">
        <v>20</v>
      </c>
      <c r="DW965" t="s">
        <v>20</v>
      </c>
      <c r="DX965">
        <v>1</v>
      </c>
      <c r="DZ965" t="s">
        <v>3</v>
      </c>
      <c r="EA965" t="s">
        <v>3</v>
      </c>
      <c r="EB965" t="s">
        <v>3</v>
      </c>
      <c r="EC965" t="s">
        <v>3</v>
      </c>
      <c r="EE965">
        <v>1441815344</v>
      </c>
      <c r="EF965">
        <v>1</v>
      </c>
      <c r="EG965" t="s">
        <v>22</v>
      </c>
      <c r="EH965">
        <v>0</v>
      </c>
      <c r="EI965" t="s">
        <v>3</v>
      </c>
      <c r="EJ965">
        <v>4</v>
      </c>
      <c r="EK965">
        <v>0</v>
      </c>
      <c r="EL965" t="s">
        <v>23</v>
      </c>
      <c r="EM965" t="s">
        <v>24</v>
      </c>
      <c r="EO965" t="s">
        <v>3</v>
      </c>
      <c r="EQ965">
        <v>0</v>
      </c>
      <c r="ER965">
        <v>481.87</v>
      </c>
      <c r="ES965">
        <v>4.09</v>
      </c>
      <c r="ET965">
        <v>0</v>
      </c>
      <c r="EU965">
        <v>0</v>
      </c>
      <c r="EV965">
        <v>477.78</v>
      </c>
      <c r="EW965">
        <v>0.72</v>
      </c>
      <c r="EX965">
        <v>0</v>
      </c>
      <c r="EY965">
        <v>0</v>
      </c>
      <c r="FQ965">
        <v>0</v>
      </c>
      <c r="FR965">
        <f t="shared" si="949"/>
        <v>0</v>
      </c>
      <c r="FS965">
        <v>0</v>
      </c>
      <c r="FX965">
        <v>70</v>
      </c>
      <c r="FY965">
        <v>10</v>
      </c>
      <c r="GA965" t="s">
        <v>3</v>
      </c>
      <c r="GD965">
        <v>0</v>
      </c>
      <c r="GF965">
        <v>857888775</v>
      </c>
      <c r="GG965">
        <v>2</v>
      </c>
      <c r="GH965">
        <v>1</v>
      </c>
      <c r="GI965">
        <v>-2</v>
      </c>
      <c r="GJ965">
        <v>0</v>
      </c>
      <c r="GK965">
        <f>ROUND(R965*(R12)/100,2)</f>
        <v>0</v>
      </c>
      <c r="GL965">
        <f t="shared" si="950"/>
        <v>0</v>
      </c>
      <c r="GM965">
        <f t="shared" si="951"/>
        <v>1728.19</v>
      </c>
      <c r="GN965">
        <f t="shared" si="952"/>
        <v>0</v>
      </c>
      <c r="GO965">
        <f t="shared" si="953"/>
        <v>0</v>
      </c>
      <c r="GP965">
        <f t="shared" si="954"/>
        <v>1728.19</v>
      </c>
      <c r="GR965">
        <v>0</v>
      </c>
      <c r="GS965">
        <v>3</v>
      </c>
      <c r="GT965">
        <v>0</v>
      </c>
      <c r="GU965" t="s">
        <v>3</v>
      </c>
      <c r="GV965">
        <f t="shared" si="955"/>
        <v>0</v>
      </c>
      <c r="GW965">
        <v>1</v>
      </c>
      <c r="GX965">
        <f t="shared" si="956"/>
        <v>0</v>
      </c>
      <c r="HA965">
        <v>0</v>
      </c>
      <c r="HB965">
        <v>0</v>
      </c>
      <c r="HC965">
        <f t="shared" si="957"/>
        <v>0</v>
      </c>
      <c r="HE965" t="s">
        <v>3</v>
      </c>
      <c r="HF965" t="s">
        <v>3</v>
      </c>
      <c r="HM965" t="s">
        <v>3</v>
      </c>
      <c r="HN965" t="s">
        <v>3</v>
      </c>
      <c r="HO965" t="s">
        <v>3</v>
      </c>
      <c r="HP965" t="s">
        <v>3</v>
      </c>
      <c r="HQ965" t="s">
        <v>3</v>
      </c>
      <c r="IK965">
        <v>0</v>
      </c>
    </row>
    <row r="966" spans="1:245" x14ac:dyDescent="0.2">
      <c r="A966">
        <v>17</v>
      </c>
      <c r="B966">
        <v>1</v>
      </c>
      <c r="D966">
        <f>ROW(EtalonRes!A917)</f>
        <v>917</v>
      </c>
      <c r="E966" t="s">
        <v>3</v>
      </c>
      <c r="F966" t="s">
        <v>859</v>
      </c>
      <c r="G966" t="s">
        <v>860</v>
      </c>
      <c r="H966" t="s">
        <v>20</v>
      </c>
      <c r="I966">
        <f>ROUND(1+1,9)</f>
        <v>2</v>
      </c>
      <c r="J966">
        <v>0</v>
      </c>
      <c r="K966">
        <f>ROUND(1+1,9)</f>
        <v>2</v>
      </c>
      <c r="O966">
        <f t="shared" si="925"/>
        <v>842.82</v>
      </c>
      <c r="P966">
        <f t="shared" si="926"/>
        <v>46.5</v>
      </c>
      <c r="Q966">
        <f t="shared" si="927"/>
        <v>0</v>
      </c>
      <c r="R966">
        <f t="shared" si="928"/>
        <v>0</v>
      </c>
      <c r="S966">
        <f t="shared" si="929"/>
        <v>796.32</v>
      </c>
      <c r="T966">
        <f t="shared" si="930"/>
        <v>0</v>
      </c>
      <c r="U966">
        <f t="shared" si="931"/>
        <v>1.2000000000000002</v>
      </c>
      <c r="V966">
        <f t="shared" si="932"/>
        <v>0</v>
      </c>
      <c r="W966">
        <f t="shared" si="933"/>
        <v>0</v>
      </c>
      <c r="X966">
        <f t="shared" si="934"/>
        <v>557.41999999999996</v>
      </c>
      <c r="Y966">
        <f t="shared" si="935"/>
        <v>79.63</v>
      </c>
      <c r="AA966">
        <v>-1</v>
      </c>
      <c r="AB966">
        <f t="shared" si="936"/>
        <v>421.41</v>
      </c>
      <c r="AC966">
        <f>ROUND(((ES966*3)),6)</f>
        <v>23.25</v>
      </c>
      <c r="AD966">
        <f>ROUND((((ET966)-(EU966))+AE966),6)</f>
        <v>0</v>
      </c>
      <c r="AE966">
        <f>ROUND((EU966),6)</f>
        <v>0</v>
      </c>
      <c r="AF966">
        <f>ROUND(((EV966*3)),6)</f>
        <v>398.16</v>
      </c>
      <c r="AG966">
        <f t="shared" si="937"/>
        <v>0</v>
      </c>
      <c r="AH966">
        <f>((EW966*3))</f>
        <v>0.60000000000000009</v>
      </c>
      <c r="AI966">
        <f>(EX966)</f>
        <v>0</v>
      </c>
      <c r="AJ966">
        <f t="shared" si="938"/>
        <v>0</v>
      </c>
      <c r="AK966">
        <v>140.47</v>
      </c>
      <c r="AL966">
        <v>7.75</v>
      </c>
      <c r="AM966">
        <v>0</v>
      </c>
      <c r="AN966">
        <v>0</v>
      </c>
      <c r="AO966">
        <v>132.72</v>
      </c>
      <c r="AP966">
        <v>0</v>
      </c>
      <c r="AQ966">
        <v>0.2</v>
      </c>
      <c r="AR966">
        <v>0</v>
      </c>
      <c r="AS966">
        <v>0</v>
      </c>
      <c r="AT966">
        <v>70</v>
      </c>
      <c r="AU966">
        <v>10</v>
      </c>
      <c r="AV966">
        <v>1</v>
      </c>
      <c r="AW966">
        <v>1</v>
      </c>
      <c r="AZ966">
        <v>1</v>
      </c>
      <c r="BA966">
        <v>1</v>
      </c>
      <c r="BB966">
        <v>1</v>
      </c>
      <c r="BC966">
        <v>1</v>
      </c>
      <c r="BD966" t="s">
        <v>3</v>
      </c>
      <c r="BE966" t="s">
        <v>3</v>
      </c>
      <c r="BF966" t="s">
        <v>3</v>
      </c>
      <c r="BG966" t="s">
        <v>3</v>
      </c>
      <c r="BH966">
        <v>0</v>
      </c>
      <c r="BI966">
        <v>4</v>
      </c>
      <c r="BJ966" t="s">
        <v>861</v>
      </c>
      <c r="BM966">
        <v>0</v>
      </c>
      <c r="BN966">
        <v>0</v>
      </c>
      <c r="BO966" t="s">
        <v>3</v>
      </c>
      <c r="BP966">
        <v>0</v>
      </c>
      <c r="BQ966">
        <v>1</v>
      </c>
      <c r="BR966">
        <v>0</v>
      </c>
      <c r="BS966">
        <v>1</v>
      </c>
      <c r="BT966">
        <v>1</v>
      </c>
      <c r="BU966">
        <v>1</v>
      </c>
      <c r="BV966">
        <v>1</v>
      </c>
      <c r="BW966">
        <v>1</v>
      </c>
      <c r="BX966">
        <v>1</v>
      </c>
      <c r="BY966" t="s">
        <v>3</v>
      </c>
      <c r="BZ966">
        <v>70</v>
      </c>
      <c r="CA966">
        <v>10</v>
      </c>
      <c r="CB966" t="s">
        <v>3</v>
      </c>
      <c r="CE966">
        <v>0</v>
      </c>
      <c r="CF966">
        <v>0</v>
      </c>
      <c r="CG966">
        <v>0</v>
      </c>
      <c r="CM966">
        <v>0</v>
      </c>
      <c r="CN966" t="s">
        <v>3</v>
      </c>
      <c r="CO966">
        <v>0</v>
      </c>
      <c r="CP966">
        <f t="shared" si="939"/>
        <v>842.82</v>
      </c>
      <c r="CQ966">
        <f t="shared" si="940"/>
        <v>23.25</v>
      </c>
      <c r="CR966">
        <f>((((ET966)*BB966-(EU966)*BS966)+AE966*BS966)*AV966)</f>
        <v>0</v>
      </c>
      <c r="CS966">
        <f t="shared" si="941"/>
        <v>0</v>
      </c>
      <c r="CT966">
        <f t="shared" si="942"/>
        <v>398.16</v>
      </c>
      <c r="CU966">
        <f t="shared" si="943"/>
        <v>0</v>
      </c>
      <c r="CV966">
        <f t="shared" si="944"/>
        <v>0.60000000000000009</v>
      </c>
      <c r="CW966">
        <f t="shared" si="945"/>
        <v>0</v>
      </c>
      <c r="CX966">
        <f t="shared" si="946"/>
        <v>0</v>
      </c>
      <c r="CY966">
        <f t="shared" si="947"/>
        <v>557.42399999999998</v>
      </c>
      <c r="CZ966">
        <f t="shared" si="948"/>
        <v>79.632000000000005</v>
      </c>
      <c r="DC966" t="s">
        <v>3</v>
      </c>
      <c r="DD966" t="s">
        <v>516</v>
      </c>
      <c r="DE966" t="s">
        <v>3</v>
      </c>
      <c r="DF966" t="s">
        <v>3</v>
      </c>
      <c r="DG966" t="s">
        <v>516</v>
      </c>
      <c r="DH966" t="s">
        <v>3</v>
      </c>
      <c r="DI966" t="s">
        <v>516</v>
      </c>
      <c r="DJ966" t="s">
        <v>3</v>
      </c>
      <c r="DK966" t="s">
        <v>3</v>
      </c>
      <c r="DL966" t="s">
        <v>3</v>
      </c>
      <c r="DM966" t="s">
        <v>3</v>
      </c>
      <c r="DN966">
        <v>0</v>
      </c>
      <c r="DO966">
        <v>0</v>
      </c>
      <c r="DP966">
        <v>1</v>
      </c>
      <c r="DQ966">
        <v>1</v>
      </c>
      <c r="DU966">
        <v>16987630</v>
      </c>
      <c r="DV966" t="s">
        <v>20</v>
      </c>
      <c r="DW966" t="s">
        <v>20</v>
      </c>
      <c r="DX966">
        <v>1</v>
      </c>
      <c r="DZ966" t="s">
        <v>3</v>
      </c>
      <c r="EA966" t="s">
        <v>3</v>
      </c>
      <c r="EB966" t="s">
        <v>3</v>
      </c>
      <c r="EC966" t="s">
        <v>3</v>
      </c>
      <c r="EE966">
        <v>1441815344</v>
      </c>
      <c r="EF966">
        <v>1</v>
      </c>
      <c r="EG966" t="s">
        <v>22</v>
      </c>
      <c r="EH966">
        <v>0</v>
      </c>
      <c r="EI966" t="s">
        <v>3</v>
      </c>
      <c r="EJ966">
        <v>4</v>
      </c>
      <c r="EK966">
        <v>0</v>
      </c>
      <c r="EL966" t="s">
        <v>23</v>
      </c>
      <c r="EM966" t="s">
        <v>24</v>
      </c>
      <c r="EO966" t="s">
        <v>3</v>
      </c>
      <c r="EQ966">
        <v>1024</v>
      </c>
      <c r="ER966">
        <v>140.47</v>
      </c>
      <c r="ES966">
        <v>7.75</v>
      </c>
      <c r="ET966">
        <v>0</v>
      </c>
      <c r="EU966">
        <v>0</v>
      </c>
      <c r="EV966">
        <v>132.72</v>
      </c>
      <c r="EW966">
        <v>0.2</v>
      </c>
      <c r="EX966">
        <v>0</v>
      </c>
      <c r="EY966">
        <v>0</v>
      </c>
      <c r="FQ966">
        <v>0</v>
      </c>
      <c r="FR966">
        <f t="shared" si="949"/>
        <v>0</v>
      </c>
      <c r="FS966">
        <v>0</v>
      </c>
      <c r="FX966">
        <v>70</v>
      </c>
      <c r="FY966">
        <v>10</v>
      </c>
      <c r="GA966" t="s">
        <v>3</v>
      </c>
      <c r="GD966">
        <v>0</v>
      </c>
      <c r="GF966">
        <v>1040557616</v>
      </c>
      <c r="GG966">
        <v>2</v>
      </c>
      <c r="GH966">
        <v>1</v>
      </c>
      <c r="GI966">
        <v>-2</v>
      </c>
      <c r="GJ966">
        <v>0</v>
      </c>
      <c r="GK966">
        <f>ROUND(R966*(R12)/100,2)</f>
        <v>0</v>
      </c>
      <c r="GL966">
        <f t="shared" si="950"/>
        <v>0</v>
      </c>
      <c r="GM966">
        <f t="shared" si="951"/>
        <v>1479.87</v>
      </c>
      <c r="GN966">
        <f t="shared" si="952"/>
        <v>0</v>
      </c>
      <c r="GO966">
        <f t="shared" si="953"/>
        <v>0</v>
      </c>
      <c r="GP966">
        <f t="shared" si="954"/>
        <v>1479.87</v>
      </c>
      <c r="GR966">
        <v>0</v>
      </c>
      <c r="GS966">
        <v>3</v>
      </c>
      <c r="GT966">
        <v>0</v>
      </c>
      <c r="GU966" t="s">
        <v>3</v>
      </c>
      <c r="GV966">
        <f t="shared" si="955"/>
        <v>0</v>
      </c>
      <c r="GW966">
        <v>1</v>
      </c>
      <c r="GX966">
        <f t="shared" si="956"/>
        <v>0</v>
      </c>
      <c r="HA966">
        <v>0</v>
      </c>
      <c r="HB966">
        <v>0</v>
      </c>
      <c r="HC966">
        <f t="shared" si="957"/>
        <v>0</v>
      </c>
      <c r="HE966" t="s">
        <v>3</v>
      </c>
      <c r="HF966" t="s">
        <v>3</v>
      </c>
      <c r="HM966" t="s">
        <v>3</v>
      </c>
      <c r="HN966" t="s">
        <v>3</v>
      </c>
      <c r="HO966" t="s">
        <v>3</v>
      </c>
      <c r="HP966" t="s">
        <v>3</v>
      </c>
      <c r="HQ966" t="s">
        <v>3</v>
      </c>
      <c r="IK966">
        <v>0</v>
      </c>
    </row>
    <row r="967" spans="1:245" x14ac:dyDescent="0.2">
      <c r="A967">
        <v>17</v>
      </c>
      <c r="B967">
        <v>1</v>
      </c>
      <c r="D967">
        <f>ROW(EtalonRes!A918)</f>
        <v>918</v>
      </c>
      <c r="E967" t="s">
        <v>3</v>
      </c>
      <c r="F967" t="s">
        <v>862</v>
      </c>
      <c r="G967" t="s">
        <v>863</v>
      </c>
      <c r="H967" t="s">
        <v>20</v>
      </c>
      <c r="I967">
        <v>1</v>
      </c>
      <c r="J967">
        <v>0</v>
      </c>
      <c r="K967">
        <v>1</v>
      </c>
      <c r="O967">
        <f t="shared" si="925"/>
        <v>3468.28</v>
      </c>
      <c r="P967">
        <f t="shared" si="926"/>
        <v>0</v>
      </c>
      <c r="Q967">
        <f t="shared" si="927"/>
        <v>0</v>
      </c>
      <c r="R967">
        <f t="shared" si="928"/>
        <v>0</v>
      </c>
      <c r="S967">
        <f t="shared" si="929"/>
        <v>3468.28</v>
      </c>
      <c r="T967">
        <f t="shared" si="930"/>
        <v>0</v>
      </c>
      <c r="U967">
        <f t="shared" si="931"/>
        <v>3.84</v>
      </c>
      <c r="V967">
        <f t="shared" si="932"/>
        <v>0</v>
      </c>
      <c r="W967">
        <f t="shared" si="933"/>
        <v>0</v>
      </c>
      <c r="X967">
        <f t="shared" si="934"/>
        <v>2427.8000000000002</v>
      </c>
      <c r="Y967">
        <f t="shared" si="935"/>
        <v>346.83</v>
      </c>
      <c r="AA967">
        <v>-1</v>
      </c>
      <c r="AB967">
        <f t="shared" si="936"/>
        <v>3468.28</v>
      </c>
      <c r="AC967">
        <f>ROUND(((ES967*2)),6)</f>
        <v>0</v>
      </c>
      <c r="AD967">
        <f>ROUND(((((ET967*2))-((EU967*2)))+AE967),6)</f>
        <v>0</v>
      </c>
      <c r="AE967">
        <f>ROUND(((EU967*2)),6)</f>
        <v>0</v>
      </c>
      <c r="AF967">
        <f>ROUND(((EV967*2)),6)</f>
        <v>3468.28</v>
      </c>
      <c r="AG967">
        <f t="shared" si="937"/>
        <v>0</v>
      </c>
      <c r="AH967">
        <f>((EW967*2))</f>
        <v>3.84</v>
      </c>
      <c r="AI967">
        <f>((EX967*2))</f>
        <v>0</v>
      </c>
      <c r="AJ967">
        <f t="shared" si="938"/>
        <v>0</v>
      </c>
      <c r="AK967">
        <v>1734.14</v>
      </c>
      <c r="AL967">
        <v>0</v>
      </c>
      <c r="AM967">
        <v>0</v>
      </c>
      <c r="AN967">
        <v>0</v>
      </c>
      <c r="AO967">
        <v>1734.14</v>
      </c>
      <c r="AP967">
        <v>0</v>
      </c>
      <c r="AQ967">
        <v>1.92</v>
      </c>
      <c r="AR967">
        <v>0</v>
      </c>
      <c r="AS967">
        <v>0</v>
      </c>
      <c r="AT967">
        <v>70</v>
      </c>
      <c r="AU967">
        <v>10</v>
      </c>
      <c r="AV967">
        <v>1</v>
      </c>
      <c r="AW967">
        <v>1</v>
      </c>
      <c r="AZ967">
        <v>1</v>
      </c>
      <c r="BA967">
        <v>1</v>
      </c>
      <c r="BB967">
        <v>1</v>
      </c>
      <c r="BC967">
        <v>1</v>
      </c>
      <c r="BD967" t="s">
        <v>3</v>
      </c>
      <c r="BE967" t="s">
        <v>3</v>
      </c>
      <c r="BF967" t="s">
        <v>3</v>
      </c>
      <c r="BG967" t="s">
        <v>3</v>
      </c>
      <c r="BH967">
        <v>0</v>
      </c>
      <c r="BI967">
        <v>4</v>
      </c>
      <c r="BJ967" t="s">
        <v>864</v>
      </c>
      <c r="BM967">
        <v>0</v>
      </c>
      <c r="BN967">
        <v>0</v>
      </c>
      <c r="BO967" t="s">
        <v>3</v>
      </c>
      <c r="BP967">
        <v>0</v>
      </c>
      <c r="BQ967">
        <v>1</v>
      </c>
      <c r="BR967">
        <v>0</v>
      </c>
      <c r="BS967">
        <v>1</v>
      </c>
      <c r="BT967">
        <v>1</v>
      </c>
      <c r="BU967">
        <v>1</v>
      </c>
      <c r="BV967">
        <v>1</v>
      </c>
      <c r="BW967">
        <v>1</v>
      </c>
      <c r="BX967">
        <v>1</v>
      </c>
      <c r="BY967" t="s">
        <v>3</v>
      </c>
      <c r="BZ967">
        <v>70</v>
      </c>
      <c r="CA967">
        <v>10</v>
      </c>
      <c r="CB967" t="s">
        <v>3</v>
      </c>
      <c r="CE967">
        <v>0</v>
      </c>
      <c r="CF967">
        <v>0</v>
      </c>
      <c r="CG967">
        <v>0</v>
      </c>
      <c r="CM967">
        <v>0</v>
      </c>
      <c r="CN967" t="s">
        <v>3</v>
      </c>
      <c r="CO967">
        <v>0</v>
      </c>
      <c r="CP967">
        <f t="shared" si="939"/>
        <v>3468.28</v>
      </c>
      <c r="CQ967">
        <f t="shared" si="940"/>
        <v>0</v>
      </c>
      <c r="CR967">
        <f>(((((ET967*2))*BB967-((EU967*2))*BS967)+AE967*BS967)*AV967)</f>
        <v>0</v>
      </c>
      <c r="CS967">
        <f t="shared" si="941"/>
        <v>0</v>
      </c>
      <c r="CT967">
        <f t="shared" si="942"/>
        <v>3468.28</v>
      </c>
      <c r="CU967">
        <f t="shared" si="943"/>
        <v>0</v>
      </c>
      <c r="CV967">
        <f t="shared" si="944"/>
        <v>3.84</v>
      </c>
      <c r="CW967">
        <f t="shared" si="945"/>
        <v>0</v>
      </c>
      <c r="CX967">
        <f t="shared" si="946"/>
        <v>0</v>
      </c>
      <c r="CY967">
        <f t="shared" si="947"/>
        <v>2427.7960000000003</v>
      </c>
      <c r="CZ967">
        <f t="shared" si="948"/>
        <v>346.82800000000003</v>
      </c>
      <c r="DC967" t="s">
        <v>3</v>
      </c>
      <c r="DD967" t="s">
        <v>28</v>
      </c>
      <c r="DE967" t="s">
        <v>28</v>
      </c>
      <c r="DF967" t="s">
        <v>28</v>
      </c>
      <c r="DG967" t="s">
        <v>28</v>
      </c>
      <c r="DH967" t="s">
        <v>3</v>
      </c>
      <c r="DI967" t="s">
        <v>28</v>
      </c>
      <c r="DJ967" t="s">
        <v>28</v>
      </c>
      <c r="DK967" t="s">
        <v>3</v>
      </c>
      <c r="DL967" t="s">
        <v>3</v>
      </c>
      <c r="DM967" t="s">
        <v>3</v>
      </c>
      <c r="DN967">
        <v>0</v>
      </c>
      <c r="DO967">
        <v>0</v>
      </c>
      <c r="DP967">
        <v>1</v>
      </c>
      <c r="DQ967">
        <v>1</v>
      </c>
      <c r="DU967">
        <v>16987630</v>
      </c>
      <c r="DV967" t="s">
        <v>20</v>
      </c>
      <c r="DW967" t="s">
        <v>20</v>
      </c>
      <c r="DX967">
        <v>1</v>
      </c>
      <c r="DZ967" t="s">
        <v>3</v>
      </c>
      <c r="EA967" t="s">
        <v>3</v>
      </c>
      <c r="EB967" t="s">
        <v>3</v>
      </c>
      <c r="EC967" t="s">
        <v>3</v>
      </c>
      <c r="EE967">
        <v>1441815344</v>
      </c>
      <c r="EF967">
        <v>1</v>
      </c>
      <c r="EG967" t="s">
        <v>22</v>
      </c>
      <c r="EH967">
        <v>0</v>
      </c>
      <c r="EI967" t="s">
        <v>3</v>
      </c>
      <c r="EJ967">
        <v>4</v>
      </c>
      <c r="EK967">
        <v>0</v>
      </c>
      <c r="EL967" t="s">
        <v>23</v>
      </c>
      <c r="EM967" t="s">
        <v>24</v>
      </c>
      <c r="EO967" t="s">
        <v>3</v>
      </c>
      <c r="EQ967">
        <v>1311744</v>
      </c>
      <c r="ER967">
        <v>1734.14</v>
      </c>
      <c r="ES967">
        <v>0</v>
      </c>
      <c r="ET967">
        <v>0</v>
      </c>
      <c r="EU967">
        <v>0</v>
      </c>
      <c r="EV967">
        <v>1734.14</v>
      </c>
      <c r="EW967">
        <v>1.92</v>
      </c>
      <c r="EX967">
        <v>0</v>
      </c>
      <c r="EY967">
        <v>0</v>
      </c>
      <c r="FQ967">
        <v>0</v>
      </c>
      <c r="FR967">
        <f t="shared" si="949"/>
        <v>0</v>
      </c>
      <c r="FS967">
        <v>0</v>
      </c>
      <c r="FX967">
        <v>70</v>
      </c>
      <c r="FY967">
        <v>10</v>
      </c>
      <c r="GA967" t="s">
        <v>3</v>
      </c>
      <c r="GD967">
        <v>0</v>
      </c>
      <c r="GF967">
        <v>-1946110662</v>
      </c>
      <c r="GG967">
        <v>2</v>
      </c>
      <c r="GH967">
        <v>1</v>
      </c>
      <c r="GI967">
        <v>-2</v>
      </c>
      <c r="GJ967">
        <v>0</v>
      </c>
      <c r="GK967">
        <f>ROUND(R967*(R12)/100,2)</f>
        <v>0</v>
      </c>
      <c r="GL967">
        <f t="shared" si="950"/>
        <v>0</v>
      </c>
      <c r="GM967">
        <f t="shared" si="951"/>
        <v>6242.91</v>
      </c>
      <c r="GN967">
        <f t="shared" si="952"/>
        <v>0</v>
      </c>
      <c r="GO967">
        <f t="shared" si="953"/>
        <v>0</v>
      </c>
      <c r="GP967">
        <f t="shared" si="954"/>
        <v>6242.91</v>
      </c>
      <c r="GR967">
        <v>0</v>
      </c>
      <c r="GS967">
        <v>3</v>
      </c>
      <c r="GT967">
        <v>0</v>
      </c>
      <c r="GU967" t="s">
        <v>3</v>
      </c>
      <c r="GV967">
        <f t="shared" si="955"/>
        <v>0</v>
      </c>
      <c r="GW967">
        <v>1</v>
      </c>
      <c r="GX967">
        <f t="shared" si="956"/>
        <v>0</v>
      </c>
      <c r="HA967">
        <v>0</v>
      </c>
      <c r="HB967">
        <v>0</v>
      </c>
      <c r="HC967">
        <f t="shared" si="957"/>
        <v>0</v>
      </c>
      <c r="HE967" t="s">
        <v>3</v>
      </c>
      <c r="HF967" t="s">
        <v>3</v>
      </c>
      <c r="HM967" t="s">
        <v>3</v>
      </c>
      <c r="HN967" t="s">
        <v>3</v>
      </c>
      <c r="HO967" t="s">
        <v>3</v>
      </c>
      <c r="HP967" t="s">
        <v>3</v>
      </c>
      <c r="HQ967" t="s">
        <v>3</v>
      </c>
      <c r="IK967">
        <v>0</v>
      </c>
    </row>
    <row r="968" spans="1:245" x14ac:dyDescent="0.2">
      <c r="A968">
        <v>17</v>
      </c>
      <c r="B968">
        <v>1</v>
      </c>
      <c r="D968">
        <f>ROW(EtalonRes!A921)</f>
        <v>921</v>
      </c>
      <c r="E968" t="s">
        <v>3</v>
      </c>
      <c r="F968" t="s">
        <v>865</v>
      </c>
      <c r="G968" t="s">
        <v>866</v>
      </c>
      <c r="H968" t="s">
        <v>20</v>
      </c>
      <c r="I968">
        <v>1</v>
      </c>
      <c r="J968">
        <v>0</v>
      </c>
      <c r="K968">
        <v>1</v>
      </c>
      <c r="O968">
        <f t="shared" si="925"/>
        <v>1315.72</v>
      </c>
      <c r="P968">
        <f t="shared" si="926"/>
        <v>9.94</v>
      </c>
      <c r="Q968">
        <f t="shared" si="927"/>
        <v>0</v>
      </c>
      <c r="R968">
        <f t="shared" si="928"/>
        <v>0</v>
      </c>
      <c r="S968">
        <f t="shared" si="929"/>
        <v>1305.78</v>
      </c>
      <c r="T968">
        <f t="shared" si="930"/>
        <v>0</v>
      </c>
      <c r="U968">
        <f t="shared" si="931"/>
        <v>1.84</v>
      </c>
      <c r="V968">
        <f t="shared" si="932"/>
        <v>0</v>
      </c>
      <c r="W968">
        <f t="shared" si="933"/>
        <v>0</v>
      </c>
      <c r="X968">
        <f t="shared" si="934"/>
        <v>914.05</v>
      </c>
      <c r="Y968">
        <f t="shared" si="935"/>
        <v>130.58000000000001</v>
      </c>
      <c r="AA968">
        <v>-1</v>
      </c>
      <c r="AB968">
        <f t="shared" si="936"/>
        <v>1315.72</v>
      </c>
      <c r="AC968">
        <f>ROUND(((ES968*2)),6)</f>
        <v>9.94</v>
      </c>
      <c r="AD968">
        <f>ROUND(((((ET968*2))-((EU968*2)))+AE968),6)</f>
        <v>0</v>
      </c>
      <c r="AE968">
        <f>ROUND(((EU968*2)),6)</f>
        <v>0</v>
      </c>
      <c r="AF968">
        <f>ROUND(((EV968*2)),6)</f>
        <v>1305.78</v>
      </c>
      <c r="AG968">
        <f t="shared" si="937"/>
        <v>0</v>
      </c>
      <c r="AH968">
        <f>((EW968*2))</f>
        <v>1.84</v>
      </c>
      <c r="AI968">
        <f>((EX968*2))</f>
        <v>0</v>
      </c>
      <c r="AJ968">
        <f t="shared" si="938"/>
        <v>0</v>
      </c>
      <c r="AK968">
        <v>657.86</v>
      </c>
      <c r="AL968">
        <v>4.97</v>
      </c>
      <c r="AM968">
        <v>0</v>
      </c>
      <c r="AN968">
        <v>0</v>
      </c>
      <c r="AO968">
        <v>652.89</v>
      </c>
      <c r="AP968">
        <v>0</v>
      </c>
      <c r="AQ968">
        <v>0.92</v>
      </c>
      <c r="AR968">
        <v>0</v>
      </c>
      <c r="AS968">
        <v>0</v>
      </c>
      <c r="AT968">
        <v>70</v>
      </c>
      <c r="AU968">
        <v>10</v>
      </c>
      <c r="AV968">
        <v>1</v>
      </c>
      <c r="AW968">
        <v>1</v>
      </c>
      <c r="AZ968">
        <v>1</v>
      </c>
      <c r="BA968">
        <v>1</v>
      </c>
      <c r="BB968">
        <v>1</v>
      </c>
      <c r="BC968">
        <v>1</v>
      </c>
      <c r="BD968" t="s">
        <v>3</v>
      </c>
      <c r="BE968" t="s">
        <v>3</v>
      </c>
      <c r="BF968" t="s">
        <v>3</v>
      </c>
      <c r="BG968" t="s">
        <v>3</v>
      </c>
      <c r="BH968">
        <v>0</v>
      </c>
      <c r="BI968">
        <v>4</v>
      </c>
      <c r="BJ968" t="s">
        <v>867</v>
      </c>
      <c r="BM968">
        <v>0</v>
      </c>
      <c r="BN968">
        <v>0</v>
      </c>
      <c r="BO968" t="s">
        <v>3</v>
      </c>
      <c r="BP968">
        <v>0</v>
      </c>
      <c r="BQ968">
        <v>1</v>
      </c>
      <c r="BR968">
        <v>0</v>
      </c>
      <c r="BS968">
        <v>1</v>
      </c>
      <c r="BT968">
        <v>1</v>
      </c>
      <c r="BU968">
        <v>1</v>
      </c>
      <c r="BV968">
        <v>1</v>
      </c>
      <c r="BW968">
        <v>1</v>
      </c>
      <c r="BX968">
        <v>1</v>
      </c>
      <c r="BY968" t="s">
        <v>3</v>
      </c>
      <c r="BZ968">
        <v>70</v>
      </c>
      <c r="CA968">
        <v>10</v>
      </c>
      <c r="CB968" t="s">
        <v>3</v>
      </c>
      <c r="CE968">
        <v>0</v>
      </c>
      <c r="CF968">
        <v>0</v>
      </c>
      <c r="CG968">
        <v>0</v>
      </c>
      <c r="CM968">
        <v>0</v>
      </c>
      <c r="CN968" t="s">
        <v>3</v>
      </c>
      <c r="CO968">
        <v>0</v>
      </c>
      <c r="CP968">
        <f t="shared" si="939"/>
        <v>1315.72</v>
      </c>
      <c r="CQ968">
        <f t="shared" si="940"/>
        <v>9.94</v>
      </c>
      <c r="CR968">
        <f>(((((ET968*2))*BB968-((EU968*2))*BS968)+AE968*BS968)*AV968)</f>
        <v>0</v>
      </c>
      <c r="CS968">
        <f t="shared" si="941"/>
        <v>0</v>
      </c>
      <c r="CT968">
        <f t="shared" si="942"/>
        <v>1305.78</v>
      </c>
      <c r="CU968">
        <f t="shared" si="943"/>
        <v>0</v>
      </c>
      <c r="CV968">
        <f t="shared" si="944"/>
        <v>1.84</v>
      </c>
      <c r="CW968">
        <f t="shared" si="945"/>
        <v>0</v>
      </c>
      <c r="CX968">
        <f t="shared" si="946"/>
        <v>0</v>
      </c>
      <c r="CY968">
        <f t="shared" si="947"/>
        <v>914.04599999999994</v>
      </c>
      <c r="CZ968">
        <f t="shared" si="948"/>
        <v>130.578</v>
      </c>
      <c r="DC968" t="s">
        <v>3</v>
      </c>
      <c r="DD968" t="s">
        <v>28</v>
      </c>
      <c r="DE968" t="s">
        <v>28</v>
      </c>
      <c r="DF968" t="s">
        <v>28</v>
      </c>
      <c r="DG968" t="s">
        <v>28</v>
      </c>
      <c r="DH968" t="s">
        <v>3</v>
      </c>
      <c r="DI968" t="s">
        <v>28</v>
      </c>
      <c r="DJ968" t="s">
        <v>28</v>
      </c>
      <c r="DK968" t="s">
        <v>3</v>
      </c>
      <c r="DL968" t="s">
        <v>3</v>
      </c>
      <c r="DM968" t="s">
        <v>3</v>
      </c>
      <c r="DN968">
        <v>0</v>
      </c>
      <c r="DO968">
        <v>0</v>
      </c>
      <c r="DP968">
        <v>1</v>
      </c>
      <c r="DQ968">
        <v>1</v>
      </c>
      <c r="DU968">
        <v>16987630</v>
      </c>
      <c r="DV968" t="s">
        <v>20</v>
      </c>
      <c r="DW968" t="s">
        <v>20</v>
      </c>
      <c r="DX968">
        <v>1</v>
      </c>
      <c r="DZ968" t="s">
        <v>3</v>
      </c>
      <c r="EA968" t="s">
        <v>3</v>
      </c>
      <c r="EB968" t="s">
        <v>3</v>
      </c>
      <c r="EC968" t="s">
        <v>3</v>
      </c>
      <c r="EE968">
        <v>1441815344</v>
      </c>
      <c r="EF968">
        <v>1</v>
      </c>
      <c r="EG968" t="s">
        <v>22</v>
      </c>
      <c r="EH968">
        <v>0</v>
      </c>
      <c r="EI968" t="s">
        <v>3</v>
      </c>
      <c r="EJ968">
        <v>4</v>
      </c>
      <c r="EK968">
        <v>0</v>
      </c>
      <c r="EL968" t="s">
        <v>23</v>
      </c>
      <c r="EM968" t="s">
        <v>24</v>
      </c>
      <c r="EO968" t="s">
        <v>3</v>
      </c>
      <c r="EQ968">
        <v>1311744</v>
      </c>
      <c r="ER968">
        <v>657.86</v>
      </c>
      <c r="ES968">
        <v>4.97</v>
      </c>
      <c r="ET968">
        <v>0</v>
      </c>
      <c r="EU968">
        <v>0</v>
      </c>
      <c r="EV968">
        <v>652.89</v>
      </c>
      <c r="EW968">
        <v>0.92</v>
      </c>
      <c r="EX968">
        <v>0</v>
      </c>
      <c r="EY968">
        <v>0</v>
      </c>
      <c r="FQ968">
        <v>0</v>
      </c>
      <c r="FR968">
        <f t="shared" si="949"/>
        <v>0</v>
      </c>
      <c r="FS968">
        <v>0</v>
      </c>
      <c r="FX968">
        <v>70</v>
      </c>
      <c r="FY968">
        <v>10</v>
      </c>
      <c r="GA968" t="s">
        <v>3</v>
      </c>
      <c r="GD968">
        <v>0</v>
      </c>
      <c r="GF968">
        <v>1796128698</v>
      </c>
      <c r="GG968">
        <v>2</v>
      </c>
      <c r="GH968">
        <v>1</v>
      </c>
      <c r="GI968">
        <v>-2</v>
      </c>
      <c r="GJ968">
        <v>0</v>
      </c>
      <c r="GK968">
        <f>ROUND(R968*(R12)/100,2)</f>
        <v>0</v>
      </c>
      <c r="GL968">
        <f t="shared" si="950"/>
        <v>0</v>
      </c>
      <c r="GM968">
        <f t="shared" si="951"/>
        <v>2360.35</v>
      </c>
      <c r="GN968">
        <f t="shared" si="952"/>
        <v>0</v>
      </c>
      <c r="GO968">
        <f t="shared" si="953"/>
        <v>0</v>
      </c>
      <c r="GP968">
        <f t="shared" si="954"/>
        <v>2360.35</v>
      </c>
      <c r="GR968">
        <v>0</v>
      </c>
      <c r="GS968">
        <v>3</v>
      </c>
      <c r="GT968">
        <v>0</v>
      </c>
      <c r="GU968" t="s">
        <v>3</v>
      </c>
      <c r="GV968">
        <f t="shared" si="955"/>
        <v>0</v>
      </c>
      <c r="GW968">
        <v>1</v>
      </c>
      <c r="GX968">
        <f t="shared" si="956"/>
        <v>0</v>
      </c>
      <c r="HA968">
        <v>0</v>
      </c>
      <c r="HB968">
        <v>0</v>
      </c>
      <c r="HC968">
        <f t="shared" si="957"/>
        <v>0</v>
      </c>
      <c r="HE968" t="s">
        <v>3</v>
      </c>
      <c r="HF968" t="s">
        <v>3</v>
      </c>
      <c r="HM968" t="s">
        <v>3</v>
      </c>
      <c r="HN968" t="s">
        <v>3</v>
      </c>
      <c r="HO968" t="s">
        <v>3</v>
      </c>
      <c r="HP968" t="s">
        <v>3</v>
      </c>
      <c r="HQ968" t="s">
        <v>3</v>
      </c>
      <c r="IK968">
        <v>0</v>
      </c>
    </row>
    <row r="969" spans="1:245" x14ac:dyDescent="0.2">
      <c r="A969">
        <v>17</v>
      </c>
      <c r="B969">
        <v>1</v>
      </c>
      <c r="D969">
        <f>ROW(EtalonRes!A922)</f>
        <v>922</v>
      </c>
      <c r="E969" t="s">
        <v>3</v>
      </c>
      <c r="F969" t="s">
        <v>868</v>
      </c>
      <c r="G969" t="s">
        <v>869</v>
      </c>
      <c r="H969" t="s">
        <v>104</v>
      </c>
      <c r="I969">
        <f>ROUND(1500/100,9)</f>
        <v>15</v>
      </c>
      <c r="J969">
        <v>0</v>
      </c>
      <c r="K969">
        <f>ROUND(1500/100,9)</f>
        <v>15</v>
      </c>
      <c r="O969">
        <f t="shared" si="925"/>
        <v>7451.4</v>
      </c>
      <c r="P969">
        <f t="shared" si="926"/>
        <v>0</v>
      </c>
      <c r="Q969">
        <f t="shared" si="927"/>
        <v>0</v>
      </c>
      <c r="R969">
        <f t="shared" si="928"/>
        <v>0</v>
      </c>
      <c r="S969">
        <f t="shared" si="929"/>
        <v>7451.4</v>
      </c>
      <c r="T969">
        <f t="shared" si="930"/>
        <v>0</v>
      </c>
      <c r="U969">
        <f t="shared" si="931"/>
        <v>10.5</v>
      </c>
      <c r="V969">
        <f t="shared" si="932"/>
        <v>0</v>
      </c>
      <c r="W969">
        <f t="shared" si="933"/>
        <v>0</v>
      </c>
      <c r="X969">
        <f t="shared" si="934"/>
        <v>5215.9799999999996</v>
      </c>
      <c r="Y969">
        <f t="shared" si="935"/>
        <v>745.14</v>
      </c>
      <c r="AA969">
        <v>-1</v>
      </c>
      <c r="AB969">
        <f t="shared" si="936"/>
        <v>496.76</v>
      </c>
      <c r="AC969">
        <f>ROUND((ES969),6)</f>
        <v>0</v>
      </c>
      <c r="AD969">
        <f>ROUND((((ET969)-(EU969))+AE969),6)</f>
        <v>0</v>
      </c>
      <c r="AE969">
        <f>ROUND((EU969),6)</f>
        <v>0</v>
      </c>
      <c r="AF969">
        <f>ROUND((EV969),6)</f>
        <v>496.76</v>
      </c>
      <c r="AG969">
        <f t="shared" si="937"/>
        <v>0</v>
      </c>
      <c r="AH969">
        <f>(EW969)</f>
        <v>0.7</v>
      </c>
      <c r="AI969">
        <f>(EX969)</f>
        <v>0</v>
      </c>
      <c r="AJ969">
        <f t="shared" si="938"/>
        <v>0</v>
      </c>
      <c r="AK969">
        <v>496.76</v>
      </c>
      <c r="AL969">
        <v>0</v>
      </c>
      <c r="AM969">
        <v>0</v>
      </c>
      <c r="AN969">
        <v>0</v>
      </c>
      <c r="AO969">
        <v>496.76</v>
      </c>
      <c r="AP969">
        <v>0</v>
      </c>
      <c r="AQ969">
        <v>0.7</v>
      </c>
      <c r="AR969">
        <v>0</v>
      </c>
      <c r="AS969">
        <v>0</v>
      </c>
      <c r="AT969">
        <v>70</v>
      </c>
      <c r="AU969">
        <v>10</v>
      </c>
      <c r="AV969">
        <v>1</v>
      </c>
      <c r="AW969">
        <v>1</v>
      </c>
      <c r="AZ969">
        <v>1</v>
      </c>
      <c r="BA969">
        <v>1</v>
      </c>
      <c r="BB969">
        <v>1</v>
      </c>
      <c r="BC969">
        <v>1</v>
      </c>
      <c r="BD969" t="s">
        <v>3</v>
      </c>
      <c r="BE969" t="s">
        <v>3</v>
      </c>
      <c r="BF969" t="s">
        <v>3</v>
      </c>
      <c r="BG969" t="s">
        <v>3</v>
      </c>
      <c r="BH969">
        <v>0</v>
      </c>
      <c r="BI969">
        <v>4</v>
      </c>
      <c r="BJ969" t="s">
        <v>870</v>
      </c>
      <c r="BM969">
        <v>0</v>
      </c>
      <c r="BN969">
        <v>0</v>
      </c>
      <c r="BO969" t="s">
        <v>3</v>
      </c>
      <c r="BP969">
        <v>0</v>
      </c>
      <c r="BQ969">
        <v>1</v>
      </c>
      <c r="BR969">
        <v>0</v>
      </c>
      <c r="BS969">
        <v>1</v>
      </c>
      <c r="BT969">
        <v>1</v>
      </c>
      <c r="BU969">
        <v>1</v>
      </c>
      <c r="BV969">
        <v>1</v>
      </c>
      <c r="BW969">
        <v>1</v>
      </c>
      <c r="BX969">
        <v>1</v>
      </c>
      <c r="BY969" t="s">
        <v>3</v>
      </c>
      <c r="BZ969">
        <v>70</v>
      </c>
      <c r="CA969">
        <v>10</v>
      </c>
      <c r="CB969" t="s">
        <v>3</v>
      </c>
      <c r="CE969">
        <v>0</v>
      </c>
      <c r="CF969">
        <v>0</v>
      </c>
      <c r="CG969">
        <v>0</v>
      </c>
      <c r="CM969">
        <v>0</v>
      </c>
      <c r="CN969" t="s">
        <v>3</v>
      </c>
      <c r="CO969">
        <v>0</v>
      </c>
      <c r="CP969">
        <f t="shared" si="939"/>
        <v>7451.4</v>
      </c>
      <c r="CQ969">
        <f t="shared" si="940"/>
        <v>0</v>
      </c>
      <c r="CR969">
        <f>((((ET969)*BB969-(EU969)*BS969)+AE969*BS969)*AV969)</f>
        <v>0</v>
      </c>
      <c r="CS969">
        <f t="shared" si="941"/>
        <v>0</v>
      </c>
      <c r="CT969">
        <f t="shared" si="942"/>
        <v>496.76</v>
      </c>
      <c r="CU969">
        <f t="shared" si="943"/>
        <v>0</v>
      </c>
      <c r="CV969">
        <f t="shared" si="944"/>
        <v>0.7</v>
      </c>
      <c r="CW969">
        <f t="shared" si="945"/>
        <v>0</v>
      </c>
      <c r="CX969">
        <f t="shared" si="946"/>
        <v>0</v>
      </c>
      <c r="CY969">
        <f t="shared" si="947"/>
        <v>5215.9799999999996</v>
      </c>
      <c r="CZ969">
        <f t="shared" si="948"/>
        <v>745.14</v>
      </c>
      <c r="DC969" t="s">
        <v>3</v>
      </c>
      <c r="DD969" t="s">
        <v>3</v>
      </c>
      <c r="DE969" t="s">
        <v>3</v>
      </c>
      <c r="DF969" t="s">
        <v>3</v>
      </c>
      <c r="DG969" t="s">
        <v>3</v>
      </c>
      <c r="DH969" t="s">
        <v>3</v>
      </c>
      <c r="DI969" t="s">
        <v>3</v>
      </c>
      <c r="DJ969" t="s">
        <v>3</v>
      </c>
      <c r="DK969" t="s">
        <v>3</v>
      </c>
      <c r="DL969" t="s">
        <v>3</v>
      </c>
      <c r="DM969" t="s">
        <v>3</v>
      </c>
      <c r="DN969">
        <v>0</v>
      </c>
      <c r="DO969">
        <v>0</v>
      </c>
      <c r="DP969">
        <v>1</v>
      </c>
      <c r="DQ969">
        <v>1</v>
      </c>
      <c r="DU969">
        <v>1003</v>
      </c>
      <c r="DV969" t="s">
        <v>104</v>
      </c>
      <c r="DW969" t="s">
        <v>104</v>
      </c>
      <c r="DX969">
        <v>100</v>
      </c>
      <c r="DZ969" t="s">
        <v>3</v>
      </c>
      <c r="EA969" t="s">
        <v>3</v>
      </c>
      <c r="EB969" t="s">
        <v>3</v>
      </c>
      <c r="EC969" t="s">
        <v>3</v>
      </c>
      <c r="EE969">
        <v>1441815344</v>
      </c>
      <c r="EF969">
        <v>1</v>
      </c>
      <c r="EG969" t="s">
        <v>22</v>
      </c>
      <c r="EH969">
        <v>0</v>
      </c>
      <c r="EI969" t="s">
        <v>3</v>
      </c>
      <c r="EJ969">
        <v>4</v>
      </c>
      <c r="EK969">
        <v>0</v>
      </c>
      <c r="EL969" t="s">
        <v>23</v>
      </c>
      <c r="EM969" t="s">
        <v>24</v>
      </c>
      <c r="EO969" t="s">
        <v>3</v>
      </c>
      <c r="EQ969">
        <v>1311744</v>
      </c>
      <c r="ER969">
        <v>496.76</v>
      </c>
      <c r="ES969">
        <v>0</v>
      </c>
      <c r="ET969">
        <v>0</v>
      </c>
      <c r="EU969">
        <v>0</v>
      </c>
      <c r="EV969">
        <v>496.76</v>
      </c>
      <c r="EW969">
        <v>0.7</v>
      </c>
      <c r="EX969">
        <v>0</v>
      </c>
      <c r="EY969">
        <v>0</v>
      </c>
      <c r="FQ969">
        <v>0</v>
      </c>
      <c r="FR969">
        <f t="shared" si="949"/>
        <v>0</v>
      </c>
      <c r="FS969">
        <v>0</v>
      </c>
      <c r="FX969">
        <v>70</v>
      </c>
      <c r="FY969">
        <v>10</v>
      </c>
      <c r="GA969" t="s">
        <v>3</v>
      </c>
      <c r="GD969">
        <v>0</v>
      </c>
      <c r="GF969">
        <v>-1307125436</v>
      </c>
      <c r="GG969">
        <v>2</v>
      </c>
      <c r="GH969">
        <v>1</v>
      </c>
      <c r="GI969">
        <v>-2</v>
      </c>
      <c r="GJ969">
        <v>0</v>
      </c>
      <c r="GK969">
        <f>ROUND(R969*(R12)/100,2)</f>
        <v>0</v>
      </c>
      <c r="GL969">
        <f t="shared" si="950"/>
        <v>0</v>
      </c>
      <c r="GM969">
        <f t="shared" si="951"/>
        <v>13412.52</v>
      </c>
      <c r="GN969">
        <f t="shared" si="952"/>
        <v>0</v>
      </c>
      <c r="GO969">
        <f t="shared" si="953"/>
        <v>0</v>
      </c>
      <c r="GP969">
        <f t="shared" si="954"/>
        <v>13412.52</v>
      </c>
      <c r="GR969">
        <v>0</v>
      </c>
      <c r="GS969">
        <v>3</v>
      </c>
      <c r="GT969">
        <v>0</v>
      </c>
      <c r="GU969" t="s">
        <v>3</v>
      </c>
      <c r="GV969">
        <f t="shared" si="955"/>
        <v>0</v>
      </c>
      <c r="GW969">
        <v>1</v>
      </c>
      <c r="GX969">
        <f t="shared" si="956"/>
        <v>0</v>
      </c>
      <c r="HA969">
        <v>0</v>
      </c>
      <c r="HB969">
        <v>0</v>
      </c>
      <c r="HC969">
        <f t="shared" si="957"/>
        <v>0</v>
      </c>
      <c r="HE969" t="s">
        <v>3</v>
      </c>
      <c r="HF969" t="s">
        <v>3</v>
      </c>
      <c r="HM969" t="s">
        <v>3</v>
      </c>
      <c r="HN969" t="s">
        <v>3</v>
      </c>
      <c r="HO969" t="s">
        <v>3</v>
      </c>
      <c r="HP969" t="s">
        <v>3</v>
      </c>
      <c r="HQ969" t="s">
        <v>3</v>
      </c>
      <c r="IK969">
        <v>0</v>
      </c>
    </row>
    <row r="970" spans="1:245" x14ac:dyDescent="0.2">
      <c r="A970">
        <v>19</v>
      </c>
      <c r="B970">
        <v>1</v>
      </c>
      <c r="F970" t="s">
        <v>3</v>
      </c>
      <c r="G970" t="s">
        <v>871</v>
      </c>
      <c r="H970" t="s">
        <v>3</v>
      </c>
      <c r="AA970">
        <v>1</v>
      </c>
      <c r="IK970">
        <v>0</v>
      </c>
    </row>
    <row r="971" spans="1:245" x14ac:dyDescent="0.2">
      <c r="A971">
        <v>17</v>
      </c>
      <c r="B971">
        <v>1</v>
      </c>
      <c r="D971">
        <f>ROW(EtalonRes!A923)</f>
        <v>923</v>
      </c>
      <c r="E971" t="s">
        <v>872</v>
      </c>
      <c r="F971" t="s">
        <v>868</v>
      </c>
      <c r="G971" t="s">
        <v>869</v>
      </c>
      <c r="H971" t="s">
        <v>104</v>
      </c>
      <c r="I971">
        <f>ROUND((1500+1000+500+50+100+100+50+2500+1500)*0.1/100,9)</f>
        <v>7.3</v>
      </c>
      <c r="J971">
        <v>0</v>
      </c>
      <c r="K971">
        <f>ROUND((1500+1000+500+50+100+100+50+2500+1500)*0.1/100,9)</f>
        <v>7.3</v>
      </c>
      <c r="O971">
        <f>ROUND(CP971,2)</f>
        <v>3626.35</v>
      </c>
      <c r="P971">
        <f>ROUND(CQ971*I971,2)</f>
        <v>0</v>
      </c>
      <c r="Q971">
        <f>ROUND(CR971*I971,2)</f>
        <v>0</v>
      </c>
      <c r="R971">
        <f>ROUND(CS971*I971,2)</f>
        <v>0</v>
      </c>
      <c r="S971">
        <f>ROUND(CT971*I971,2)</f>
        <v>3626.35</v>
      </c>
      <c r="T971">
        <f>ROUND(CU971*I971,2)</f>
        <v>0</v>
      </c>
      <c r="U971">
        <f>CV971*I971</f>
        <v>5.1099999999999994</v>
      </c>
      <c r="V971">
        <f>CW971*I971</f>
        <v>0</v>
      </c>
      <c r="W971">
        <f>ROUND(CX971*I971,2)</f>
        <v>0</v>
      </c>
      <c r="X971">
        <f>ROUND(CY971,2)</f>
        <v>2538.4499999999998</v>
      </c>
      <c r="Y971">
        <f>ROUND(CZ971,2)</f>
        <v>362.64</v>
      </c>
      <c r="AA971">
        <v>1472506909</v>
      </c>
      <c r="AB971">
        <f>ROUND((AC971+AD971+AF971),6)</f>
        <v>496.76</v>
      </c>
      <c r="AC971">
        <f>ROUND((ES971),6)</f>
        <v>0</v>
      </c>
      <c r="AD971">
        <f>ROUND((((ET971)-(EU971))+AE971),6)</f>
        <v>0</v>
      </c>
      <c r="AE971">
        <f>ROUND((EU971),6)</f>
        <v>0</v>
      </c>
      <c r="AF971">
        <f>ROUND((EV971),6)</f>
        <v>496.76</v>
      </c>
      <c r="AG971">
        <f>ROUND((AP971),6)</f>
        <v>0</v>
      </c>
      <c r="AH971">
        <f>(EW971)</f>
        <v>0.7</v>
      </c>
      <c r="AI971">
        <f>(EX971)</f>
        <v>0</v>
      </c>
      <c r="AJ971">
        <f>(AS971)</f>
        <v>0</v>
      </c>
      <c r="AK971">
        <v>496.76</v>
      </c>
      <c r="AL971">
        <v>0</v>
      </c>
      <c r="AM971">
        <v>0</v>
      </c>
      <c r="AN971">
        <v>0</v>
      </c>
      <c r="AO971">
        <v>496.76</v>
      </c>
      <c r="AP971">
        <v>0</v>
      </c>
      <c r="AQ971">
        <v>0.7</v>
      </c>
      <c r="AR971">
        <v>0</v>
      </c>
      <c r="AS971">
        <v>0</v>
      </c>
      <c r="AT971">
        <v>70</v>
      </c>
      <c r="AU971">
        <v>10</v>
      </c>
      <c r="AV971">
        <v>1</v>
      </c>
      <c r="AW971">
        <v>1</v>
      </c>
      <c r="AZ971">
        <v>1</v>
      </c>
      <c r="BA971">
        <v>1</v>
      </c>
      <c r="BB971">
        <v>1</v>
      </c>
      <c r="BC971">
        <v>1</v>
      </c>
      <c r="BD971" t="s">
        <v>3</v>
      </c>
      <c r="BE971" t="s">
        <v>3</v>
      </c>
      <c r="BF971" t="s">
        <v>3</v>
      </c>
      <c r="BG971" t="s">
        <v>3</v>
      </c>
      <c r="BH971">
        <v>0</v>
      </c>
      <c r="BI971">
        <v>4</v>
      </c>
      <c r="BJ971" t="s">
        <v>870</v>
      </c>
      <c r="BM971">
        <v>0</v>
      </c>
      <c r="BN971">
        <v>0</v>
      </c>
      <c r="BO971" t="s">
        <v>3</v>
      </c>
      <c r="BP971">
        <v>0</v>
      </c>
      <c r="BQ971">
        <v>1</v>
      </c>
      <c r="BR971">
        <v>0</v>
      </c>
      <c r="BS971">
        <v>1</v>
      </c>
      <c r="BT971">
        <v>1</v>
      </c>
      <c r="BU971">
        <v>1</v>
      </c>
      <c r="BV971">
        <v>1</v>
      </c>
      <c r="BW971">
        <v>1</v>
      </c>
      <c r="BX971">
        <v>1</v>
      </c>
      <c r="BY971" t="s">
        <v>3</v>
      </c>
      <c r="BZ971">
        <v>70</v>
      </c>
      <c r="CA971">
        <v>10</v>
      </c>
      <c r="CB971" t="s">
        <v>3</v>
      </c>
      <c r="CE971">
        <v>0</v>
      </c>
      <c r="CF971">
        <v>0</v>
      </c>
      <c r="CG971">
        <v>0</v>
      </c>
      <c r="CM971">
        <v>0</v>
      </c>
      <c r="CN971" t="s">
        <v>3</v>
      </c>
      <c r="CO971">
        <v>0</v>
      </c>
      <c r="CP971">
        <f>(P971+Q971+S971)</f>
        <v>3626.35</v>
      </c>
      <c r="CQ971">
        <f>(AC971*BC971*AW971)</f>
        <v>0</v>
      </c>
      <c r="CR971">
        <f>((((ET971)*BB971-(EU971)*BS971)+AE971*BS971)*AV971)</f>
        <v>0</v>
      </c>
      <c r="CS971">
        <f>(AE971*BS971*AV971)</f>
        <v>0</v>
      </c>
      <c r="CT971">
        <f>(AF971*BA971*AV971)</f>
        <v>496.76</v>
      </c>
      <c r="CU971">
        <f>AG971</f>
        <v>0</v>
      </c>
      <c r="CV971">
        <f>(AH971*AV971)</f>
        <v>0.7</v>
      </c>
      <c r="CW971">
        <f>AI971</f>
        <v>0</v>
      </c>
      <c r="CX971">
        <f>AJ971</f>
        <v>0</v>
      </c>
      <c r="CY971">
        <f>((S971*BZ971)/100)</f>
        <v>2538.4450000000002</v>
      </c>
      <c r="CZ971">
        <f>((S971*CA971)/100)</f>
        <v>362.63499999999999</v>
      </c>
      <c r="DC971" t="s">
        <v>3</v>
      </c>
      <c r="DD971" t="s">
        <v>3</v>
      </c>
      <c r="DE971" t="s">
        <v>3</v>
      </c>
      <c r="DF971" t="s">
        <v>3</v>
      </c>
      <c r="DG971" t="s">
        <v>3</v>
      </c>
      <c r="DH971" t="s">
        <v>3</v>
      </c>
      <c r="DI971" t="s">
        <v>3</v>
      </c>
      <c r="DJ971" t="s">
        <v>3</v>
      </c>
      <c r="DK971" t="s">
        <v>3</v>
      </c>
      <c r="DL971" t="s">
        <v>3</v>
      </c>
      <c r="DM971" t="s">
        <v>3</v>
      </c>
      <c r="DN971">
        <v>0</v>
      </c>
      <c r="DO971">
        <v>0</v>
      </c>
      <c r="DP971">
        <v>1</v>
      </c>
      <c r="DQ971">
        <v>1</v>
      </c>
      <c r="DU971">
        <v>1003</v>
      </c>
      <c r="DV971" t="s">
        <v>104</v>
      </c>
      <c r="DW971" t="s">
        <v>104</v>
      </c>
      <c r="DX971">
        <v>100</v>
      </c>
      <c r="DZ971" t="s">
        <v>3</v>
      </c>
      <c r="EA971" t="s">
        <v>3</v>
      </c>
      <c r="EB971" t="s">
        <v>3</v>
      </c>
      <c r="EC971" t="s">
        <v>3</v>
      </c>
      <c r="EE971">
        <v>1441815344</v>
      </c>
      <c r="EF971">
        <v>1</v>
      </c>
      <c r="EG971" t="s">
        <v>22</v>
      </c>
      <c r="EH971">
        <v>0</v>
      </c>
      <c r="EI971" t="s">
        <v>3</v>
      </c>
      <c r="EJ971">
        <v>4</v>
      </c>
      <c r="EK971">
        <v>0</v>
      </c>
      <c r="EL971" t="s">
        <v>23</v>
      </c>
      <c r="EM971" t="s">
        <v>24</v>
      </c>
      <c r="EO971" t="s">
        <v>3</v>
      </c>
      <c r="EQ971">
        <v>0</v>
      </c>
      <c r="ER971">
        <v>496.76</v>
      </c>
      <c r="ES971">
        <v>0</v>
      </c>
      <c r="ET971">
        <v>0</v>
      </c>
      <c r="EU971">
        <v>0</v>
      </c>
      <c r="EV971">
        <v>496.76</v>
      </c>
      <c r="EW971">
        <v>0.7</v>
      </c>
      <c r="EX971">
        <v>0</v>
      </c>
      <c r="EY971">
        <v>0</v>
      </c>
      <c r="FQ971">
        <v>0</v>
      </c>
      <c r="FR971">
        <f>ROUND(IF(BI971=3,GM971,0),2)</f>
        <v>0</v>
      </c>
      <c r="FS971">
        <v>0</v>
      </c>
      <c r="FX971">
        <v>70</v>
      </c>
      <c r="FY971">
        <v>10</v>
      </c>
      <c r="GA971" t="s">
        <v>3</v>
      </c>
      <c r="GD971">
        <v>0</v>
      </c>
      <c r="GF971">
        <v>-1307125436</v>
      </c>
      <c r="GG971">
        <v>2</v>
      </c>
      <c r="GH971">
        <v>1</v>
      </c>
      <c r="GI971">
        <v>-2</v>
      </c>
      <c r="GJ971">
        <v>0</v>
      </c>
      <c r="GK971">
        <f>ROUND(R971*(R12)/100,2)</f>
        <v>0</v>
      </c>
      <c r="GL971">
        <f>ROUND(IF(AND(BH971=3,BI971=3,FS971&lt;&gt;0),P971,0),2)</f>
        <v>0</v>
      </c>
      <c r="GM971">
        <f>ROUND(O971+X971+Y971+GK971,2)+GX971</f>
        <v>6527.44</v>
      </c>
      <c r="GN971">
        <f>IF(OR(BI971=0,BI971=1),GM971-GX971,0)</f>
        <v>0</v>
      </c>
      <c r="GO971">
        <f>IF(BI971=2,GM971-GX971,0)</f>
        <v>0</v>
      </c>
      <c r="GP971">
        <f>IF(BI971=4,GM971-GX971,0)</f>
        <v>6527.44</v>
      </c>
      <c r="GR971">
        <v>0</v>
      </c>
      <c r="GS971">
        <v>3</v>
      </c>
      <c r="GT971">
        <v>0</v>
      </c>
      <c r="GU971" t="s">
        <v>3</v>
      </c>
      <c r="GV971">
        <f>ROUND((GT971),6)</f>
        <v>0</v>
      </c>
      <c r="GW971">
        <v>1</v>
      </c>
      <c r="GX971">
        <f>ROUND(HC971*I971,2)</f>
        <v>0</v>
      </c>
      <c r="HA971">
        <v>0</v>
      </c>
      <c r="HB971">
        <v>0</v>
      </c>
      <c r="HC971">
        <f>GV971*GW971</f>
        <v>0</v>
      </c>
      <c r="HE971" t="s">
        <v>3</v>
      </c>
      <c r="HF971" t="s">
        <v>3</v>
      </c>
      <c r="HM971" t="s">
        <v>3</v>
      </c>
      <c r="HN971" t="s">
        <v>3</v>
      </c>
      <c r="HO971" t="s">
        <v>3</v>
      </c>
      <c r="HP971" t="s">
        <v>3</v>
      </c>
      <c r="HQ971" t="s">
        <v>3</v>
      </c>
      <c r="IK971">
        <v>0</v>
      </c>
    </row>
    <row r="972" spans="1:245" x14ac:dyDescent="0.2">
      <c r="A972">
        <v>19</v>
      </c>
      <c r="B972">
        <v>1</v>
      </c>
      <c r="F972" t="s">
        <v>3</v>
      </c>
      <c r="G972" t="s">
        <v>873</v>
      </c>
      <c r="H972" t="s">
        <v>3</v>
      </c>
      <c r="AA972">
        <v>1</v>
      </c>
      <c r="IK972">
        <v>0</v>
      </c>
    </row>
    <row r="973" spans="1:245" x14ac:dyDescent="0.2">
      <c r="A973">
        <v>17</v>
      </c>
      <c r="B973">
        <v>1</v>
      </c>
      <c r="D973">
        <f>ROW(EtalonRes!A924)</f>
        <v>924</v>
      </c>
      <c r="E973" t="s">
        <v>874</v>
      </c>
      <c r="F973" t="s">
        <v>868</v>
      </c>
      <c r="G973" t="s">
        <v>869</v>
      </c>
      <c r="H973" t="s">
        <v>104</v>
      </c>
      <c r="I973">
        <f>ROUND((50+1500)*0.1/100,9)</f>
        <v>1.55</v>
      </c>
      <c r="J973">
        <v>0</v>
      </c>
      <c r="K973">
        <f>ROUND((50+1500)*0.1/100,9)</f>
        <v>1.55</v>
      </c>
      <c r="O973">
        <f>ROUND(CP973,2)</f>
        <v>769.98</v>
      </c>
      <c r="P973">
        <f>ROUND(CQ973*I973,2)</f>
        <v>0</v>
      </c>
      <c r="Q973">
        <f>ROUND(CR973*I973,2)</f>
        <v>0</v>
      </c>
      <c r="R973">
        <f>ROUND(CS973*I973,2)</f>
        <v>0</v>
      </c>
      <c r="S973">
        <f>ROUND(CT973*I973,2)</f>
        <v>769.98</v>
      </c>
      <c r="T973">
        <f>ROUND(CU973*I973,2)</f>
        <v>0</v>
      </c>
      <c r="U973">
        <f>CV973*I973</f>
        <v>1.085</v>
      </c>
      <c r="V973">
        <f>CW973*I973</f>
        <v>0</v>
      </c>
      <c r="W973">
        <f>ROUND(CX973*I973,2)</f>
        <v>0</v>
      </c>
      <c r="X973">
        <f>ROUND(CY973,2)</f>
        <v>538.99</v>
      </c>
      <c r="Y973">
        <f>ROUND(CZ973,2)</f>
        <v>77</v>
      </c>
      <c r="AA973">
        <v>1472506909</v>
      </c>
      <c r="AB973">
        <f>ROUND((AC973+AD973+AF973),6)</f>
        <v>496.76</v>
      </c>
      <c r="AC973">
        <f>ROUND((ES973),6)</f>
        <v>0</v>
      </c>
      <c r="AD973">
        <f>ROUND((((ET973)-(EU973))+AE973),6)</f>
        <v>0</v>
      </c>
      <c r="AE973">
        <f>ROUND((EU973),6)</f>
        <v>0</v>
      </c>
      <c r="AF973">
        <f>ROUND((EV973),6)</f>
        <v>496.76</v>
      </c>
      <c r="AG973">
        <f>ROUND((AP973),6)</f>
        <v>0</v>
      </c>
      <c r="AH973">
        <f>(EW973)</f>
        <v>0.7</v>
      </c>
      <c r="AI973">
        <f>(EX973)</f>
        <v>0</v>
      </c>
      <c r="AJ973">
        <f>(AS973)</f>
        <v>0</v>
      </c>
      <c r="AK973">
        <v>496.76</v>
      </c>
      <c r="AL973">
        <v>0</v>
      </c>
      <c r="AM973">
        <v>0</v>
      </c>
      <c r="AN973">
        <v>0</v>
      </c>
      <c r="AO973">
        <v>496.76</v>
      </c>
      <c r="AP973">
        <v>0</v>
      </c>
      <c r="AQ973">
        <v>0.7</v>
      </c>
      <c r="AR973">
        <v>0</v>
      </c>
      <c r="AS973">
        <v>0</v>
      </c>
      <c r="AT973">
        <v>70</v>
      </c>
      <c r="AU973">
        <v>10</v>
      </c>
      <c r="AV973">
        <v>1</v>
      </c>
      <c r="AW973">
        <v>1</v>
      </c>
      <c r="AZ973">
        <v>1</v>
      </c>
      <c r="BA973">
        <v>1</v>
      </c>
      <c r="BB973">
        <v>1</v>
      </c>
      <c r="BC973">
        <v>1</v>
      </c>
      <c r="BD973" t="s">
        <v>3</v>
      </c>
      <c r="BE973" t="s">
        <v>3</v>
      </c>
      <c r="BF973" t="s">
        <v>3</v>
      </c>
      <c r="BG973" t="s">
        <v>3</v>
      </c>
      <c r="BH973">
        <v>0</v>
      </c>
      <c r="BI973">
        <v>4</v>
      </c>
      <c r="BJ973" t="s">
        <v>870</v>
      </c>
      <c r="BM973">
        <v>0</v>
      </c>
      <c r="BN973">
        <v>0</v>
      </c>
      <c r="BO973" t="s">
        <v>3</v>
      </c>
      <c r="BP973">
        <v>0</v>
      </c>
      <c r="BQ973">
        <v>1</v>
      </c>
      <c r="BR973">
        <v>0</v>
      </c>
      <c r="BS973">
        <v>1</v>
      </c>
      <c r="BT973">
        <v>1</v>
      </c>
      <c r="BU973">
        <v>1</v>
      </c>
      <c r="BV973">
        <v>1</v>
      </c>
      <c r="BW973">
        <v>1</v>
      </c>
      <c r="BX973">
        <v>1</v>
      </c>
      <c r="BY973" t="s">
        <v>3</v>
      </c>
      <c r="BZ973">
        <v>70</v>
      </c>
      <c r="CA973">
        <v>10</v>
      </c>
      <c r="CB973" t="s">
        <v>3</v>
      </c>
      <c r="CE973">
        <v>0</v>
      </c>
      <c r="CF973">
        <v>0</v>
      </c>
      <c r="CG973">
        <v>0</v>
      </c>
      <c r="CM973">
        <v>0</v>
      </c>
      <c r="CN973" t="s">
        <v>3</v>
      </c>
      <c r="CO973">
        <v>0</v>
      </c>
      <c r="CP973">
        <f>(P973+Q973+S973)</f>
        <v>769.98</v>
      </c>
      <c r="CQ973">
        <f>(AC973*BC973*AW973)</f>
        <v>0</v>
      </c>
      <c r="CR973">
        <f>((((ET973)*BB973-(EU973)*BS973)+AE973*BS973)*AV973)</f>
        <v>0</v>
      </c>
      <c r="CS973">
        <f>(AE973*BS973*AV973)</f>
        <v>0</v>
      </c>
      <c r="CT973">
        <f>(AF973*BA973*AV973)</f>
        <v>496.76</v>
      </c>
      <c r="CU973">
        <f>AG973</f>
        <v>0</v>
      </c>
      <c r="CV973">
        <f>(AH973*AV973)</f>
        <v>0.7</v>
      </c>
      <c r="CW973">
        <f>AI973</f>
        <v>0</v>
      </c>
      <c r="CX973">
        <f>AJ973</f>
        <v>0</v>
      </c>
      <c r="CY973">
        <f>((S973*BZ973)/100)</f>
        <v>538.98599999999999</v>
      </c>
      <c r="CZ973">
        <f>((S973*CA973)/100)</f>
        <v>76.998000000000005</v>
      </c>
      <c r="DC973" t="s">
        <v>3</v>
      </c>
      <c r="DD973" t="s">
        <v>3</v>
      </c>
      <c r="DE973" t="s">
        <v>3</v>
      </c>
      <c r="DF973" t="s">
        <v>3</v>
      </c>
      <c r="DG973" t="s">
        <v>3</v>
      </c>
      <c r="DH973" t="s">
        <v>3</v>
      </c>
      <c r="DI973" t="s">
        <v>3</v>
      </c>
      <c r="DJ973" t="s">
        <v>3</v>
      </c>
      <c r="DK973" t="s">
        <v>3</v>
      </c>
      <c r="DL973" t="s">
        <v>3</v>
      </c>
      <c r="DM973" t="s">
        <v>3</v>
      </c>
      <c r="DN973">
        <v>0</v>
      </c>
      <c r="DO973">
        <v>0</v>
      </c>
      <c r="DP973">
        <v>1</v>
      </c>
      <c r="DQ973">
        <v>1</v>
      </c>
      <c r="DU973">
        <v>1003</v>
      </c>
      <c r="DV973" t="s">
        <v>104</v>
      </c>
      <c r="DW973" t="s">
        <v>104</v>
      </c>
      <c r="DX973">
        <v>100</v>
      </c>
      <c r="DZ973" t="s">
        <v>3</v>
      </c>
      <c r="EA973" t="s">
        <v>3</v>
      </c>
      <c r="EB973" t="s">
        <v>3</v>
      </c>
      <c r="EC973" t="s">
        <v>3</v>
      </c>
      <c r="EE973">
        <v>1441815344</v>
      </c>
      <c r="EF973">
        <v>1</v>
      </c>
      <c r="EG973" t="s">
        <v>22</v>
      </c>
      <c r="EH973">
        <v>0</v>
      </c>
      <c r="EI973" t="s">
        <v>3</v>
      </c>
      <c r="EJ973">
        <v>4</v>
      </c>
      <c r="EK973">
        <v>0</v>
      </c>
      <c r="EL973" t="s">
        <v>23</v>
      </c>
      <c r="EM973" t="s">
        <v>24</v>
      </c>
      <c r="EO973" t="s">
        <v>3</v>
      </c>
      <c r="EQ973">
        <v>0</v>
      </c>
      <c r="ER973">
        <v>496.76</v>
      </c>
      <c r="ES973">
        <v>0</v>
      </c>
      <c r="ET973">
        <v>0</v>
      </c>
      <c r="EU973">
        <v>0</v>
      </c>
      <c r="EV973">
        <v>496.76</v>
      </c>
      <c r="EW973">
        <v>0.7</v>
      </c>
      <c r="EX973">
        <v>0</v>
      </c>
      <c r="EY973">
        <v>0</v>
      </c>
      <c r="FQ973">
        <v>0</v>
      </c>
      <c r="FR973">
        <f>ROUND(IF(BI973=3,GM973,0),2)</f>
        <v>0</v>
      </c>
      <c r="FS973">
        <v>0</v>
      </c>
      <c r="FX973">
        <v>70</v>
      </c>
      <c r="FY973">
        <v>10</v>
      </c>
      <c r="GA973" t="s">
        <v>3</v>
      </c>
      <c r="GD973">
        <v>0</v>
      </c>
      <c r="GF973">
        <v>-1307125436</v>
      </c>
      <c r="GG973">
        <v>2</v>
      </c>
      <c r="GH973">
        <v>1</v>
      </c>
      <c r="GI973">
        <v>-2</v>
      </c>
      <c r="GJ973">
        <v>0</v>
      </c>
      <c r="GK973">
        <f>ROUND(R973*(R12)/100,2)</f>
        <v>0</v>
      </c>
      <c r="GL973">
        <f>ROUND(IF(AND(BH973=3,BI973=3,FS973&lt;&gt;0),P973,0),2)</f>
        <v>0</v>
      </c>
      <c r="GM973">
        <f>ROUND(O973+X973+Y973+GK973,2)+GX973</f>
        <v>1385.97</v>
      </c>
      <c r="GN973">
        <f>IF(OR(BI973=0,BI973=1),GM973-GX973,0)</f>
        <v>0</v>
      </c>
      <c r="GO973">
        <f>IF(BI973=2,GM973-GX973,0)</f>
        <v>0</v>
      </c>
      <c r="GP973">
        <f>IF(BI973=4,GM973-GX973,0)</f>
        <v>1385.97</v>
      </c>
      <c r="GR973">
        <v>0</v>
      </c>
      <c r="GS973">
        <v>3</v>
      </c>
      <c r="GT973">
        <v>0</v>
      </c>
      <c r="GU973" t="s">
        <v>3</v>
      </c>
      <c r="GV973">
        <f>ROUND((GT973),6)</f>
        <v>0</v>
      </c>
      <c r="GW973">
        <v>1</v>
      </c>
      <c r="GX973">
        <f>ROUND(HC973*I973,2)</f>
        <v>0</v>
      </c>
      <c r="HA973">
        <v>0</v>
      </c>
      <c r="HB973">
        <v>0</v>
      </c>
      <c r="HC973">
        <f>GV973*GW973</f>
        <v>0</v>
      </c>
      <c r="HE973" t="s">
        <v>3</v>
      </c>
      <c r="HF973" t="s">
        <v>3</v>
      </c>
      <c r="HM973" t="s">
        <v>3</v>
      </c>
      <c r="HN973" t="s">
        <v>3</v>
      </c>
      <c r="HO973" t="s">
        <v>3</v>
      </c>
      <c r="HP973" t="s">
        <v>3</v>
      </c>
      <c r="HQ973" t="s">
        <v>3</v>
      </c>
      <c r="IK973">
        <v>0</v>
      </c>
    </row>
    <row r="975" spans="1:245" x14ac:dyDescent="0.2">
      <c r="A975" s="2">
        <v>51</v>
      </c>
      <c r="B975" s="2">
        <f>B957</f>
        <v>1</v>
      </c>
      <c r="C975" s="2">
        <f>A957</f>
        <v>4</v>
      </c>
      <c r="D975" s="2">
        <f>ROW(A957)</f>
        <v>957</v>
      </c>
      <c r="E975" s="2"/>
      <c r="F975" s="2" t="str">
        <f>IF(F957&lt;&gt;"",F957,"")</f>
        <v>Новый раздел</v>
      </c>
      <c r="G975" s="2" t="str">
        <f>IF(G957&lt;&gt;"",G957,"")</f>
        <v>5. Автоматизация и диспетчеризация инженерных систем.</v>
      </c>
      <c r="H975" s="2">
        <v>0</v>
      </c>
      <c r="I975" s="2"/>
      <c r="J975" s="2"/>
      <c r="K975" s="2"/>
      <c r="L975" s="2"/>
      <c r="M975" s="2"/>
      <c r="N975" s="2"/>
      <c r="O975" s="2">
        <f t="shared" ref="O975:T975" si="958">ROUND(AB975,2)</f>
        <v>80953.37</v>
      </c>
      <c r="P975" s="2">
        <f t="shared" si="958"/>
        <v>217.39</v>
      </c>
      <c r="Q975" s="2">
        <f t="shared" si="958"/>
        <v>45.61</v>
      </c>
      <c r="R975" s="2">
        <f t="shared" si="958"/>
        <v>28.92</v>
      </c>
      <c r="S975" s="2">
        <f t="shared" si="958"/>
        <v>80690.37</v>
      </c>
      <c r="T975" s="2">
        <f t="shared" si="958"/>
        <v>0</v>
      </c>
      <c r="U975" s="2">
        <f>AH975</f>
        <v>114.004</v>
      </c>
      <c r="V975" s="2">
        <f>AI975</f>
        <v>0</v>
      </c>
      <c r="W975" s="2">
        <f>ROUND(AJ975,2)</f>
        <v>0</v>
      </c>
      <c r="X975" s="2">
        <f>ROUND(AK975,2)</f>
        <v>56483.27</v>
      </c>
      <c r="Y975" s="2">
        <f>ROUND(AL975,2)</f>
        <v>8069.05</v>
      </c>
      <c r="Z975" s="2"/>
      <c r="AA975" s="2"/>
      <c r="AB975" s="2">
        <f>ROUND(SUMIF(AA961:AA973,"=1472506909",O961:O973),2)</f>
        <v>80953.37</v>
      </c>
      <c r="AC975" s="2">
        <f>ROUND(SUMIF(AA961:AA973,"=1472506909",P961:P973),2)</f>
        <v>217.39</v>
      </c>
      <c r="AD975" s="2">
        <f>ROUND(SUMIF(AA961:AA973,"=1472506909",Q961:Q973),2)</f>
        <v>45.61</v>
      </c>
      <c r="AE975" s="2">
        <f>ROUND(SUMIF(AA961:AA973,"=1472506909",R961:R973),2)</f>
        <v>28.92</v>
      </c>
      <c r="AF975" s="2">
        <f>ROUND(SUMIF(AA961:AA973,"=1472506909",S961:S973),2)</f>
        <v>80690.37</v>
      </c>
      <c r="AG975" s="2">
        <f>ROUND(SUMIF(AA961:AA973,"=1472506909",T961:T973),2)</f>
        <v>0</v>
      </c>
      <c r="AH975" s="2">
        <f>SUMIF(AA961:AA973,"=1472506909",U961:U973)</f>
        <v>114.004</v>
      </c>
      <c r="AI975" s="2">
        <f>SUMIF(AA961:AA973,"=1472506909",V961:V973)</f>
        <v>0</v>
      </c>
      <c r="AJ975" s="2">
        <f>ROUND(SUMIF(AA961:AA973,"=1472506909",W961:W973),2)</f>
        <v>0</v>
      </c>
      <c r="AK975" s="2">
        <f>ROUND(SUMIF(AA961:AA973,"=1472506909",X961:X973),2)</f>
        <v>56483.27</v>
      </c>
      <c r="AL975" s="2">
        <f>ROUND(SUMIF(AA961:AA973,"=1472506909",Y961:Y973),2)</f>
        <v>8069.05</v>
      </c>
      <c r="AM975" s="2"/>
      <c r="AN975" s="2"/>
      <c r="AO975" s="2">
        <f t="shared" ref="AO975:BD975" si="959">ROUND(BX975,2)</f>
        <v>0</v>
      </c>
      <c r="AP975" s="2">
        <f t="shared" si="959"/>
        <v>0</v>
      </c>
      <c r="AQ975" s="2">
        <f t="shared" si="959"/>
        <v>0</v>
      </c>
      <c r="AR975" s="2">
        <f t="shared" si="959"/>
        <v>145536.92000000001</v>
      </c>
      <c r="AS975" s="2">
        <f t="shared" si="959"/>
        <v>0</v>
      </c>
      <c r="AT975" s="2">
        <f t="shared" si="959"/>
        <v>0</v>
      </c>
      <c r="AU975" s="2">
        <f t="shared" si="959"/>
        <v>145536.92000000001</v>
      </c>
      <c r="AV975" s="2">
        <f t="shared" si="959"/>
        <v>217.39</v>
      </c>
      <c r="AW975" s="2">
        <f t="shared" si="959"/>
        <v>217.39</v>
      </c>
      <c r="AX975" s="2">
        <f t="shared" si="959"/>
        <v>0</v>
      </c>
      <c r="AY975" s="2">
        <f t="shared" si="959"/>
        <v>217.39</v>
      </c>
      <c r="AZ975" s="2">
        <f t="shared" si="959"/>
        <v>0</v>
      </c>
      <c r="BA975" s="2">
        <f t="shared" si="959"/>
        <v>0</v>
      </c>
      <c r="BB975" s="2">
        <f t="shared" si="959"/>
        <v>0</v>
      </c>
      <c r="BC975" s="2">
        <f t="shared" si="959"/>
        <v>0</v>
      </c>
      <c r="BD975" s="2">
        <f t="shared" si="959"/>
        <v>0</v>
      </c>
      <c r="BE975" s="2"/>
      <c r="BF975" s="2"/>
      <c r="BG975" s="2"/>
      <c r="BH975" s="2"/>
      <c r="BI975" s="2"/>
      <c r="BJ975" s="2"/>
      <c r="BK975" s="2"/>
      <c r="BL975" s="2"/>
      <c r="BM975" s="2"/>
      <c r="BN975" s="2"/>
      <c r="BO975" s="2"/>
      <c r="BP975" s="2"/>
      <c r="BQ975" s="2"/>
      <c r="BR975" s="2"/>
      <c r="BS975" s="2"/>
      <c r="BT975" s="2"/>
      <c r="BU975" s="2"/>
      <c r="BV975" s="2"/>
      <c r="BW975" s="2"/>
      <c r="BX975" s="2">
        <f>ROUND(SUMIF(AA961:AA973,"=1472506909",FQ961:FQ973),2)</f>
        <v>0</v>
      </c>
      <c r="BY975" s="2">
        <f>ROUND(SUMIF(AA961:AA973,"=1472506909",FR961:FR973),2)</f>
        <v>0</v>
      </c>
      <c r="BZ975" s="2">
        <f>ROUND(SUMIF(AA961:AA973,"=1472506909",GL961:GL973),2)</f>
        <v>0</v>
      </c>
      <c r="CA975" s="2">
        <f>ROUND(SUMIF(AA961:AA973,"=1472506909",GM961:GM973),2)</f>
        <v>145536.92000000001</v>
      </c>
      <c r="CB975" s="2">
        <f>ROUND(SUMIF(AA961:AA973,"=1472506909",GN961:GN973),2)</f>
        <v>0</v>
      </c>
      <c r="CC975" s="2">
        <f>ROUND(SUMIF(AA961:AA973,"=1472506909",GO961:GO973),2)</f>
        <v>0</v>
      </c>
      <c r="CD975" s="2">
        <f>ROUND(SUMIF(AA961:AA973,"=1472506909",GP961:GP973),2)</f>
        <v>145536.92000000001</v>
      </c>
      <c r="CE975" s="2">
        <f>AC975-BX975</f>
        <v>217.39</v>
      </c>
      <c r="CF975" s="2">
        <f>AC975-BY975</f>
        <v>217.39</v>
      </c>
      <c r="CG975" s="2">
        <f>BX975-BZ975</f>
        <v>0</v>
      </c>
      <c r="CH975" s="2">
        <f>AC975-BX975-BY975+BZ975</f>
        <v>217.39</v>
      </c>
      <c r="CI975" s="2">
        <f>BY975-BZ975</f>
        <v>0</v>
      </c>
      <c r="CJ975" s="2">
        <f>ROUND(SUMIF(AA961:AA973,"=1472506909",GX961:GX973),2)</f>
        <v>0</v>
      </c>
      <c r="CK975" s="2">
        <f>ROUND(SUMIF(AA961:AA973,"=1472506909",GY961:GY973),2)</f>
        <v>0</v>
      </c>
      <c r="CL975" s="2">
        <f>ROUND(SUMIF(AA961:AA973,"=1472506909",GZ961:GZ973),2)</f>
        <v>0</v>
      </c>
      <c r="CM975" s="2">
        <f>ROUND(SUMIF(AA961:AA973,"=1472506909",HD961:HD973),2)</f>
        <v>0</v>
      </c>
      <c r="CN975" s="2"/>
      <c r="CO975" s="2"/>
      <c r="CP975" s="2"/>
      <c r="CQ975" s="2"/>
      <c r="CR975" s="2"/>
      <c r="CS975" s="2"/>
      <c r="CT975" s="2"/>
      <c r="CU975" s="2"/>
      <c r="CV975" s="2"/>
      <c r="CW975" s="2"/>
      <c r="CX975" s="2"/>
      <c r="CY975" s="2"/>
      <c r="CZ975" s="2"/>
      <c r="DA975" s="2"/>
      <c r="DB975" s="2"/>
      <c r="DC975" s="2"/>
      <c r="DD975" s="2"/>
      <c r="DE975" s="2"/>
      <c r="DF975" s="2"/>
      <c r="DG975" s="3"/>
      <c r="DH975" s="3"/>
      <c r="DI975" s="3"/>
      <c r="DJ975" s="3"/>
      <c r="DK975" s="3"/>
      <c r="DL975" s="3"/>
      <c r="DM975" s="3"/>
      <c r="DN975" s="3"/>
      <c r="DO975" s="3"/>
      <c r="DP975" s="3"/>
      <c r="DQ975" s="3"/>
      <c r="DR975" s="3"/>
      <c r="DS975" s="3"/>
      <c r="DT975" s="3"/>
      <c r="DU975" s="3"/>
      <c r="DV975" s="3"/>
      <c r="DW975" s="3"/>
      <c r="DX975" s="3"/>
      <c r="DY975" s="3"/>
      <c r="DZ975" s="3"/>
      <c r="EA975" s="3"/>
      <c r="EB975" s="3"/>
      <c r="EC975" s="3"/>
      <c r="ED975" s="3"/>
      <c r="EE975" s="3"/>
      <c r="EF975" s="3"/>
      <c r="EG975" s="3"/>
      <c r="EH975" s="3"/>
      <c r="EI975" s="3"/>
      <c r="EJ975" s="3"/>
      <c r="EK975" s="3"/>
      <c r="EL975" s="3"/>
      <c r="EM975" s="3"/>
      <c r="EN975" s="3"/>
      <c r="EO975" s="3"/>
      <c r="EP975" s="3"/>
      <c r="EQ975" s="3"/>
      <c r="ER975" s="3"/>
      <c r="ES975" s="3"/>
      <c r="ET975" s="3"/>
      <c r="EU975" s="3"/>
      <c r="EV975" s="3"/>
      <c r="EW975" s="3"/>
      <c r="EX975" s="3"/>
      <c r="EY975" s="3"/>
      <c r="EZ975" s="3"/>
      <c r="FA975" s="3"/>
      <c r="FB975" s="3"/>
      <c r="FC975" s="3"/>
      <c r="FD975" s="3"/>
      <c r="FE975" s="3"/>
      <c r="FF975" s="3"/>
      <c r="FG975" s="3"/>
      <c r="FH975" s="3"/>
      <c r="FI975" s="3"/>
      <c r="FJ975" s="3"/>
      <c r="FK975" s="3"/>
      <c r="FL975" s="3"/>
      <c r="FM975" s="3"/>
      <c r="FN975" s="3"/>
      <c r="FO975" s="3"/>
      <c r="FP975" s="3"/>
      <c r="FQ975" s="3"/>
      <c r="FR975" s="3"/>
      <c r="FS975" s="3"/>
      <c r="FT975" s="3"/>
      <c r="FU975" s="3"/>
      <c r="FV975" s="3"/>
      <c r="FW975" s="3"/>
      <c r="FX975" s="3"/>
      <c r="FY975" s="3"/>
      <c r="FZ975" s="3"/>
      <c r="GA975" s="3"/>
      <c r="GB975" s="3"/>
      <c r="GC975" s="3"/>
      <c r="GD975" s="3"/>
      <c r="GE975" s="3"/>
      <c r="GF975" s="3"/>
      <c r="GG975" s="3"/>
      <c r="GH975" s="3"/>
      <c r="GI975" s="3"/>
      <c r="GJ975" s="3"/>
      <c r="GK975" s="3"/>
      <c r="GL975" s="3"/>
      <c r="GM975" s="3"/>
      <c r="GN975" s="3"/>
      <c r="GO975" s="3"/>
      <c r="GP975" s="3"/>
      <c r="GQ975" s="3"/>
      <c r="GR975" s="3"/>
      <c r="GS975" s="3"/>
      <c r="GT975" s="3"/>
      <c r="GU975" s="3"/>
      <c r="GV975" s="3"/>
      <c r="GW975" s="3"/>
      <c r="GX975" s="3">
        <v>0</v>
      </c>
    </row>
    <row r="977" spans="1:28" x14ac:dyDescent="0.2">
      <c r="A977" s="4">
        <v>50</v>
      </c>
      <c r="B977" s="4">
        <v>0</v>
      </c>
      <c r="C977" s="4">
        <v>0</v>
      </c>
      <c r="D977" s="4">
        <v>1</v>
      </c>
      <c r="E977" s="4">
        <v>201</v>
      </c>
      <c r="F977" s="4">
        <f>ROUND(Source!O975,O977)</f>
        <v>80953.37</v>
      </c>
      <c r="G977" s="4" t="s">
        <v>36</v>
      </c>
      <c r="H977" s="4" t="s">
        <v>37</v>
      </c>
      <c r="I977" s="4"/>
      <c r="J977" s="4"/>
      <c r="K977" s="4">
        <v>201</v>
      </c>
      <c r="L977" s="4">
        <v>1</v>
      </c>
      <c r="M977" s="4">
        <v>3</v>
      </c>
      <c r="N977" s="4" t="s">
        <v>3</v>
      </c>
      <c r="O977" s="4">
        <v>2</v>
      </c>
      <c r="P977" s="4"/>
      <c r="Q977" s="4"/>
      <c r="R977" s="4"/>
      <c r="S977" s="4"/>
      <c r="T977" s="4"/>
      <c r="U977" s="4"/>
      <c r="V977" s="4"/>
      <c r="W977" s="4">
        <v>80953.37</v>
      </c>
      <c r="X977" s="4">
        <v>1</v>
      </c>
      <c r="Y977" s="4">
        <v>80953.37</v>
      </c>
      <c r="Z977" s="4"/>
      <c r="AA977" s="4"/>
      <c r="AB977" s="4"/>
    </row>
    <row r="978" spans="1:28" x14ac:dyDescent="0.2">
      <c r="A978" s="4">
        <v>50</v>
      </c>
      <c r="B978" s="4">
        <v>0</v>
      </c>
      <c r="C978" s="4">
        <v>0</v>
      </c>
      <c r="D978" s="4">
        <v>1</v>
      </c>
      <c r="E978" s="4">
        <v>202</v>
      </c>
      <c r="F978" s="4">
        <f>ROUND(Source!P975,O978)</f>
        <v>217.39</v>
      </c>
      <c r="G978" s="4" t="s">
        <v>38</v>
      </c>
      <c r="H978" s="4" t="s">
        <v>39</v>
      </c>
      <c r="I978" s="4"/>
      <c r="J978" s="4"/>
      <c r="K978" s="4">
        <v>202</v>
      </c>
      <c r="L978" s="4">
        <v>2</v>
      </c>
      <c r="M978" s="4">
        <v>3</v>
      </c>
      <c r="N978" s="4" t="s">
        <v>3</v>
      </c>
      <c r="O978" s="4">
        <v>2</v>
      </c>
      <c r="P978" s="4"/>
      <c r="Q978" s="4"/>
      <c r="R978" s="4"/>
      <c r="S978" s="4"/>
      <c r="T978" s="4"/>
      <c r="U978" s="4"/>
      <c r="V978" s="4"/>
      <c r="W978" s="4">
        <v>217.39</v>
      </c>
      <c r="X978" s="4">
        <v>1</v>
      </c>
      <c r="Y978" s="4">
        <v>217.39</v>
      </c>
      <c r="Z978" s="4"/>
      <c r="AA978" s="4"/>
      <c r="AB978" s="4"/>
    </row>
    <row r="979" spans="1:28" x14ac:dyDescent="0.2">
      <c r="A979" s="4">
        <v>50</v>
      </c>
      <c r="B979" s="4">
        <v>0</v>
      </c>
      <c r="C979" s="4">
        <v>0</v>
      </c>
      <c r="D979" s="4">
        <v>1</v>
      </c>
      <c r="E979" s="4">
        <v>222</v>
      </c>
      <c r="F979" s="4">
        <f>ROUND(Source!AO975,O979)</f>
        <v>0</v>
      </c>
      <c r="G979" s="4" t="s">
        <v>40</v>
      </c>
      <c r="H979" s="4" t="s">
        <v>41</v>
      </c>
      <c r="I979" s="4"/>
      <c r="J979" s="4"/>
      <c r="K979" s="4">
        <v>222</v>
      </c>
      <c r="L979" s="4">
        <v>3</v>
      </c>
      <c r="M979" s="4">
        <v>3</v>
      </c>
      <c r="N979" s="4" t="s">
        <v>3</v>
      </c>
      <c r="O979" s="4">
        <v>2</v>
      </c>
      <c r="P979" s="4"/>
      <c r="Q979" s="4"/>
      <c r="R979" s="4"/>
      <c r="S979" s="4"/>
      <c r="T979" s="4"/>
      <c r="U979" s="4"/>
      <c r="V979" s="4"/>
      <c r="W979" s="4">
        <v>0</v>
      </c>
      <c r="X979" s="4">
        <v>1</v>
      </c>
      <c r="Y979" s="4">
        <v>0</v>
      </c>
      <c r="Z979" s="4"/>
      <c r="AA979" s="4"/>
      <c r="AB979" s="4"/>
    </row>
    <row r="980" spans="1:28" x14ac:dyDescent="0.2">
      <c r="A980" s="4">
        <v>50</v>
      </c>
      <c r="B980" s="4">
        <v>0</v>
      </c>
      <c r="C980" s="4">
        <v>0</v>
      </c>
      <c r="D980" s="4">
        <v>1</v>
      </c>
      <c r="E980" s="4">
        <v>225</v>
      </c>
      <c r="F980" s="4">
        <f>ROUND(Source!AV975,O980)</f>
        <v>217.39</v>
      </c>
      <c r="G980" s="4" t="s">
        <v>42</v>
      </c>
      <c r="H980" s="4" t="s">
        <v>43</v>
      </c>
      <c r="I980" s="4"/>
      <c r="J980" s="4"/>
      <c r="K980" s="4">
        <v>225</v>
      </c>
      <c r="L980" s="4">
        <v>4</v>
      </c>
      <c r="M980" s="4">
        <v>3</v>
      </c>
      <c r="N980" s="4" t="s">
        <v>3</v>
      </c>
      <c r="O980" s="4">
        <v>2</v>
      </c>
      <c r="P980" s="4"/>
      <c r="Q980" s="4"/>
      <c r="R980" s="4"/>
      <c r="S980" s="4"/>
      <c r="T980" s="4"/>
      <c r="U980" s="4"/>
      <c r="V980" s="4"/>
      <c r="W980" s="4">
        <v>217.39</v>
      </c>
      <c r="X980" s="4">
        <v>1</v>
      </c>
      <c r="Y980" s="4">
        <v>217.39</v>
      </c>
      <c r="Z980" s="4"/>
      <c r="AA980" s="4"/>
      <c r="AB980" s="4"/>
    </row>
    <row r="981" spans="1:28" x14ac:dyDescent="0.2">
      <c r="A981" s="4">
        <v>50</v>
      </c>
      <c r="B981" s="4">
        <v>0</v>
      </c>
      <c r="C981" s="4">
        <v>0</v>
      </c>
      <c r="D981" s="4">
        <v>1</v>
      </c>
      <c r="E981" s="4">
        <v>226</v>
      </c>
      <c r="F981" s="4">
        <f>ROUND(Source!AW975,O981)</f>
        <v>217.39</v>
      </c>
      <c r="G981" s="4" t="s">
        <v>44</v>
      </c>
      <c r="H981" s="4" t="s">
        <v>45</v>
      </c>
      <c r="I981" s="4"/>
      <c r="J981" s="4"/>
      <c r="K981" s="4">
        <v>226</v>
      </c>
      <c r="L981" s="4">
        <v>5</v>
      </c>
      <c r="M981" s="4">
        <v>3</v>
      </c>
      <c r="N981" s="4" t="s">
        <v>3</v>
      </c>
      <c r="O981" s="4">
        <v>2</v>
      </c>
      <c r="P981" s="4"/>
      <c r="Q981" s="4"/>
      <c r="R981" s="4"/>
      <c r="S981" s="4"/>
      <c r="T981" s="4"/>
      <c r="U981" s="4"/>
      <c r="V981" s="4"/>
      <c r="W981" s="4">
        <v>217.39</v>
      </c>
      <c r="X981" s="4">
        <v>1</v>
      </c>
      <c r="Y981" s="4">
        <v>217.39</v>
      </c>
      <c r="Z981" s="4"/>
      <c r="AA981" s="4"/>
      <c r="AB981" s="4"/>
    </row>
    <row r="982" spans="1:28" x14ac:dyDescent="0.2">
      <c r="A982" s="4">
        <v>50</v>
      </c>
      <c r="B982" s="4">
        <v>0</v>
      </c>
      <c r="C982" s="4">
        <v>0</v>
      </c>
      <c r="D982" s="4">
        <v>1</v>
      </c>
      <c r="E982" s="4">
        <v>227</v>
      </c>
      <c r="F982" s="4">
        <f>ROUND(Source!AX975,O982)</f>
        <v>0</v>
      </c>
      <c r="G982" s="4" t="s">
        <v>46</v>
      </c>
      <c r="H982" s="4" t="s">
        <v>47</v>
      </c>
      <c r="I982" s="4"/>
      <c r="J982" s="4"/>
      <c r="K982" s="4">
        <v>227</v>
      </c>
      <c r="L982" s="4">
        <v>6</v>
      </c>
      <c r="M982" s="4">
        <v>3</v>
      </c>
      <c r="N982" s="4" t="s">
        <v>3</v>
      </c>
      <c r="O982" s="4">
        <v>2</v>
      </c>
      <c r="P982" s="4"/>
      <c r="Q982" s="4"/>
      <c r="R982" s="4"/>
      <c r="S982" s="4"/>
      <c r="T982" s="4"/>
      <c r="U982" s="4"/>
      <c r="V982" s="4"/>
      <c r="W982" s="4">
        <v>0</v>
      </c>
      <c r="X982" s="4">
        <v>1</v>
      </c>
      <c r="Y982" s="4">
        <v>0</v>
      </c>
      <c r="Z982" s="4"/>
      <c r="AA982" s="4"/>
      <c r="AB982" s="4"/>
    </row>
    <row r="983" spans="1:28" x14ac:dyDescent="0.2">
      <c r="A983" s="4">
        <v>50</v>
      </c>
      <c r="B983" s="4">
        <v>0</v>
      </c>
      <c r="C983" s="4">
        <v>0</v>
      </c>
      <c r="D983" s="4">
        <v>1</v>
      </c>
      <c r="E983" s="4">
        <v>228</v>
      </c>
      <c r="F983" s="4">
        <f>ROUND(Source!AY975,O983)</f>
        <v>217.39</v>
      </c>
      <c r="G983" s="4" t="s">
        <v>48</v>
      </c>
      <c r="H983" s="4" t="s">
        <v>49</v>
      </c>
      <c r="I983" s="4"/>
      <c r="J983" s="4"/>
      <c r="K983" s="4">
        <v>228</v>
      </c>
      <c r="L983" s="4">
        <v>7</v>
      </c>
      <c r="M983" s="4">
        <v>3</v>
      </c>
      <c r="N983" s="4" t="s">
        <v>3</v>
      </c>
      <c r="O983" s="4">
        <v>2</v>
      </c>
      <c r="P983" s="4"/>
      <c r="Q983" s="4"/>
      <c r="R983" s="4"/>
      <c r="S983" s="4"/>
      <c r="T983" s="4"/>
      <c r="U983" s="4"/>
      <c r="V983" s="4"/>
      <c r="W983" s="4">
        <v>217.39</v>
      </c>
      <c r="X983" s="4">
        <v>1</v>
      </c>
      <c r="Y983" s="4">
        <v>217.39</v>
      </c>
      <c r="Z983" s="4"/>
      <c r="AA983" s="4"/>
      <c r="AB983" s="4"/>
    </row>
    <row r="984" spans="1:28" x14ac:dyDescent="0.2">
      <c r="A984" s="4">
        <v>50</v>
      </c>
      <c r="B984" s="4">
        <v>0</v>
      </c>
      <c r="C984" s="4">
        <v>0</v>
      </c>
      <c r="D984" s="4">
        <v>1</v>
      </c>
      <c r="E984" s="4">
        <v>216</v>
      </c>
      <c r="F984" s="4">
        <f>ROUND(Source!AP975,O984)</f>
        <v>0</v>
      </c>
      <c r="G984" s="4" t="s">
        <v>50</v>
      </c>
      <c r="H984" s="4" t="s">
        <v>51</v>
      </c>
      <c r="I984" s="4"/>
      <c r="J984" s="4"/>
      <c r="K984" s="4">
        <v>216</v>
      </c>
      <c r="L984" s="4">
        <v>8</v>
      </c>
      <c r="M984" s="4">
        <v>3</v>
      </c>
      <c r="N984" s="4" t="s">
        <v>3</v>
      </c>
      <c r="O984" s="4">
        <v>2</v>
      </c>
      <c r="P984" s="4"/>
      <c r="Q984" s="4"/>
      <c r="R984" s="4"/>
      <c r="S984" s="4"/>
      <c r="T984" s="4"/>
      <c r="U984" s="4"/>
      <c r="V984" s="4"/>
      <c r="W984" s="4">
        <v>0</v>
      </c>
      <c r="X984" s="4">
        <v>1</v>
      </c>
      <c r="Y984" s="4">
        <v>0</v>
      </c>
      <c r="Z984" s="4"/>
      <c r="AA984" s="4"/>
      <c r="AB984" s="4"/>
    </row>
    <row r="985" spans="1:28" x14ac:dyDescent="0.2">
      <c r="A985" s="4">
        <v>50</v>
      </c>
      <c r="B985" s="4">
        <v>0</v>
      </c>
      <c r="C985" s="4">
        <v>0</v>
      </c>
      <c r="D985" s="4">
        <v>1</v>
      </c>
      <c r="E985" s="4">
        <v>223</v>
      </c>
      <c r="F985" s="4">
        <f>ROUND(Source!AQ975,O985)</f>
        <v>0</v>
      </c>
      <c r="G985" s="4" t="s">
        <v>52</v>
      </c>
      <c r="H985" s="4" t="s">
        <v>53</v>
      </c>
      <c r="I985" s="4"/>
      <c r="J985" s="4"/>
      <c r="K985" s="4">
        <v>223</v>
      </c>
      <c r="L985" s="4">
        <v>9</v>
      </c>
      <c r="M985" s="4">
        <v>3</v>
      </c>
      <c r="N985" s="4" t="s">
        <v>3</v>
      </c>
      <c r="O985" s="4">
        <v>2</v>
      </c>
      <c r="P985" s="4"/>
      <c r="Q985" s="4"/>
      <c r="R985" s="4"/>
      <c r="S985" s="4"/>
      <c r="T985" s="4"/>
      <c r="U985" s="4"/>
      <c r="V985" s="4"/>
      <c r="W985" s="4">
        <v>0</v>
      </c>
      <c r="X985" s="4">
        <v>1</v>
      </c>
      <c r="Y985" s="4">
        <v>0</v>
      </c>
      <c r="Z985" s="4"/>
      <c r="AA985" s="4"/>
      <c r="AB985" s="4"/>
    </row>
    <row r="986" spans="1:28" x14ac:dyDescent="0.2">
      <c r="A986" s="4">
        <v>50</v>
      </c>
      <c r="B986" s="4">
        <v>0</v>
      </c>
      <c r="C986" s="4">
        <v>0</v>
      </c>
      <c r="D986" s="4">
        <v>1</v>
      </c>
      <c r="E986" s="4">
        <v>229</v>
      </c>
      <c r="F986" s="4">
        <f>ROUND(Source!AZ975,O986)</f>
        <v>0</v>
      </c>
      <c r="G986" s="4" t="s">
        <v>54</v>
      </c>
      <c r="H986" s="4" t="s">
        <v>55</v>
      </c>
      <c r="I986" s="4"/>
      <c r="J986" s="4"/>
      <c r="K986" s="4">
        <v>229</v>
      </c>
      <c r="L986" s="4">
        <v>10</v>
      </c>
      <c r="M986" s="4">
        <v>3</v>
      </c>
      <c r="N986" s="4" t="s">
        <v>3</v>
      </c>
      <c r="O986" s="4">
        <v>2</v>
      </c>
      <c r="P986" s="4"/>
      <c r="Q986" s="4"/>
      <c r="R986" s="4"/>
      <c r="S986" s="4"/>
      <c r="T986" s="4"/>
      <c r="U986" s="4"/>
      <c r="V986" s="4"/>
      <c r="W986" s="4">
        <v>0</v>
      </c>
      <c r="X986" s="4">
        <v>1</v>
      </c>
      <c r="Y986" s="4">
        <v>0</v>
      </c>
      <c r="Z986" s="4"/>
      <c r="AA986" s="4"/>
      <c r="AB986" s="4"/>
    </row>
    <row r="987" spans="1:28" x14ac:dyDescent="0.2">
      <c r="A987" s="4">
        <v>50</v>
      </c>
      <c r="B987" s="4">
        <v>0</v>
      </c>
      <c r="C987" s="4">
        <v>0</v>
      </c>
      <c r="D987" s="4">
        <v>1</v>
      </c>
      <c r="E987" s="4">
        <v>203</v>
      </c>
      <c r="F987" s="4">
        <f>ROUND(Source!Q975,O987)</f>
        <v>45.61</v>
      </c>
      <c r="G987" s="4" t="s">
        <v>56</v>
      </c>
      <c r="H987" s="4" t="s">
        <v>57</v>
      </c>
      <c r="I987" s="4"/>
      <c r="J987" s="4"/>
      <c r="K987" s="4">
        <v>203</v>
      </c>
      <c r="L987" s="4">
        <v>11</v>
      </c>
      <c r="M987" s="4">
        <v>3</v>
      </c>
      <c r="N987" s="4" t="s">
        <v>3</v>
      </c>
      <c r="O987" s="4">
        <v>2</v>
      </c>
      <c r="P987" s="4"/>
      <c r="Q987" s="4"/>
      <c r="R987" s="4"/>
      <c r="S987" s="4"/>
      <c r="T987" s="4"/>
      <c r="U987" s="4"/>
      <c r="V987" s="4"/>
      <c r="W987" s="4">
        <v>45.61</v>
      </c>
      <c r="X987" s="4">
        <v>1</v>
      </c>
      <c r="Y987" s="4">
        <v>45.61</v>
      </c>
      <c r="Z987" s="4"/>
      <c r="AA987" s="4"/>
      <c r="AB987" s="4"/>
    </row>
    <row r="988" spans="1:28" x14ac:dyDescent="0.2">
      <c r="A988" s="4">
        <v>50</v>
      </c>
      <c r="B988" s="4">
        <v>0</v>
      </c>
      <c r="C988" s="4">
        <v>0</v>
      </c>
      <c r="D988" s="4">
        <v>1</v>
      </c>
      <c r="E988" s="4">
        <v>231</v>
      </c>
      <c r="F988" s="4">
        <f>ROUND(Source!BB975,O988)</f>
        <v>0</v>
      </c>
      <c r="G988" s="4" t="s">
        <v>58</v>
      </c>
      <c r="H988" s="4" t="s">
        <v>59</v>
      </c>
      <c r="I988" s="4"/>
      <c r="J988" s="4"/>
      <c r="K988" s="4">
        <v>231</v>
      </c>
      <c r="L988" s="4">
        <v>12</v>
      </c>
      <c r="M988" s="4">
        <v>3</v>
      </c>
      <c r="N988" s="4" t="s">
        <v>3</v>
      </c>
      <c r="O988" s="4">
        <v>2</v>
      </c>
      <c r="P988" s="4"/>
      <c r="Q988" s="4"/>
      <c r="R988" s="4"/>
      <c r="S988" s="4"/>
      <c r="T988" s="4"/>
      <c r="U988" s="4"/>
      <c r="V988" s="4"/>
      <c r="W988" s="4">
        <v>0</v>
      </c>
      <c r="X988" s="4">
        <v>1</v>
      </c>
      <c r="Y988" s="4">
        <v>0</v>
      </c>
      <c r="Z988" s="4"/>
      <c r="AA988" s="4"/>
      <c r="AB988" s="4"/>
    </row>
    <row r="989" spans="1:28" x14ac:dyDescent="0.2">
      <c r="A989" s="4">
        <v>50</v>
      </c>
      <c r="B989" s="4">
        <v>0</v>
      </c>
      <c r="C989" s="4">
        <v>0</v>
      </c>
      <c r="D989" s="4">
        <v>1</v>
      </c>
      <c r="E989" s="4">
        <v>204</v>
      </c>
      <c r="F989" s="4">
        <f>ROUND(Source!R975,O989)</f>
        <v>28.92</v>
      </c>
      <c r="G989" s="4" t="s">
        <v>60</v>
      </c>
      <c r="H989" s="4" t="s">
        <v>61</v>
      </c>
      <c r="I989" s="4"/>
      <c r="J989" s="4"/>
      <c r="K989" s="4">
        <v>204</v>
      </c>
      <c r="L989" s="4">
        <v>13</v>
      </c>
      <c r="M989" s="4">
        <v>3</v>
      </c>
      <c r="N989" s="4" t="s">
        <v>3</v>
      </c>
      <c r="O989" s="4">
        <v>2</v>
      </c>
      <c r="P989" s="4"/>
      <c r="Q989" s="4"/>
      <c r="R989" s="4"/>
      <c r="S989" s="4"/>
      <c r="T989" s="4"/>
      <c r="U989" s="4"/>
      <c r="V989" s="4"/>
      <c r="W989" s="4">
        <v>28.92</v>
      </c>
      <c r="X989" s="4">
        <v>1</v>
      </c>
      <c r="Y989" s="4">
        <v>28.92</v>
      </c>
      <c r="Z989" s="4"/>
      <c r="AA989" s="4"/>
      <c r="AB989" s="4"/>
    </row>
    <row r="990" spans="1:28" x14ac:dyDescent="0.2">
      <c r="A990" s="4">
        <v>50</v>
      </c>
      <c r="B990" s="4">
        <v>0</v>
      </c>
      <c r="C990" s="4">
        <v>0</v>
      </c>
      <c r="D990" s="4">
        <v>1</v>
      </c>
      <c r="E990" s="4">
        <v>205</v>
      </c>
      <c r="F990" s="4">
        <f>ROUND(Source!S975,O990)</f>
        <v>80690.37</v>
      </c>
      <c r="G990" s="4" t="s">
        <v>62</v>
      </c>
      <c r="H990" s="4" t="s">
        <v>63</v>
      </c>
      <c r="I990" s="4"/>
      <c r="J990" s="4"/>
      <c r="K990" s="4">
        <v>205</v>
      </c>
      <c r="L990" s="4">
        <v>14</v>
      </c>
      <c r="M990" s="4">
        <v>3</v>
      </c>
      <c r="N990" s="4" t="s">
        <v>3</v>
      </c>
      <c r="O990" s="4">
        <v>2</v>
      </c>
      <c r="P990" s="4"/>
      <c r="Q990" s="4"/>
      <c r="R990" s="4"/>
      <c r="S990" s="4"/>
      <c r="T990" s="4"/>
      <c r="U990" s="4"/>
      <c r="V990" s="4"/>
      <c r="W990" s="4">
        <v>80690.37</v>
      </c>
      <c r="X990" s="4">
        <v>1</v>
      </c>
      <c r="Y990" s="4">
        <v>80690.37</v>
      </c>
      <c r="Z990" s="4"/>
      <c r="AA990" s="4"/>
      <c r="AB990" s="4"/>
    </row>
    <row r="991" spans="1:28" x14ac:dyDescent="0.2">
      <c r="A991" s="4">
        <v>50</v>
      </c>
      <c r="B991" s="4">
        <v>0</v>
      </c>
      <c r="C991" s="4">
        <v>0</v>
      </c>
      <c r="D991" s="4">
        <v>1</v>
      </c>
      <c r="E991" s="4">
        <v>232</v>
      </c>
      <c r="F991" s="4">
        <f>ROUND(Source!BC975,O991)</f>
        <v>0</v>
      </c>
      <c r="G991" s="4" t="s">
        <v>64</v>
      </c>
      <c r="H991" s="4" t="s">
        <v>65</v>
      </c>
      <c r="I991" s="4"/>
      <c r="J991" s="4"/>
      <c r="K991" s="4">
        <v>232</v>
      </c>
      <c r="L991" s="4">
        <v>15</v>
      </c>
      <c r="M991" s="4">
        <v>3</v>
      </c>
      <c r="N991" s="4" t="s">
        <v>3</v>
      </c>
      <c r="O991" s="4">
        <v>2</v>
      </c>
      <c r="P991" s="4"/>
      <c r="Q991" s="4"/>
      <c r="R991" s="4"/>
      <c r="S991" s="4"/>
      <c r="T991" s="4"/>
      <c r="U991" s="4"/>
      <c r="V991" s="4"/>
      <c r="W991" s="4">
        <v>0</v>
      </c>
      <c r="X991" s="4">
        <v>1</v>
      </c>
      <c r="Y991" s="4">
        <v>0</v>
      </c>
      <c r="Z991" s="4"/>
      <c r="AA991" s="4"/>
      <c r="AB991" s="4"/>
    </row>
    <row r="992" spans="1:28" x14ac:dyDescent="0.2">
      <c r="A992" s="4">
        <v>50</v>
      </c>
      <c r="B992" s="4">
        <v>0</v>
      </c>
      <c r="C992" s="4">
        <v>0</v>
      </c>
      <c r="D992" s="4">
        <v>1</v>
      </c>
      <c r="E992" s="4">
        <v>214</v>
      </c>
      <c r="F992" s="4">
        <f>ROUND(Source!AS975,O992)</f>
        <v>0</v>
      </c>
      <c r="G992" s="4" t="s">
        <v>66</v>
      </c>
      <c r="H992" s="4" t="s">
        <v>67</v>
      </c>
      <c r="I992" s="4"/>
      <c r="J992" s="4"/>
      <c r="K992" s="4">
        <v>214</v>
      </c>
      <c r="L992" s="4">
        <v>16</v>
      </c>
      <c r="M992" s="4">
        <v>3</v>
      </c>
      <c r="N992" s="4" t="s">
        <v>3</v>
      </c>
      <c r="O992" s="4">
        <v>2</v>
      </c>
      <c r="P992" s="4"/>
      <c r="Q992" s="4"/>
      <c r="R992" s="4"/>
      <c r="S992" s="4"/>
      <c r="T992" s="4"/>
      <c r="U992" s="4"/>
      <c r="V992" s="4"/>
      <c r="W992" s="4">
        <v>0</v>
      </c>
      <c r="X992" s="4">
        <v>1</v>
      </c>
      <c r="Y992" s="4">
        <v>0</v>
      </c>
      <c r="Z992" s="4"/>
      <c r="AA992" s="4"/>
      <c r="AB992" s="4"/>
    </row>
    <row r="993" spans="1:206" x14ac:dyDescent="0.2">
      <c r="A993" s="4">
        <v>50</v>
      </c>
      <c r="B993" s="4">
        <v>0</v>
      </c>
      <c r="C993" s="4">
        <v>0</v>
      </c>
      <c r="D993" s="4">
        <v>1</v>
      </c>
      <c r="E993" s="4">
        <v>215</v>
      </c>
      <c r="F993" s="4">
        <f>ROUND(Source!AT975,O993)</f>
        <v>0</v>
      </c>
      <c r="G993" s="4" t="s">
        <v>68</v>
      </c>
      <c r="H993" s="4" t="s">
        <v>69</v>
      </c>
      <c r="I993" s="4"/>
      <c r="J993" s="4"/>
      <c r="K993" s="4">
        <v>215</v>
      </c>
      <c r="L993" s="4">
        <v>17</v>
      </c>
      <c r="M993" s="4">
        <v>3</v>
      </c>
      <c r="N993" s="4" t="s">
        <v>3</v>
      </c>
      <c r="O993" s="4">
        <v>2</v>
      </c>
      <c r="P993" s="4"/>
      <c r="Q993" s="4"/>
      <c r="R993" s="4"/>
      <c r="S993" s="4"/>
      <c r="T993" s="4"/>
      <c r="U993" s="4"/>
      <c r="V993" s="4"/>
      <c r="W993" s="4">
        <v>0</v>
      </c>
      <c r="X993" s="4">
        <v>1</v>
      </c>
      <c r="Y993" s="4">
        <v>0</v>
      </c>
      <c r="Z993" s="4"/>
      <c r="AA993" s="4"/>
      <c r="AB993" s="4"/>
    </row>
    <row r="994" spans="1:206" x14ac:dyDescent="0.2">
      <c r="A994" s="4">
        <v>50</v>
      </c>
      <c r="B994" s="4">
        <v>0</v>
      </c>
      <c r="C994" s="4">
        <v>0</v>
      </c>
      <c r="D994" s="4">
        <v>1</v>
      </c>
      <c r="E994" s="4">
        <v>217</v>
      </c>
      <c r="F994" s="4">
        <f>ROUND(Source!AU975,O994)</f>
        <v>145536.92000000001</v>
      </c>
      <c r="G994" s="4" t="s">
        <v>70</v>
      </c>
      <c r="H994" s="4" t="s">
        <v>71</v>
      </c>
      <c r="I994" s="4"/>
      <c r="J994" s="4"/>
      <c r="K994" s="4">
        <v>217</v>
      </c>
      <c r="L994" s="4">
        <v>18</v>
      </c>
      <c r="M994" s="4">
        <v>3</v>
      </c>
      <c r="N994" s="4" t="s">
        <v>3</v>
      </c>
      <c r="O994" s="4">
        <v>2</v>
      </c>
      <c r="P994" s="4"/>
      <c r="Q994" s="4"/>
      <c r="R994" s="4"/>
      <c r="S994" s="4"/>
      <c r="T994" s="4"/>
      <c r="U994" s="4"/>
      <c r="V994" s="4"/>
      <c r="W994" s="4">
        <v>145536.92000000001</v>
      </c>
      <c r="X994" s="4">
        <v>1</v>
      </c>
      <c r="Y994" s="4">
        <v>145536.92000000001</v>
      </c>
      <c r="Z994" s="4"/>
      <c r="AA994" s="4"/>
      <c r="AB994" s="4"/>
    </row>
    <row r="995" spans="1:206" x14ac:dyDescent="0.2">
      <c r="A995" s="4">
        <v>50</v>
      </c>
      <c r="B995" s="4">
        <v>0</v>
      </c>
      <c r="C995" s="4">
        <v>0</v>
      </c>
      <c r="D995" s="4">
        <v>1</v>
      </c>
      <c r="E995" s="4">
        <v>230</v>
      </c>
      <c r="F995" s="4">
        <f>ROUND(Source!BA975,O995)</f>
        <v>0</v>
      </c>
      <c r="G995" s="4" t="s">
        <v>72</v>
      </c>
      <c r="H995" s="4" t="s">
        <v>73</v>
      </c>
      <c r="I995" s="4"/>
      <c r="J995" s="4"/>
      <c r="K995" s="4">
        <v>230</v>
      </c>
      <c r="L995" s="4">
        <v>19</v>
      </c>
      <c r="M995" s="4">
        <v>3</v>
      </c>
      <c r="N995" s="4" t="s">
        <v>3</v>
      </c>
      <c r="O995" s="4">
        <v>2</v>
      </c>
      <c r="P995" s="4"/>
      <c r="Q995" s="4"/>
      <c r="R995" s="4"/>
      <c r="S995" s="4"/>
      <c r="T995" s="4"/>
      <c r="U995" s="4"/>
      <c r="V995" s="4"/>
      <c r="W995" s="4">
        <v>0</v>
      </c>
      <c r="X995" s="4">
        <v>1</v>
      </c>
      <c r="Y995" s="4">
        <v>0</v>
      </c>
      <c r="Z995" s="4"/>
      <c r="AA995" s="4"/>
      <c r="AB995" s="4"/>
    </row>
    <row r="996" spans="1:206" x14ac:dyDescent="0.2">
      <c r="A996" s="4">
        <v>50</v>
      </c>
      <c r="B996" s="4">
        <v>0</v>
      </c>
      <c r="C996" s="4">
        <v>0</v>
      </c>
      <c r="D996" s="4">
        <v>1</v>
      </c>
      <c r="E996" s="4">
        <v>206</v>
      </c>
      <c r="F996" s="4">
        <f>ROUND(Source!T975,O996)</f>
        <v>0</v>
      </c>
      <c r="G996" s="4" t="s">
        <v>74</v>
      </c>
      <c r="H996" s="4" t="s">
        <v>75</v>
      </c>
      <c r="I996" s="4"/>
      <c r="J996" s="4"/>
      <c r="K996" s="4">
        <v>206</v>
      </c>
      <c r="L996" s="4">
        <v>20</v>
      </c>
      <c r="M996" s="4">
        <v>3</v>
      </c>
      <c r="N996" s="4" t="s">
        <v>3</v>
      </c>
      <c r="O996" s="4">
        <v>2</v>
      </c>
      <c r="P996" s="4"/>
      <c r="Q996" s="4"/>
      <c r="R996" s="4"/>
      <c r="S996" s="4"/>
      <c r="T996" s="4"/>
      <c r="U996" s="4"/>
      <c r="V996" s="4"/>
      <c r="W996" s="4">
        <v>0</v>
      </c>
      <c r="X996" s="4">
        <v>1</v>
      </c>
      <c r="Y996" s="4">
        <v>0</v>
      </c>
      <c r="Z996" s="4"/>
      <c r="AA996" s="4"/>
      <c r="AB996" s="4"/>
    </row>
    <row r="997" spans="1:206" x14ac:dyDescent="0.2">
      <c r="A997" s="4">
        <v>50</v>
      </c>
      <c r="B997" s="4">
        <v>0</v>
      </c>
      <c r="C997" s="4">
        <v>0</v>
      </c>
      <c r="D997" s="4">
        <v>1</v>
      </c>
      <c r="E997" s="4">
        <v>207</v>
      </c>
      <c r="F997" s="4">
        <f>Source!U975</f>
        <v>114.004</v>
      </c>
      <c r="G997" s="4" t="s">
        <v>76</v>
      </c>
      <c r="H997" s="4" t="s">
        <v>77</v>
      </c>
      <c r="I997" s="4"/>
      <c r="J997" s="4"/>
      <c r="K997" s="4">
        <v>207</v>
      </c>
      <c r="L997" s="4">
        <v>21</v>
      </c>
      <c r="M997" s="4">
        <v>3</v>
      </c>
      <c r="N997" s="4" t="s">
        <v>3</v>
      </c>
      <c r="O997" s="4">
        <v>-1</v>
      </c>
      <c r="P997" s="4"/>
      <c r="Q997" s="4"/>
      <c r="R997" s="4"/>
      <c r="S997" s="4"/>
      <c r="T997" s="4"/>
      <c r="U997" s="4"/>
      <c r="V997" s="4"/>
      <c r="W997" s="4">
        <v>114.00399999999999</v>
      </c>
      <c r="X997" s="4">
        <v>1</v>
      </c>
      <c r="Y997" s="4">
        <v>114.00399999999999</v>
      </c>
      <c r="Z997" s="4"/>
      <c r="AA997" s="4"/>
      <c r="AB997" s="4"/>
    </row>
    <row r="998" spans="1:206" x14ac:dyDescent="0.2">
      <c r="A998" s="4">
        <v>50</v>
      </c>
      <c r="B998" s="4">
        <v>0</v>
      </c>
      <c r="C998" s="4">
        <v>0</v>
      </c>
      <c r="D998" s="4">
        <v>1</v>
      </c>
      <c r="E998" s="4">
        <v>208</v>
      </c>
      <c r="F998" s="4">
        <f>Source!V975</f>
        <v>0</v>
      </c>
      <c r="G998" s="4" t="s">
        <v>78</v>
      </c>
      <c r="H998" s="4" t="s">
        <v>79</v>
      </c>
      <c r="I998" s="4"/>
      <c r="J998" s="4"/>
      <c r="K998" s="4">
        <v>208</v>
      </c>
      <c r="L998" s="4">
        <v>22</v>
      </c>
      <c r="M998" s="4">
        <v>3</v>
      </c>
      <c r="N998" s="4" t="s">
        <v>3</v>
      </c>
      <c r="O998" s="4">
        <v>-1</v>
      </c>
      <c r="P998" s="4"/>
      <c r="Q998" s="4"/>
      <c r="R998" s="4"/>
      <c r="S998" s="4"/>
      <c r="T998" s="4"/>
      <c r="U998" s="4"/>
      <c r="V998" s="4"/>
      <c r="W998" s="4">
        <v>0</v>
      </c>
      <c r="X998" s="4">
        <v>1</v>
      </c>
      <c r="Y998" s="4">
        <v>0</v>
      </c>
      <c r="Z998" s="4"/>
      <c r="AA998" s="4"/>
      <c r="AB998" s="4"/>
    </row>
    <row r="999" spans="1:206" x14ac:dyDescent="0.2">
      <c r="A999" s="4">
        <v>50</v>
      </c>
      <c r="B999" s="4">
        <v>0</v>
      </c>
      <c r="C999" s="4">
        <v>0</v>
      </c>
      <c r="D999" s="4">
        <v>1</v>
      </c>
      <c r="E999" s="4">
        <v>209</v>
      </c>
      <c r="F999" s="4">
        <f>ROUND(Source!W975,O999)</f>
        <v>0</v>
      </c>
      <c r="G999" s="4" t="s">
        <v>80</v>
      </c>
      <c r="H999" s="4" t="s">
        <v>81</v>
      </c>
      <c r="I999" s="4"/>
      <c r="J999" s="4"/>
      <c r="K999" s="4">
        <v>209</v>
      </c>
      <c r="L999" s="4">
        <v>23</v>
      </c>
      <c r="M999" s="4">
        <v>3</v>
      </c>
      <c r="N999" s="4" t="s">
        <v>3</v>
      </c>
      <c r="O999" s="4">
        <v>2</v>
      </c>
      <c r="P999" s="4"/>
      <c r="Q999" s="4"/>
      <c r="R999" s="4"/>
      <c r="S999" s="4"/>
      <c r="T999" s="4"/>
      <c r="U999" s="4"/>
      <c r="V999" s="4"/>
      <c r="W999" s="4">
        <v>0</v>
      </c>
      <c r="X999" s="4">
        <v>1</v>
      </c>
      <c r="Y999" s="4">
        <v>0</v>
      </c>
      <c r="Z999" s="4"/>
      <c r="AA999" s="4"/>
      <c r="AB999" s="4"/>
    </row>
    <row r="1000" spans="1:206" x14ac:dyDescent="0.2">
      <c r="A1000" s="4">
        <v>50</v>
      </c>
      <c r="B1000" s="4">
        <v>0</v>
      </c>
      <c r="C1000" s="4">
        <v>0</v>
      </c>
      <c r="D1000" s="4">
        <v>1</v>
      </c>
      <c r="E1000" s="4">
        <v>233</v>
      </c>
      <c r="F1000" s="4">
        <f>ROUND(Source!BD975,O1000)</f>
        <v>0</v>
      </c>
      <c r="G1000" s="4" t="s">
        <v>82</v>
      </c>
      <c r="H1000" s="4" t="s">
        <v>83</v>
      </c>
      <c r="I1000" s="4"/>
      <c r="J1000" s="4"/>
      <c r="K1000" s="4">
        <v>233</v>
      </c>
      <c r="L1000" s="4">
        <v>24</v>
      </c>
      <c r="M1000" s="4">
        <v>3</v>
      </c>
      <c r="N1000" s="4" t="s">
        <v>3</v>
      </c>
      <c r="O1000" s="4">
        <v>2</v>
      </c>
      <c r="P1000" s="4"/>
      <c r="Q1000" s="4"/>
      <c r="R1000" s="4"/>
      <c r="S1000" s="4"/>
      <c r="T1000" s="4"/>
      <c r="U1000" s="4"/>
      <c r="V1000" s="4"/>
      <c r="W1000" s="4">
        <v>0</v>
      </c>
      <c r="X1000" s="4">
        <v>1</v>
      </c>
      <c r="Y1000" s="4">
        <v>0</v>
      </c>
      <c r="Z1000" s="4"/>
      <c r="AA1000" s="4"/>
      <c r="AB1000" s="4"/>
    </row>
    <row r="1001" spans="1:206" x14ac:dyDescent="0.2">
      <c r="A1001" s="4">
        <v>50</v>
      </c>
      <c r="B1001" s="4">
        <v>0</v>
      </c>
      <c r="C1001" s="4">
        <v>0</v>
      </c>
      <c r="D1001" s="4">
        <v>1</v>
      </c>
      <c r="E1001" s="4">
        <v>210</v>
      </c>
      <c r="F1001" s="4">
        <f>ROUND(Source!X975,O1001)</f>
        <v>56483.27</v>
      </c>
      <c r="G1001" s="4" t="s">
        <v>84</v>
      </c>
      <c r="H1001" s="4" t="s">
        <v>85</v>
      </c>
      <c r="I1001" s="4"/>
      <c r="J1001" s="4"/>
      <c r="K1001" s="4">
        <v>210</v>
      </c>
      <c r="L1001" s="4">
        <v>25</v>
      </c>
      <c r="M1001" s="4">
        <v>3</v>
      </c>
      <c r="N1001" s="4" t="s">
        <v>3</v>
      </c>
      <c r="O1001" s="4">
        <v>2</v>
      </c>
      <c r="P1001" s="4"/>
      <c r="Q1001" s="4"/>
      <c r="R1001" s="4"/>
      <c r="S1001" s="4"/>
      <c r="T1001" s="4"/>
      <c r="U1001" s="4"/>
      <c r="V1001" s="4"/>
      <c r="W1001" s="4">
        <v>56483.27</v>
      </c>
      <c r="X1001" s="4">
        <v>1</v>
      </c>
      <c r="Y1001" s="4">
        <v>56483.27</v>
      </c>
      <c r="Z1001" s="4"/>
      <c r="AA1001" s="4"/>
      <c r="AB1001" s="4"/>
    </row>
    <row r="1002" spans="1:206" x14ac:dyDescent="0.2">
      <c r="A1002" s="4">
        <v>50</v>
      </c>
      <c r="B1002" s="4">
        <v>0</v>
      </c>
      <c r="C1002" s="4">
        <v>0</v>
      </c>
      <c r="D1002" s="4">
        <v>1</v>
      </c>
      <c r="E1002" s="4">
        <v>211</v>
      </c>
      <c r="F1002" s="4">
        <f>ROUND(Source!Y975,O1002)</f>
        <v>8069.05</v>
      </c>
      <c r="G1002" s="4" t="s">
        <v>86</v>
      </c>
      <c r="H1002" s="4" t="s">
        <v>87</v>
      </c>
      <c r="I1002" s="4"/>
      <c r="J1002" s="4"/>
      <c r="K1002" s="4">
        <v>211</v>
      </c>
      <c r="L1002" s="4">
        <v>26</v>
      </c>
      <c r="M1002" s="4">
        <v>3</v>
      </c>
      <c r="N1002" s="4" t="s">
        <v>3</v>
      </c>
      <c r="O1002" s="4">
        <v>2</v>
      </c>
      <c r="P1002" s="4"/>
      <c r="Q1002" s="4"/>
      <c r="R1002" s="4"/>
      <c r="S1002" s="4"/>
      <c r="T1002" s="4"/>
      <c r="U1002" s="4"/>
      <c r="V1002" s="4"/>
      <c r="W1002" s="4">
        <v>8069.05</v>
      </c>
      <c r="X1002" s="4">
        <v>1</v>
      </c>
      <c r="Y1002" s="4">
        <v>8069.05</v>
      </c>
      <c r="Z1002" s="4"/>
      <c r="AA1002" s="4"/>
      <c r="AB1002" s="4"/>
    </row>
    <row r="1003" spans="1:206" x14ac:dyDescent="0.2">
      <c r="A1003" s="4">
        <v>50</v>
      </c>
      <c r="B1003" s="4">
        <v>0</v>
      </c>
      <c r="C1003" s="4">
        <v>0</v>
      </c>
      <c r="D1003" s="4">
        <v>1</v>
      </c>
      <c r="E1003" s="4">
        <v>224</v>
      </c>
      <c r="F1003" s="4">
        <f>ROUND(Source!AR975,O1003)</f>
        <v>145536.92000000001</v>
      </c>
      <c r="G1003" s="4" t="s">
        <v>88</v>
      </c>
      <c r="H1003" s="4" t="s">
        <v>89</v>
      </c>
      <c r="I1003" s="4"/>
      <c r="J1003" s="4"/>
      <c r="K1003" s="4">
        <v>224</v>
      </c>
      <c r="L1003" s="4">
        <v>27</v>
      </c>
      <c r="M1003" s="4">
        <v>3</v>
      </c>
      <c r="N1003" s="4" t="s">
        <v>3</v>
      </c>
      <c r="O1003" s="4">
        <v>2</v>
      </c>
      <c r="P1003" s="4"/>
      <c r="Q1003" s="4"/>
      <c r="R1003" s="4"/>
      <c r="S1003" s="4"/>
      <c r="T1003" s="4"/>
      <c r="U1003" s="4"/>
      <c r="V1003" s="4"/>
      <c r="W1003" s="4">
        <v>145536.92000000001</v>
      </c>
      <c r="X1003" s="4">
        <v>1</v>
      </c>
      <c r="Y1003" s="4">
        <v>145536.92000000001</v>
      </c>
      <c r="Z1003" s="4"/>
      <c r="AA1003" s="4"/>
      <c r="AB1003" s="4"/>
    </row>
    <row r="1005" spans="1:206" x14ac:dyDescent="0.2">
      <c r="A1005" s="2">
        <v>51</v>
      </c>
      <c r="B1005" s="2">
        <f>B20</f>
        <v>1</v>
      </c>
      <c r="C1005" s="2">
        <f>A20</f>
        <v>3</v>
      </c>
      <c r="D1005" s="2">
        <f>ROW(A20)</f>
        <v>20</v>
      </c>
      <c r="E1005" s="2"/>
      <c r="F1005" s="2" t="str">
        <f>IF(F20&lt;&gt;"",F20,"")</f>
        <v/>
      </c>
      <c r="G1005" s="2" t="str">
        <f>IF(G20&lt;&gt;"",G20,"")</f>
        <v>Новая локальная смета</v>
      </c>
      <c r="H1005" s="2">
        <v>0</v>
      </c>
      <c r="I1005" s="2"/>
      <c r="J1005" s="2"/>
      <c r="K1005" s="2"/>
      <c r="L1005" s="2"/>
      <c r="M1005" s="2"/>
      <c r="N1005" s="2"/>
      <c r="O1005" s="2">
        <f t="shared" ref="O1005:T1005" si="960">ROUND(O281+O475+O696+O927+O975+AB1005,2)</f>
        <v>1386216.38</v>
      </c>
      <c r="P1005" s="2">
        <f t="shared" si="960"/>
        <v>23308.04</v>
      </c>
      <c r="Q1005" s="2">
        <f t="shared" si="960"/>
        <v>46173.42</v>
      </c>
      <c r="R1005" s="2">
        <f t="shared" si="960"/>
        <v>29046.75</v>
      </c>
      <c r="S1005" s="2">
        <f t="shared" si="960"/>
        <v>1316734.92</v>
      </c>
      <c r="T1005" s="2">
        <f t="shared" si="960"/>
        <v>0</v>
      </c>
      <c r="U1005" s="2">
        <f>U281+U475+U696+U927+U975+AH1005</f>
        <v>2123.2850680000001</v>
      </c>
      <c r="V1005" s="2">
        <f>V281+V475+V696+V927+V975+AI1005</f>
        <v>0</v>
      </c>
      <c r="W1005" s="2">
        <f>ROUND(W281+W475+W696+W927+W975+AJ1005,2)</f>
        <v>0</v>
      </c>
      <c r="X1005" s="2">
        <f>ROUND(X281+X475+X696+X927+X975+AK1005,2)</f>
        <v>921714.54</v>
      </c>
      <c r="Y1005" s="2">
        <f>ROUND(Y281+Y475+Y696+Y927+Y975+AL1005,2)</f>
        <v>131673.51</v>
      </c>
      <c r="Z1005" s="2"/>
      <c r="AA1005" s="2"/>
      <c r="AB1005" s="2"/>
      <c r="AC1005" s="2"/>
      <c r="AD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>
        <f t="shared" ref="AO1005:BD1005" si="961">ROUND(AO281+AO475+AO696+AO927+AO975+BX1005,2)</f>
        <v>0</v>
      </c>
      <c r="AP1005" s="2">
        <f t="shared" si="961"/>
        <v>0</v>
      </c>
      <c r="AQ1005" s="2">
        <f t="shared" si="961"/>
        <v>0</v>
      </c>
      <c r="AR1005" s="2">
        <f t="shared" si="961"/>
        <v>2470974.9</v>
      </c>
      <c r="AS1005" s="2">
        <f t="shared" si="961"/>
        <v>0</v>
      </c>
      <c r="AT1005" s="2">
        <f t="shared" si="961"/>
        <v>0</v>
      </c>
      <c r="AU1005" s="2">
        <f t="shared" si="961"/>
        <v>2470974.9</v>
      </c>
      <c r="AV1005" s="2">
        <f t="shared" si="961"/>
        <v>23308.04</v>
      </c>
      <c r="AW1005" s="2">
        <f t="shared" si="961"/>
        <v>23308.04</v>
      </c>
      <c r="AX1005" s="2">
        <f t="shared" si="961"/>
        <v>0</v>
      </c>
      <c r="AY1005" s="2">
        <f t="shared" si="961"/>
        <v>23308.04</v>
      </c>
      <c r="AZ1005" s="2">
        <f t="shared" si="961"/>
        <v>0</v>
      </c>
      <c r="BA1005" s="2">
        <f t="shared" si="961"/>
        <v>0</v>
      </c>
      <c r="BB1005" s="2">
        <f t="shared" si="961"/>
        <v>0</v>
      </c>
      <c r="BC1005" s="2">
        <f t="shared" si="961"/>
        <v>0</v>
      </c>
      <c r="BD1005" s="2">
        <f t="shared" si="961"/>
        <v>0</v>
      </c>
      <c r="BE1005" s="2"/>
      <c r="BF1005" s="2"/>
      <c r="BG1005" s="2"/>
      <c r="BH1005" s="2"/>
      <c r="BI1005" s="2"/>
      <c r="BJ1005" s="2"/>
      <c r="BK1005" s="2"/>
      <c r="BL1005" s="2"/>
      <c r="BM1005" s="2"/>
      <c r="BN1005" s="2"/>
      <c r="BO1005" s="2"/>
      <c r="BP1005" s="2"/>
      <c r="BQ1005" s="2"/>
      <c r="BR1005" s="2"/>
      <c r="BS1005" s="2"/>
      <c r="BT1005" s="2"/>
      <c r="BU1005" s="2"/>
      <c r="BV1005" s="2"/>
      <c r="BW1005" s="2"/>
      <c r="BX1005" s="2"/>
      <c r="BY1005" s="2"/>
      <c r="BZ1005" s="2"/>
      <c r="CA1005" s="2"/>
      <c r="CB1005" s="2"/>
      <c r="CC1005" s="2"/>
      <c r="CD1005" s="2"/>
      <c r="CE1005" s="2"/>
      <c r="CF1005" s="2"/>
      <c r="CG1005" s="2"/>
      <c r="CH1005" s="2"/>
      <c r="CI1005" s="2"/>
      <c r="CJ1005" s="2"/>
      <c r="CK1005" s="2"/>
      <c r="CL1005" s="2"/>
      <c r="CM1005" s="2"/>
      <c r="CN1005" s="2"/>
      <c r="CO1005" s="2"/>
      <c r="CP1005" s="2"/>
      <c r="CQ1005" s="2"/>
      <c r="CR1005" s="2"/>
      <c r="CS1005" s="2"/>
      <c r="CT1005" s="2"/>
      <c r="CU1005" s="2"/>
      <c r="CV1005" s="2"/>
      <c r="CW1005" s="2"/>
      <c r="CX1005" s="2"/>
      <c r="CY1005" s="2"/>
      <c r="CZ1005" s="2"/>
      <c r="DA1005" s="2"/>
      <c r="DB1005" s="2"/>
      <c r="DC1005" s="2"/>
      <c r="DD1005" s="2"/>
      <c r="DE1005" s="2"/>
      <c r="DF1005" s="2"/>
      <c r="DG1005" s="3"/>
      <c r="DH1005" s="3"/>
      <c r="DI1005" s="3"/>
      <c r="DJ1005" s="3"/>
      <c r="DK1005" s="3"/>
      <c r="DL1005" s="3"/>
      <c r="DM1005" s="3"/>
      <c r="DN1005" s="3"/>
      <c r="DO1005" s="3"/>
      <c r="DP1005" s="3"/>
      <c r="DQ1005" s="3"/>
      <c r="DR1005" s="3"/>
      <c r="DS1005" s="3"/>
      <c r="DT1005" s="3"/>
      <c r="DU1005" s="3"/>
      <c r="DV1005" s="3"/>
      <c r="DW1005" s="3"/>
      <c r="DX1005" s="3"/>
      <c r="DY1005" s="3"/>
      <c r="DZ1005" s="3"/>
      <c r="EA1005" s="3"/>
      <c r="EB1005" s="3"/>
      <c r="EC1005" s="3"/>
      <c r="ED1005" s="3"/>
      <c r="EE1005" s="3"/>
      <c r="EF1005" s="3"/>
      <c r="EG1005" s="3"/>
      <c r="EH1005" s="3"/>
      <c r="EI1005" s="3"/>
      <c r="EJ1005" s="3"/>
      <c r="EK1005" s="3"/>
      <c r="EL1005" s="3"/>
      <c r="EM1005" s="3"/>
      <c r="EN1005" s="3"/>
      <c r="EO1005" s="3"/>
      <c r="EP1005" s="3"/>
      <c r="EQ1005" s="3"/>
      <c r="ER1005" s="3"/>
      <c r="ES1005" s="3"/>
      <c r="ET1005" s="3"/>
      <c r="EU1005" s="3"/>
      <c r="EV1005" s="3"/>
      <c r="EW1005" s="3"/>
      <c r="EX1005" s="3"/>
      <c r="EY1005" s="3"/>
      <c r="EZ1005" s="3"/>
      <c r="FA1005" s="3"/>
      <c r="FB1005" s="3"/>
      <c r="FC1005" s="3"/>
      <c r="FD1005" s="3"/>
      <c r="FE1005" s="3"/>
      <c r="FF1005" s="3"/>
      <c r="FG1005" s="3"/>
      <c r="FH1005" s="3"/>
      <c r="FI1005" s="3"/>
      <c r="FJ1005" s="3"/>
      <c r="FK1005" s="3"/>
      <c r="FL1005" s="3"/>
      <c r="FM1005" s="3"/>
      <c r="FN1005" s="3"/>
      <c r="FO1005" s="3"/>
      <c r="FP1005" s="3"/>
      <c r="FQ1005" s="3"/>
      <c r="FR1005" s="3"/>
      <c r="FS1005" s="3"/>
      <c r="FT1005" s="3"/>
      <c r="FU1005" s="3"/>
      <c r="FV1005" s="3"/>
      <c r="FW1005" s="3"/>
      <c r="FX1005" s="3"/>
      <c r="FY1005" s="3"/>
      <c r="FZ1005" s="3"/>
      <c r="GA1005" s="3"/>
      <c r="GB1005" s="3"/>
      <c r="GC1005" s="3"/>
      <c r="GD1005" s="3"/>
      <c r="GE1005" s="3"/>
      <c r="GF1005" s="3"/>
      <c r="GG1005" s="3"/>
      <c r="GH1005" s="3"/>
      <c r="GI1005" s="3"/>
      <c r="GJ1005" s="3"/>
      <c r="GK1005" s="3"/>
      <c r="GL1005" s="3"/>
      <c r="GM1005" s="3"/>
      <c r="GN1005" s="3"/>
      <c r="GO1005" s="3"/>
      <c r="GP1005" s="3"/>
      <c r="GQ1005" s="3"/>
      <c r="GR1005" s="3"/>
      <c r="GS1005" s="3"/>
      <c r="GT1005" s="3"/>
      <c r="GU1005" s="3"/>
      <c r="GV1005" s="3"/>
      <c r="GW1005" s="3"/>
      <c r="GX1005" s="3">
        <v>0</v>
      </c>
    </row>
    <row r="1007" spans="1:206" x14ac:dyDescent="0.2">
      <c r="A1007" s="4">
        <v>50</v>
      </c>
      <c r="B1007" s="4">
        <v>0</v>
      </c>
      <c r="C1007" s="4">
        <v>0</v>
      </c>
      <c r="D1007" s="4">
        <v>1</v>
      </c>
      <c r="E1007" s="4">
        <v>201</v>
      </c>
      <c r="F1007" s="4">
        <f>ROUND(Source!O1005,O1007)</f>
        <v>1386216.38</v>
      </c>
      <c r="G1007" s="4" t="s">
        <v>36</v>
      </c>
      <c r="H1007" s="4" t="s">
        <v>37</v>
      </c>
      <c r="I1007" s="4"/>
      <c r="J1007" s="4"/>
      <c r="K1007" s="4">
        <v>201</v>
      </c>
      <c r="L1007" s="4">
        <v>1</v>
      </c>
      <c r="M1007" s="4">
        <v>3</v>
      </c>
      <c r="N1007" s="4" t="s">
        <v>3</v>
      </c>
      <c r="O1007" s="4">
        <v>2</v>
      </c>
      <c r="P1007" s="4"/>
      <c r="Q1007" s="4"/>
      <c r="R1007" s="4"/>
      <c r="S1007" s="4"/>
      <c r="T1007" s="4"/>
      <c r="U1007" s="4"/>
      <c r="V1007" s="4"/>
      <c r="W1007" s="4">
        <v>1386216.38</v>
      </c>
      <c r="X1007" s="4">
        <v>1</v>
      </c>
      <c r="Y1007" s="4">
        <v>1386216.38</v>
      </c>
      <c r="Z1007" s="4"/>
      <c r="AA1007" s="4"/>
      <c r="AB1007" s="4"/>
    </row>
    <row r="1008" spans="1:206" x14ac:dyDescent="0.2">
      <c r="A1008" s="4">
        <v>50</v>
      </c>
      <c r="B1008" s="4">
        <v>0</v>
      </c>
      <c r="C1008" s="4">
        <v>0</v>
      </c>
      <c r="D1008" s="4">
        <v>1</v>
      </c>
      <c r="E1008" s="4">
        <v>202</v>
      </c>
      <c r="F1008" s="4">
        <f>ROUND(Source!P1005,O1008)</f>
        <v>23308.04</v>
      </c>
      <c r="G1008" s="4" t="s">
        <v>38</v>
      </c>
      <c r="H1008" s="4" t="s">
        <v>39</v>
      </c>
      <c r="I1008" s="4"/>
      <c r="J1008" s="4"/>
      <c r="K1008" s="4">
        <v>202</v>
      </c>
      <c r="L1008" s="4">
        <v>2</v>
      </c>
      <c r="M1008" s="4">
        <v>3</v>
      </c>
      <c r="N1008" s="4" t="s">
        <v>3</v>
      </c>
      <c r="O1008" s="4">
        <v>2</v>
      </c>
      <c r="P1008" s="4"/>
      <c r="Q1008" s="4"/>
      <c r="R1008" s="4"/>
      <c r="S1008" s="4"/>
      <c r="T1008" s="4"/>
      <c r="U1008" s="4"/>
      <c r="V1008" s="4"/>
      <c r="W1008" s="4">
        <v>23308.04</v>
      </c>
      <c r="X1008" s="4">
        <v>1</v>
      </c>
      <c r="Y1008" s="4">
        <v>23308.04</v>
      </c>
      <c r="Z1008" s="4"/>
      <c r="AA1008" s="4"/>
      <c r="AB1008" s="4"/>
    </row>
    <row r="1009" spans="1:28" x14ac:dyDescent="0.2">
      <c r="A1009" s="4">
        <v>50</v>
      </c>
      <c r="B1009" s="4">
        <v>0</v>
      </c>
      <c r="C1009" s="4">
        <v>0</v>
      </c>
      <c r="D1009" s="4">
        <v>1</v>
      </c>
      <c r="E1009" s="4">
        <v>222</v>
      </c>
      <c r="F1009" s="4">
        <f>ROUND(Source!AO1005,O1009)</f>
        <v>0</v>
      </c>
      <c r="G1009" s="4" t="s">
        <v>40</v>
      </c>
      <c r="H1009" s="4" t="s">
        <v>41</v>
      </c>
      <c r="I1009" s="4"/>
      <c r="J1009" s="4"/>
      <c r="K1009" s="4">
        <v>222</v>
      </c>
      <c r="L1009" s="4">
        <v>3</v>
      </c>
      <c r="M1009" s="4">
        <v>3</v>
      </c>
      <c r="N1009" s="4" t="s">
        <v>3</v>
      </c>
      <c r="O1009" s="4">
        <v>2</v>
      </c>
      <c r="P1009" s="4"/>
      <c r="Q1009" s="4"/>
      <c r="R1009" s="4"/>
      <c r="S1009" s="4"/>
      <c r="T1009" s="4"/>
      <c r="U1009" s="4"/>
      <c r="V1009" s="4"/>
      <c r="W1009" s="4">
        <v>0</v>
      </c>
      <c r="X1009" s="4">
        <v>1</v>
      </c>
      <c r="Y1009" s="4">
        <v>0</v>
      </c>
      <c r="Z1009" s="4"/>
      <c r="AA1009" s="4"/>
      <c r="AB1009" s="4"/>
    </row>
    <row r="1010" spans="1:28" x14ac:dyDescent="0.2">
      <c r="A1010" s="4">
        <v>50</v>
      </c>
      <c r="B1010" s="4">
        <v>0</v>
      </c>
      <c r="C1010" s="4">
        <v>0</v>
      </c>
      <c r="D1010" s="4">
        <v>1</v>
      </c>
      <c r="E1010" s="4">
        <v>225</v>
      </c>
      <c r="F1010" s="4">
        <f>ROUND(Source!AV1005,O1010)</f>
        <v>23308.04</v>
      </c>
      <c r="G1010" s="4" t="s">
        <v>42</v>
      </c>
      <c r="H1010" s="4" t="s">
        <v>43</v>
      </c>
      <c r="I1010" s="4"/>
      <c r="J1010" s="4"/>
      <c r="K1010" s="4">
        <v>225</v>
      </c>
      <c r="L1010" s="4">
        <v>4</v>
      </c>
      <c r="M1010" s="4">
        <v>3</v>
      </c>
      <c r="N1010" s="4" t="s">
        <v>3</v>
      </c>
      <c r="O1010" s="4">
        <v>2</v>
      </c>
      <c r="P1010" s="4"/>
      <c r="Q1010" s="4"/>
      <c r="R1010" s="4"/>
      <c r="S1010" s="4"/>
      <c r="T1010" s="4"/>
      <c r="U1010" s="4"/>
      <c r="V1010" s="4"/>
      <c r="W1010" s="4">
        <v>23308.04</v>
      </c>
      <c r="X1010" s="4">
        <v>1</v>
      </c>
      <c r="Y1010" s="4">
        <v>23308.04</v>
      </c>
      <c r="Z1010" s="4"/>
      <c r="AA1010" s="4"/>
      <c r="AB1010" s="4"/>
    </row>
    <row r="1011" spans="1:28" x14ac:dyDescent="0.2">
      <c r="A1011" s="4">
        <v>50</v>
      </c>
      <c r="B1011" s="4">
        <v>0</v>
      </c>
      <c r="C1011" s="4">
        <v>0</v>
      </c>
      <c r="D1011" s="4">
        <v>1</v>
      </c>
      <c r="E1011" s="4">
        <v>226</v>
      </c>
      <c r="F1011" s="4">
        <f>ROUND(Source!AW1005,O1011)</f>
        <v>23308.04</v>
      </c>
      <c r="G1011" s="4" t="s">
        <v>44</v>
      </c>
      <c r="H1011" s="4" t="s">
        <v>45</v>
      </c>
      <c r="I1011" s="4"/>
      <c r="J1011" s="4"/>
      <c r="K1011" s="4">
        <v>226</v>
      </c>
      <c r="L1011" s="4">
        <v>5</v>
      </c>
      <c r="M1011" s="4">
        <v>3</v>
      </c>
      <c r="N1011" s="4" t="s">
        <v>3</v>
      </c>
      <c r="O1011" s="4">
        <v>2</v>
      </c>
      <c r="P1011" s="4"/>
      <c r="Q1011" s="4"/>
      <c r="R1011" s="4"/>
      <c r="S1011" s="4"/>
      <c r="T1011" s="4"/>
      <c r="U1011" s="4"/>
      <c r="V1011" s="4"/>
      <c r="W1011" s="4">
        <v>23308.04</v>
      </c>
      <c r="X1011" s="4">
        <v>1</v>
      </c>
      <c r="Y1011" s="4">
        <v>23308.04</v>
      </c>
      <c r="Z1011" s="4"/>
      <c r="AA1011" s="4"/>
      <c r="AB1011" s="4"/>
    </row>
    <row r="1012" spans="1:28" x14ac:dyDescent="0.2">
      <c r="A1012" s="4">
        <v>50</v>
      </c>
      <c r="B1012" s="4">
        <v>0</v>
      </c>
      <c r="C1012" s="4">
        <v>0</v>
      </c>
      <c r="D1012" s="4">
        <v>1</v>
      </c>
      <c r="E1012" s="4">
        <v>227</v>
      </c>
      <c r="F1012" s="4">
        <f>ROUND(Source!AX1005,O1012)</f>
        <v>0</v>
      </c>
      <c r="G1012" s="4" t="s">
        <v>46</v>
      </c>
      <c r="H1012" s="4" t="s">
        <v>47</v>
      </c>
      <c r="I1012" s="4"/>
      <c r="J1012" s="4"/>
      <c r="K1012" s="4">
        <v>227</v>
      </c>
      <c r="L1012" s="4">
        <v>6</v>
      </c>
      <c r="M1012" s="4">
        <v>3</v>
      </c>
      <c r="N1012" s="4" t="s">
        <v>3</v>
      </c>
      <c r="O1012" s="4">
        <v>2</v>
      </c>
      <c r="P1012" s="4"/>
      <c r="Q1012" s="4"/>
      <c r="R1012" s="4"/>
      <c r="S1012" s="4"/>
      <c r="T1012" s="4"/>
      <c r="U1012" s="4"/>
      <c r="V1012" s="4"/>
      <c r="W1012" s="4">
        <v>0</v>
      </c>
      <c r="X1012" s="4">
        <v>1</v>
      </c>
      <c r="Y1012" s="4">
        <v>0</v>
      </c>
      <c r="Z1012" s="4"/>
      <c r="AA1012" s="4"/>
      <c r="AB1012" s="4"/>
    </row>
    <row r="1013" spans="1:28" x14ac:dyDescent="0.2">
      <c r="A1013" s="4">
        <v>50</v>
      </c>
      <c r="B1013" s="4">
        <v>0</v>
      </c>
      <c r="C1013" s="4">
        <v>0</v>
      </c>
      <c r="D1013" s="4">
        <v>1</v>
      </c>
      <c r="E1013" s="4">
        <v>228</v>
      </c>
      <c r="F1013" s="4">
        <f>ROUND(Source!AY1005,O1013)</f>
        <v>23308.04</v>
      </c>
      <c r="G1013" s="4" t="s">
        <v>48</v>
      </c>
      <c r="H1013" s="4" t="s">
        <v>49</v>
      </c>
      <c r="I1013" s="4"/>
      <c r="J1013" s="4"/>
      <c r="K1013" s="4">
        <v>228</v>
      </c>
      <c r="L1013" s="4">
        <v>7</v>
      </c>
      <c r="M1013" s="4">
        <v>3</v>
      </c>
      <c r="N1013" s="4" t="s">
        <v>3</v>
      </c>
      <c r="O1013" s="4">
        <v>2</v>
      </c>
      <c r="P1013" s="4"/>
      <c r="Q1013" s="4"/>
      <c r="R1013" s="4"/>
      <c r="S1013" s="4"/>
      <c r="T1013" s="4"/>
      <c r="U1013" s="4"/>
      <c r="V1013" s="4"/>
      <c r="W1013" s="4">
        <v>23308.04</v>
      </c>
      <c r="X1013" s="4">
        <v>1</v>
      </c>
      <c r="Y1013" s="4">
        <v>23308.04</v>
      </c>
      <c r="Z1013" s="4"/>
      <c r="AA1013" s="4"/>
      <c r="AB1013" s="4"/>
    </row>
    <row r="1014" spans="1:28" x14ac:dyDescent="0.2">
      <c r="A1014" s="4">
        <v>50</v>
      </c>
      <c r="B1014" s="4">
        <v>0</v>
      </c>
      <c r="C1014" s="4">
        <v>0</v>
      </c>
      <c r="D1014" s="4">
        <v>1</v>
      </c>
      <c r="E1014" s="4">
        <v>216</v>
      </c>
      <c r="F1014" s="4">
        <f>ROUND(Source!AP1005,O1014)</f>
        <v>0</v>
      </c>
      <c r="G1014" s="4" t="s">
        <v>50</v>
      </c>
      <c r="H1014" s="4" t="s">
        <v>51</v>
      </c>
      <c r="I1014" s="4"/>
      <c r="J1014" s="4"/>
      <c r="K1014" s="4">
        <v>216</v>
      </c>
      <c r="L1014" s="4">
        <v>8</v>
      </c>
      <c r="M1014" s="4">
        <v>3</v>
      </c>
      <c r="N1014" s="4" t="s">
        <v>3</v>
      </c>
      <c r="O1014" s="4">
        <v>2</v>
      </c>
      <c r="P1014" s="4"/>
      <c r="Q1014" s="4"/>
      <c r="R1014" s="4"/>
      <c r="S1014" s="4"/>
      <c r="T1014" s="4"/>
      <c r="U1014" s="4"/>
      <c r="V1014" s="4"/>
      <c r="W1014" s="4">
        <v>0</v>
      </c>
      <c r="X1014" s="4">
        <v>1</v>
      </c>
      <c r="Y1014" s="4">
        <v>0</v>
      </c>
      <c r="Z1014" s="4"/>
      <c r="AA1014" s="4"/>
      <c r="AB1014" s="4"/>
    </row>
    <row r="1015" spans="1:28" x14ac:dyDescent="0.2">
      <c r="A1015" s="4">
        <v>50</v>
      </c>
      <c r="B1015" s="4">
        <v>0</v>
      </c>
      <c r="C1015" s="4">
        <v>0</v>
      </c>
      <c r="D1015" s="4">
        <v>1</v>
      </c>
      <c r="E1015" s="4">
        <v>223</v>
      </c>
      <c r="F1015" s="4">
        <f>ROUND(Source!AQ1005,O1015)</f>
        <v>0</v>
      </c>
      <c r="G1015" s="4" t="s">
        <v>52</v>
      </c>
      <c r="H1015" s="4" t="s">
        <v>53</v>
      </c>
      <c r="I1015" s="4"/>
      <c r="J1015" s="4"/>
      <c r="K1015" s="4">
        <v>223</v>
      </c>
      <c r="L1015" s="4">
        <v>9</v>
      </c>
      <c r="M1015" s="4">
        <v>3</v>
      </c>
      <c r="N1015" s="4" t="s">
        <v>3</v>
      </c>
      <c r="O1015" s="4">
        <v>2</v>
      </c>
      <c r="P1015" s="4"/>
      <c r="Q1015" s="4"/>
      <c r="R1015" s="4"/>
      <c r="S1015" s="4"/>
      <c r="T1015" s="4"/>
      <c r="U1015" s="4"/>
      <c r="V1015" s="4"/>
      <c r="W1015" s="4">
        <v>0</v>
      </c>
      <c r="X1015" s="4">
        <v>1</v>
      </c>
      <c r="Y1015" s="4">
        <v>0</v>
      </c>
      <c r="Z1015" s="4"/>
      <c r="AA1015" s="4"/>
      <c r="AB1015" s="4"/>
    </row>
    <row r="1016" spans="1:28" x14ac:dyDescent="0.2">
      <c r="A1016" s="4">
        <v>50</v>
      </c>
      <c r="B1016" s="4">
        <v>0</v>
      </c>
      <c r="C1016" s="4">
        <v>0</v>
      </c>
      <c r="D1016" s="4">
        <v>1</v>
      </c>
      <c r="E1016" s="4">
        <v>229</v>
      </c>
      <c r="F1016" s="4">
        <f>ROUND(Source!AZ1005,O1016)</f>
        <v>0</v>
      </c>
      <c r="G1016" s="4" t="s">
        <v>54</v>
      </c>
      <c r="H1016" s="4" t="s">
        <v>55</v>
      </c>
      <c r="I1016" s="4"/>
      <c r="J1016" s="4"/>
      <c r="K1016" s="4">
        <v>229</v>
      </c>
      <c r="L1016" s="4">
        <v>10</v>
      </c>
      <c r="M1016" s="4">
        <v>3</v>
      </c>
      <c r="N1016" s="4" t="s">
        <v>3</v>
      </c>
      <c r="O1016" s="4">
        <v>2</v>
      </c>
      <c r="P1016" s="4"/>
      <c r="Q1016" s="4"/>
      <c r="R1016" s="4"/>
      <c r="S1016" s="4"/>
      <c r="T1016" s="4"/>
      <c r="U1016" s="4"/>
      <c r="V1016" s="4"/>
      <c r="W1016" s="4">
        <v>0</v>
      </c>
      <c r="X1016" s="4">
        <v>1</v>
      </c>
      <c r="Y1016" s="4">
        <v>0</v>
      </c>
      <c r="Z1016" s="4"/>
      <c r="AA1016" s="4"/>
      <c r="AB1016" s="4"/>
    </row>
    <row r="1017" spans="1:28" x14ac:dyDescent="0.2">
      <c r="A1017" s="4">
        <v>50</v>
      </c>
      <c r="B1017" s="4">
        <v>0</v>
      </c>
      <c r="C1017" s="4">
        <v>0</v>
      </c>
      <c r="D1017" s="4">
        <v>1</v>
      </c>
      <c r="E1017" s="4">
        <v>203</v>
      </c>
      <c r="F1017" s="4">
        <f>ROUND(Source!Q1005,O1017)</f>
        <v>46173.42</v>
      </c>
      <c r="G1017" s="4" t="s">
        <v>56</v>
      </c>
      <c r="H1017" s="4" t="s">
        <v>57</v>
      </c>
      <c r="I1017" s="4"/>
      <c r="J1017" s="4"/>
      <c r="K1017" s="4">
        <v>203</v>
      </c>
      <c r="L1017" s="4">
        <v>11</v>
      </c>
      <c r="M1017" s="4">
        <v>3</v>
      </c>
      <c r="N1017" s="4" t="s">
        <v>3</v>
      </c>
      <c r="O1017" s="4">
        <v>2</v>
      </c>
      <c r="P1017" s="4"/>
      <c r="Q1017" s="4"/>
      <c r="R1017" s="4"/>
      <c r="S1017" s="4"/>
      <c r="T1017" s="4"/>
      <c r="U1017" s="4"/>
      <c r="V1017" s="4"/>
      <c r="W1017" s="4">
        <v>46173.42</v>
      </c>
      <c r="X1017" s="4">
        <v>1</v>
      </c>
      <c r="Y1017" s="4">
        <v>46173.42</v>
      </c>
      <c r="Z1017" s="4"/>
      <c r="AA1017" s="4"/>
      <c r="AB1017" s="4"/>
    </row>
    <row r="1018" spans="1:28" x14ac:dyDescent="0.2">
      <c r="A1018" s="4">
        <v>50</v>
      </c>
      <c r="B1018" s="4">
        <v>0</v>
      </c>
      <c r="C1018" s="4">
        <v>0</v>
      </c>
      <c r="D1018" s="4">
        <v>1</v>
      </c>
      <c r="E1018" s="4">
        <v>231</v>
      </c>
      <c r="F1018" s="4">
        <f>ROUND(Source!BB1005,O1018)</f>
        <v>0</v>
      </c>
      <c r="G1018" s="4" t="s">
        <v>58</v>
      </c>
      <c r="H1018" s="4" t="s">
        <v>59</v>
      </c>
      <c r="I1018" s="4"/>
      <c r="J1018" s="4"/>
      <c r="K1018" s="4">
        <v>231</v>
      </c>
      <c r="L1018" s="4">
        <v>12</v>
      </c>
      <c r="M1018" s="4">
        <v>3</v>
      </c>
      <c r="N1018" s="4" t="s">
        <v>3</v>
      </c>
      <c r="O1018" s="4">
        <v>2</v>
      </c>
      <c r="P1018" s="4"/>
      <c r="Q1018" s="4"/>
      <c r="R1018" s="4"/>
      <c r="S1018" s="4"/>
      <c r="T1018" s="4"/>
      <c r="U1018" s="4"/>
      <c r="V1018" s="4"/>
      <c r="W1018" s="4">
        <v>0</v>
      </c>
      <c r="X1018" s="4">
        <v>1</v>
      </c>
      <c r="Y1018" s="4">
        <v>0</v>
      </c>
      <c r="Z1018" s="4"/>
      <c r="AA1018" s="4"/>
      <c r="AB1018" s="4"/>
    </row>
    <row r="1019" spans="1:28" x14ac:dyDescent="0.2">
      <c r="A1019" s="4">
        <v>50</v>
      </c>
      <c r="B1019" s="4">
        <v>0</v>
      </c>
      <c r="C1019" s="4">
        <v>0</v>
      </c>
      <c r="D1019" s="4">
        <v>1</v>
      </c>
      <c r="E1019" s="4">
        <v>204</v>
      </c>
      <c r="F1019" s="4">
        <f>ROUND(Source!R1005,O1019)</f>
        <v>29046.75</v>
      </c>
      <c r="G1019" s="4" t="s">
        <v>60</v>
      </c>
      <c r="H1019" s="4" t="s">
        <v>61</v>
      </c>
      <c r="I1019" s="4"/>
      <c r="J1019" s="4"/>
      <c r="K1019" s="4">
        <v>204</v>
      </c>
      <c r="L1019" s="4">
        <v>13</v>
      </c>
      <c r="M1019" s="4">
        <v>3</v>
      </c>
      <c r="N1019" s="4" t="s">
        <v>3</v>
      </c>
      <c r="O1019" s="4">
        <v>2</v>
      </c>
      <c r="P1019" s="4"/>
      <c r="Q1019" s="4"/>
      <c r="R1019" s="4"/>
      <c r="S1019" s="4"/>
      <c r="T1019" s="4"/>
      <c r="U1019" s="4"/>
      <c r="V1019" s="4"/>
      <c r="W1019" s="4">
        <v>29046.75</v>
      </c>
      <c r="X1019" s="4">
        <v>1</v>
      </c>
      <c r="Y1019" s="4">
        <v>29046.75</v>
      </c>
      <c r="Z1019" s="4"/>
      <c r="AA1019" s="4"/>
      <c r="AB1019" s="4"/>
    </row>
    <row r="1020" spans="1:28" x14ac:dyDescent="0.2">
      <c r="A1020" s="4">
        <v>50</v>
      </c>
      <c r="B1020" s="4">
        <v>0</v>
      </c>
      <c r="C1020" s="4">
        <v>0</v>
      </c>
      <c r="D1020" s="4">
        <v>1</v>
      </c>
      <c r="E1020" s="4">
        <v>205</v>
      </c>
      <c r="F1020" s="4">
        <f>ROUND(Source!S1005,O1020)</f>
        <v>1316734.92</v>
      </c>
      <c r="G1020" s="4" t="s">
        <v>62</v>
      </c>
      <c r="H1020" s="4" t="s">
        <v>63</v>
      </c>
      <c r="I1020" s="4"/>
      <c r="J1020" s="4"/>
      <c r="K1020" s="4">
        <v>205</v>
      </c>
      <c r="L1020" s="4">
        <v>14</v>
      </c>
      <c r="M1020" s="4">
        <v>3</v>
      </c>
      <c r="N1020" s="4" t="s">
        <v>3</v>
      </c>
      <c r="O1020" s="4">
        <v>2</v>
      </c>
      <c r="P1020" s="4"/>
      <c r="Q1020" s="4"/>
      <c r="R1020" s="4"/>
      <c r="S1020" s="4"/>
      <c r="T1020" s="4"/>
      <c r="U1020" s="4"/>
      <c r="V1020" s="4"/>
      <c r="W1020" s="4">
        <v>1316734.92</v>
      </c>
      <c r="X1020" s="4">
        <v>1</v>
      </c>
      <c r="Y1020" s="4">
        <v>1316734.92</v>
      </c>
      <c r="Z1020" s="4"/>
      <c r="AA1020" s="4"/>
      <c r="AB1020" s="4"/>
    </row>
    <row r="1021" spans="1:28" x14ac:dyDescent="0.2">
      <c r="A1021" s="4">
        <v>50</v>
      </c>
      <c r="B1021" s="4">
        <v>0</v>
      </c>
      <c r="C1021" s="4">
        <v>0</v>
      </c>
      <c r="D1021" s="4">
        <v>1</v>
      </c>
      <c r="E1021" s="4">
        <v>232</v>
      </c>
      <c r="F1021" s="4">
        <f>ROUND(Source!BC1005,O1021)</f>
        <v>0</v>
      </c>
      <c r="G1021" s="4" t="s">
        <v>64</v>
      </c>
      <c r="H1021" s="4" t="s">
        <v>65</v>
      </c>
      <c r="I1021" s="4"/>
      <c r="J1021" s="4"/>
      <c r="K1021" s="4">
        <v>232</v>
      </c>
      <c r="L1021" s="4">
        <v>15</v>
      </c>
      <c r="M1021" s="4">
        <v>3</v>
      </c>
      <c r="N1021" s="4" t="s">
        <v>3</v>
      </c>
      <c r="O1021" s="4">
        <v>2</v>
      </c>
      <c r="P1021" s="4"/>
      <c r="Q1021" s="4"/>
      <c r="R1021" s="4"/>
      <c r="S1021" s="4"/>
      <c r="T1021" s="4"/>
      <c r="U1021" s="4"/>
      <c r="V1021" s="4"/>
      <c r="W1021" s="4">
        <v>0</v>
      </c>
      <c r="X1021" s="4">
        <v>1</v>
      </c>
      <c r="Y1021" s="4">
        <v>0</v>
      </c>
      <c r="Z1021" s="4"/>
      <c r="AA1021" s="4"/>
      <c r="AB1021" s="4"/>
    </row>
    <row r="1022" spans="1:28" x14ac:dyDescent="0.2">
      <c r="A1022" s="4">
        <v>50</v>
      </c>
      <c r="B1022" s="4">
        <v>0</v>
      </c>
      <c r="C1022" s="4">
        <v>0</v>
      </c>
      <c r="D1022" s="4">
        <v>1</v>
      </c>
      <c r="E1022" s="4">
        <v>214</v>
      </c>
      <c r="F1022" s="4">
        <f>ROUND(Source!AS1005,O1022)</f>
        <v>0</v>
      </c>
      <c r="G1022" s="4" t="s">
        <v>66</v>
      </c>
      <c r="H1022" s="4" t="s">
        <v>67</v>
      </c>
      <c r="I1022" s="4"/>
      <c r="J1022" s="4"/>
      <c r="K1022" s="4">
        <v>214</v>
      </c>
      <c r="L1022" s="4">
        <v>16</v>
      </c>
      <c r="M1022" s="4">
        <v>3</v>
      </c>
      <c r="N1022" s="4" t="s">
        <v>3</v>
      </c>
      <c r="O1022" s="4">
        <v>2</v>
      </c>
      <c r="P1022" s="4"/>
      <c r="Q1022" s="4"/>
      <c r="R1022" s="4"/>
      <c r="S1022" s="4"/>
      <c r="T1022" s="4"/>
      <c r="U1022" s="4"/>
      <c r="V1022" s="4"/>
      <c r="W1022" s="4">
        <v>0</v>
      </c>
      <c r="X1022" s="4">
        <v>1</v>
      </c>
      <c r="Y1022" s="4">
        <v>0</v>
      </c>
      <c r="Z1022" s="4"/>
      <c r="AA1022" s="4"/>
      <c r="AB1022" s="4"/>
    </row>
    <row r="1023" spans="1:28" x14ac:dyDescent="0.2">
      <c r="A1023" s="4">
        <v>50</v>
      </c>
      <c r="B1023" s="4">
        <v>0</v>
      </c>
      <c r="C1023" s="4">
        <v>0</v>
      </c>
      <c r="D1023" s="4">
        <v>1</v>
      </c>
      <c r="E1023" s="4">
        <v>215</v>
      </c>
      <c r="F1023" s="4">
        <f>ROUND(Source!AT1005,O1023)</f>
        <v>0</v>
      </c>
      <c r="G1023" s="4" t="s">
        <v>68</v>
      </c>
      <c r="H1023" s="4" t="s">
        <v>69</v>
      </c>
      <c r="I1023" s="4"/>
      <c r="J1023" s="4"/>
      <c r="K1023" s="4">
        <v>215</v>
      </c>
      <c r="L1023" s="4">
        <v>17</v>
      </c>
      <c r="M1023" s="4">
        <v>3</v>
      </c>
      <c r="N1023" s="4" t="s">
        <v>3</v>
      </c>
      <c r="O1023" s="4">
        <v>2</v>
      </c>
      <c r="P1023" s="4"/>
      <c r="Q1023" s="4"/>
      <c r="R1023" s="4"/>
      <c r="S1023" s="4"/>
      <c r="T1023" s="4"/>
      <c r="U1023" s="4"/>
      <c r="V1023" s="4"/>
      <c r="W1023" s="4">
        <v>0</v>
      </c>
      <c r="X1023" s="4">
        <v>1</v>
      </c>
      <c r="Y1023" s="4">
        <v>0</v>
      </c>
      <c r="Z1023" s="4"/>
      <c r="AA1023" s="4"/>
      <c r="AB1023" s="4"/>
    </row>
    <row r="1024" spans="1:28" x14ac:dyDescent="0.2">
      <c r="A1024" s="4">
        <v>50</v>
      </c>
      <c r="B1024" s="4">
        <v>0</v>
      </c>
      <c r="C1024" s="4">
        <v>0</v>
      </c>
      <c r="D1024" s="4">
        <v>1</v>
      </c>
      <c r="E1024" s="4">
        <v>217</v>
      </c>
      <c r="F1024" s="4">
        <f>ROUND(Source!AU1005,O1024)</f>
        <v>2470974.9</v>
      </c>
      <c r="G1024" s="4" t="s">
        <v>70</v>
      </c>
      <c r="H1024" s="4" t="s">
        <v>71</v>
      </c>
      <c r="I1024" s="4"/>
      <c r="J1024" s="4"/>
      <c r="K1024" s="4">
        <v>217</v>
      </c>
      <c r="L1024" s="4">
        <v>18</v>
      </c>
      <c r="M1024" s="4">
        <v>3</v>
      </c>
      <c r="N1024" s="4" t="s">
        <v>3</v>
      </c>
      <c r="O1024" s="4">
        <v>2</v>
      </c>
      <c r="P1024" s="4"/>
      <c r="Q1024" s="4"/>
      <c r="R1024" s="4"/>
      <c r="S1024" s="4"/>
      <c r="T1024" s="4"/>
      <c r="U1024" s="4"/>
      <c r="V1024" s="4"/>
      <c r="W1024" s="4">
        <v>2470974.9</v>
      </c>
      <c r="X1024" s="4">
        <v>1</v>
      </c>
      <c r="Y1024" s="4">
        <v>2470974.9</v>
      </c>
      <c r="Z1024" s="4"/>
      <c r="AA1024" s="4"/>
      <c r="AB1024" s="4"/>
    </row>
    <row r="1025" spans="1:206" x14ac:dyDescent="0.2">
      <c r="A1025" s="4">
        <v>50</v>
      </c>
      <c r="B1025" s="4">
        <v>0</v>
      </c>
      <c r="C1025" s="4">
        <v>0</v>
      </c>
      <c r="D1025" s="4">
        <v>1</v>
      </c>
      <c r="E1025" s="4">
        <v>230</v>
      </c>
      <c r="F1025" s="4">
        <f>ROUND(Source!BA1005,O1025)</f>
        <v>0</v>
      </c>
      <c r="G1025" s="4" t="s">
        <v>72</v>
      </c>
      <c r="H1025" s="4" t="s">
        <v>73</v>
      </c>
      <c r="I1025" s="4"/>
      <c r="J1025" s="4"/>
      <c r="K1025" s="4">
        <v>230</v>
      </c>
      <c r="L1025" s="4">
        <v>19</v>
      </c>
      <c r="M1025" s="4">
        <v>3</v>
      </c>
      <c r="N1025" s="4" t="s">
        <v>3</v>
      </c>
      <c r="O1025" s="4">
        <v>2</v>
      </c>
      <c r="P1025" s="4"/>
      <c r="Q1025" s="4"/>
      <c r="R1025" s="4"/>
      <c r="S1025" s="4"/>
      <c r="T1025" s="4"/>
      <c r="U1025" s="4"/>
      <c r="V1025" s="4"/>
      <c r="W1025" s="4">
        <v>0</v>
      </c>
      <c r="X1025" s="4">
        <v>1</v>
      </c>
      <c r="Y1025" s="4">
        <v>0</v>
      </c>
      <c r="Z1025" s="4"/>
      <c r="AA1025" s="4"/>
      <c r="AB1025" s="4"/>
    </row>
    <row r="1026" spans="1:206" x14ac:dyDescent="0.2">
      <c r="A1026" s="4">
        <v>50</v>
      </c>
      <c r="B1026" s="4">
        <v>0</v>
      </c>
      <c r="C1026" s="4">
        <v>0</v>
      </c>
      <c r="D1026" s="4">
        <v>1</v>
      </c>
      <c r="E1026" s="4">
        <v>206</v>
      </c>
      <c r="F1026" s="4">
        <f>ROUND(Source!T1005,O1026)</f>
        <v>0</v>
      </c>
      <c r="G1026" s="4" t="s">
        <v>74</v>
      </c>
      <c r="H1026" s="4" t="s">
        <v>75</v>
      </c>
      <c r="I1026" s="4"/>
      <c r="J1026" s="4"/>
      <c r="K1026" s="4">
        <v>206</v>
      </c>
      <c r="L1026" s="4">
        <v>20</v>
      </c>
      <c r="M1026" s="4">
        <v>3</v>
      </c>
      <c r="N1026" s="4" t="s">
        <v>3</v>
      </c>
      <c r="O1026" s="4">
        <v>2</v>
      </c>
      <c r="P1026" s="4"/>
      <c r="Q1026" s="4"/>
      <c r="R1026" s="4"/>
      <c r="S1026" s="4"/>
      <c r="T1026" s="4"/>
      <c r="U1026" s="4"/>
      <c r="V1026" s="4"/>
      <c r="W1026" s="4">
        <v>0</v>
      </c>
      <c r="X1026" s="4">
        <v>1</v>
      </c>
      <c r="Y1026" s="4">
        <v>0</v>
      </c>
      <c r="Z1026" s="4"/>
      <c r="AA1026" s="4"/>
      <c r="AB1026" s="4"/>
    </row>
    <row r="1027" spans="1:206" x14ac:dyDescent="0.2">
      <c r="A1027" s="4">
        <v>50</v>
      </c>
      <c r="B1027" s="4">
        <v>0</v>
      </c>
      <c r="C1027" s="4">
        <v>0</v>
      </c>
      <c r="D1027" s="4">
        <v>1</v>
      </c>
      <c r="E1027" s="4">
        <v>207</v>
      </c>
      <c r="F1027" s="4">
        <f>Source!U1005</f>
        <v>2123.2850680000001</v>
      </c>
      <c r="G1027" s="4" t="s">
        <v>76</v>
      </c>
      <c r="H1027" s="4" t="s">
        <v>77</v>
      </c>
      <c r="I1027" s="4"/>
      <c r="J1027" s="4"/>
      <c r="K1027" s="4">
        <v>207</v>
      </c>
      <c r="L1027" s="4">
        <v>21</v>
      </c>
      <c r="M1027" s="4">
        <v>3</v>
      </c>
      <c r="N1027" s="4" t="s">
        <v>3</v>
      </c>
      <c r="O1027" s="4">
        <v>-1</v>
      </c>
      <c r="P1027" s="4"/>
      <c r="Q1027" s="4"/>
      <c r="R1027" s="4"/>
      <c r="S1027" s="4"/>
      <c r="T1027" s="4"/>
      <c r="U1027" s="4"/>
      <c r="V1027" s="4"/>
      <c r="W1027" s="4">
        <v>2123.2850680000006</v>
      </c>
      <c r="X1027" s="4">
        <v>1</v>
      </c>
      <c r="Y1027" s="4">
        <v>2123.2850680000006</v>
      </c>
      <c r="Z1027" s="4"/>
      <c r="AA1027" s="4"/>
      <c r="AB1027" s="4"/>
    </row>
    <row r="1028" spans="1:206" x14ac:dyDescent="0.2">
      <c r="A1028" s="4">
        <v>50</v>
      </c>
      <c r="B1028" s="4">
        <v>0</v>
      </c>
      <c r="C1028" s="4">
        <v>0</v>
      </c>
      <c r="D1028" s="4">
        <v>1</v>
      </c>
      <c r="E1028" s="4">
        <v>208</v>
      </c>
      <c r="F1028" s="4">
        <f>Source!V1005</f>
        <v>0</v>
      </c>
      <c r="G1028" s="4" t="s">
        <v>78</v>
      </c>
      <c r="H1028" s="4" t="s">
        <v>79</v>
      </c>
      <c r="I1028" s="4"/>
      <c r="J1028" s="4"/>
      <c r="K1028" s="4">
        <v>208</v>
      </c>
      <c r="L1028" s="4">
        <v>22</v>
      </c>
      <c r="M1028" s="4">
        <v>3</v>
      </c>
      <c r="N1028" s="4" t="s">
        <v>3</v>
      </c>
      <c r="O1028" s="4">
        <v>-1</v>
      </c>
      <c r="P1028" s="4"/>
      <c r="Q1028" s="4"/>
      <c r="R1028" s="4"/>
      <c r="S1028" s="4"/>
      <c r="T1028" s="4"/>
      <c r="U1028" s="4"/>
      <c r="V1028" s="4"/>
      <c r="W1028" s="4">
        <v>0</v>
      </c>
      <c r="X1028" s="4">
        <v>1</v>
      </c>
      <c r="Y1028" s="4">
        <v>0</v>
      </c>
      <c r="Z1028" s="4"/>
      <c r="AA1028" s="4"/>
      <c r="AB1028" s="4"/>
    </row>
    <row r="1029" spans="1:206" x14ac:dyDescent="0.2">
      <c r="A1029" s="4">
        <v>50</v>
      </c>
      <c r="B1029" s="4">
        <v>0</v>
      </c>
      <c r="C1029" s="4">
        <v>0</v>
      </c>
      <c r="D1029" s="4">
        <v>1</v>
      </c>
      <c r="E1029" s="4">
        <v>209</v>
      </c>
      <c r="F1029" s="4">
        <f>ROUND(Source!W1005,O1029)</f>
        <v>0</v>
      </c>
      <c r="G1029" s="4" t="s">
        <v>80</v>
      </c>
      <c r="H1029" s="4" t="s">
        <v>81</v>
      </c>
      <c r="I1029" s="4"/>
      <c r="J1029" s="4"/>
      <c r="K1029" s="4">
        <v>209</v>
      </c>
      <c r="L1029" s="4">
        <v>23</v>
      </c>
      <c r="M1029" s="4">
        <v>3</v>
      </c>
      <c r="N1029" s="4" t="s">
        <v>3</v>
      </c>
      <c r="O1029" s="4">
        <v>2</v>
      </c>
      <c r="P1029" s="4"/>
      <c r="Q1029" s="4"/>
      <c r="R1029" s="4"/>
      <c r="S1029" s="4"/>
      <c r="T1029" s="4"/>
      <c r="U1029" s="4"/>
      <c r="V1029" s="4"/>
      <c r="W1029" s="4">
        <v>0</v>
      </c>
      <c r="X1029" s="4">
        <v>1</v>
      </c>
      <c r="Y1029" s="4">
        <v>0</v>
      </c>
      <c r="Z1029" s="4"/>
      <c r="AA1029" s="4"/>
      <c r="AB1029" s="4"/>
    </row>
    <row r="1030" spans="1:206" x14ac:dyDescent="0.2">
      <c r="A1030" s="4">
        <v>50</v>
      </c>
      <c r="B1030" s="4">
        <v>0</v>
      </c>
      <c r="C1030" s="4">
        <v>0</v>
      </c>
      <c r="D1030" s="4">
        <v>1</v>
      </c>
      <c r="E1030" s="4">
        <v>233</v>
      </c>
      <c r="F1030" s="4">
        <f>ROUND(Source!BD1005,O1030)</f>
        <v>0</v>
      </c>
      <c r="G1030" s="4" t="s">
        <v>82</v>
      </c>
      <c r="H1030" s="4" t="s">
        <v>83</v>
      </c>
      <c r="I1030" s="4"/>
      <c r="J1030" s="4"/>
      <c r="K1030" s="4">
        <v>233</v>
      </c>
      <c r="L1030" s="4">
        <v>24</v>
      </c>
      <c r="M1030" s="4">
        <v>3</v>
      </c>
      <c r="N1030" s="4" t="s">
        <v>3</v>
      </c>
      <c r="O1030" s="4">
        <v>2</v>
      </c>
      <c r="P1030" s="4"/>
      <c r="Q1030" s="4"/>
      <c r="R1030" s="4"/>
      <c r="S1030" s="4"/>
      <c r="T1030" s="4"/>
      <c r="U1030" s="4"/>
      <c r="V1030" s="4"/>
      <c r="W1030" s="4">
        <v>0</v>
      </c>
      <c r="X1030" s="4">
        <v>1</v>
      </c>
      <c r="Y1030" s="4">
        <v>0</v>
      </c>
      <c r="Z1030" s="4"/>
      <c r="AA1030" s="4"/>
      <c r="AB1030" s="4"/>
    </row>
    <row r="1031" spans="1:206" x14ac:dyDescent="0.2">
      <c r="A1031" s="4">
        <v>50</v>
      </c>
      <c r="B1031" s="4">
        <v>0</v>
      </c>
      <c r="C1031" s="4">
        <v>0</v>
      </c>
      <c r="D1031" s="4">
        <v>1</v>
      </c>
      <c r="E1031" s="4">
        <v>210</v>
      </c>
      <c r="F1031" s="4">
        <f>ROUND(Source!X1005,O1031)</f>
        <v>921714.54</v>
      </c>
      <c r="G1031" s="4" t="s">
        <v>84</v>
      </c>
      <c r="H1031" s="4" t="s">
        <v>85</v>
      </c>
      <c r="I1031" s="4"/>
      <c r="J1031" s="4"/>
      <c r="K1031" s="4">
        <v>210</v>
      </c>
      <c r="L1031" s="4">
        <v>25</v>
      </c>
      <c r="M1031" s="4">
        <v>3</v>
      </c>
      <c r="N1031" s="4" t="s">
        <v>3</v>
      </c>
      <c r="O1031" s="4">
        <v>2</v>
      </c>
      <c r="P1031" s="4"/>
      <c r="Q1031" s="4"/>
      <c r="R1031" s="4"/>
      <c r="S1031" s="4"/>
      <c r="T1031" s="4"/>
      <c r="U1031" s="4"/>
      <c r="V1031" s="4"/>
      <c r="W1031" s="4">
        <v>921714.54</v>
      </c>
      <c r="X1031" s="4">
        <v>1</v>
      </c>
      <c r="Y1031" s="4">
        <v>921714.54</v>
      </c>
      <c r="Z1031" s="4"/>
      <c r="AA1031" s="4"/>
      <c r="AB1031" s="4"/>
    </row>
    <row r="1032" spans="1:206" x14ac:dyDescent="0.2">
      <c r="A1032" s="4">
        <v>50</v>
      </c>
      <c r="B1032" s="4">
        <v>0</v>
      </c>
      <c r="C1032" s="4">
        <v>0</v>
      </c>
      <c r="D1032" s="4">
        <v>1</v>
      </c>
      <c r="E1032" s="4">
        <v>211</v>
      </c>
      <c r="F1032" s="4">
        <f>ROUND(Source!Y1005,O1032)</f>
        <v>131673.51</v>
      </c>
      <c r="G1032" s="4" t="s">
        <v>86</v>
      </c>
      <c r="H1032" s="4" t="s">
        <v>87</v>
      </c>
      <c r="I1032" s="4"/>
      <c r="J1032" s="4"/>
      <c r="K1032" s="4">
        <v>211</v>
      </c>
      <c r="L1032" s="4">
        <v>26</v>
      </c>
      <c r="M1032" s="4">
        <v>3</v>
      </c>
      <c r="N1032" s="4" t="s">
        <v>3</v>
      </c>
      <c r="O1032" s="4">
        <v>2</v>
      </c>
      <c r="P1032" s="4"/>
      <c r="Q1032" s="4"/>
      <c r="R1032" s="4"/>
      <c r="S1032" s="4"/>
      <c r="T1032" s="4"/>
      <c r="U1032" s="4"/>
      <c r="V1032" s="4"/>
      <c r="W1032" s="4">
        <v>131673.51</v>
      </c>
      <c r="X1032" s="4">
        <v>1</v>
      </c>
      <c r="Y1032" s="4">
        <v>131673.51</v>
      </c>
      <c r="Z1032" s="4"/>
      <c r="AA1032" s="4"/>
      <c r="AB1032" s="4"/>
    </row>
    <row r="1033" spans="1:206" x14ac:dyDescent="0.2">
      <c r="A1033" s="4">
        <v>50</v>
      </c>
      <c r="B1033" s="4">
        <v>0</v>
      </c>
      <c r="C1033" s="4">
        <v>0</v>
      </c>
      <c r="D1033" s="4">
        <v>1</v>
      </c>
      <c r="E1033" s="4">
        <v>224</v>
      </c>
      <c r="F1033" s="4">
        <f>ROUND(Source!AR1005,O1033)</f>
        <v>2470974.9</v>
      </c>
      <c r="G1033" s="4" t="s">
        <v>88</v>
      </c>
      <c r="H1033" s="4" t="s">
        <v>89</v>
      </c>
      <c r="I1033" s="4"/>
      <c r="J1033" s="4"/>
      <c r="K1033" s="4">
        <v>224</v>
      </c>
      <c r="L1033" s="4">
        <v>27</v>
      </c>
      <c r="M1033" s="4">
        <v>3</v>
      </c>
      <c r="N1033" s="4" t="s">
        <v>3</v>
      </c>
      <c r="O1033" s="4">
        <v>2</v>
      </c>
      <c r="P1033" s="4"/>
      <c r="Q1033" s="4"/>
      <c r="R1033" s="4"/>
      <c r="S1033" s="4"/>
      <c r="T1033" s="4"/>
      <c r="U1033" s="4"/>
      <c r="V1033" s="4"/>
      <c r="W1033" s="4">
        <v>2470974.9</v>
      </c>
      <c r="X1033" s="4">
        <v>1</v>
      </c>
      <c r="Y1033" s="4">
        <v>2470974.9</v>
      </c>
      <c r="Z1033" s="4"/>
      <c r="AA1033" s="4"/>
      <c r="AB1033" s="4"/>
    </row>
    <row r="1035" spans="1:206" x14ac:dyDescent="0.2">
      <c r="A1035" s="2">
        <v>51</v>
      </c>
      <c r="B1035" s="2">
        <f>B12</f>
        <v>1074</v>
      </c>
      <c r="C1035" s="2">
        <f>A12</f>
        <v>1</v>
      </c>
      <c r="D1035" s="2">
        <f>ROW(A12)</f>
        <v>12</v>
      </c>
      <c r="E1035" s="2"/>
      <c r="F1035" s="2" t="str">
        <f>IF(F12&lt;&gt;"",F12,"")</f>
        <v>Новый объект_(Копия)_(Копия)_(Копия)_(Копия)</v>
      </c>
      <c r="G1035" s="2" t="str">
        <f>IF(G12&lt;&gt;"",G12,"")</f>
        <v>СН_1.5_на 4 мес. (10%) испр.</v>
      </c>
      <c r="H1035" s="2">
        <v>0</v>
      </c>
      <c r="I1035" s="2"/>
      <c r="J1035" s="2"/>
      <c r="K1035" s="2"/>
      <c r="L1035" s="2"/>
      <c r="M1035" s="2"/>
      <c r="N1035" s="2"/>
      <c r="O1035" s="2">
        <f t="shared" ref="O1035:T1035" si="962">ROUND(O1005,2)</f>
        <v>1386216.38</v>
      </c>
      <c r="P1035" s="2">
        <f t="shared" si="962"/>
        <v>23308.04</v>
      </c>
      <c r="Q1035" s="2">
        <f t="shared" si="962"/>
        <v>46173.42</v>
      </c>
      <c r="R1035" s="2">
        <f t="shared" si="962"/>
        <v>29046.75</v>
      </c>
      <c r="S1035" s="2">
        <f t="shared" si="962"/>
        <v>1316734.92</v>
      </c>
      <c r="T1035" s="2">
        <f t="shared" si="962"/>
        <v>0</v>
      </c>
      <c r="U1035" s="2">
        <f>U1005</f>
        <v>2123.2850680000001</v>
      </c>
      <c r="V1035" s="2">
        <f>V1005</f>
        <v>0</v>
      </c>
      <c r="W1035" s="2">
        <f>ROUND(W1005,2)</f>
        <v>0</v>
      </c>
      <c r="X1035" s="2">
        <f>ROUND(X1005,2)</f>
        <v>921714.54</v>
      </c>
      <c r="Y1035" s="2">
        <f>ROUND(Y1005,2)</f>
        <v>131673.51</v>
      </c>
      <c r="Z1035" s="2"/>
      <c r="AA1035" s="2"/>
      <c r="AB1035" s="2"/>
      <c r="AC1035" s="2"/>
      <c r="AD1035" s="2"/>
      <c r="AE1035" s="2"/>
      <c r="AF1035" s="2"/>
      <c r="AG1035" s="2"/>
      <c r="AH1035" s="2"/>
      <c r="AI1035" s="2"/>
      <c r="AJ1035" s="2"/>
      <c r="AK1035" s="2"/>
      <c r="AL1035" s="2"/>
      <c r="AM1035" s="2"/>
      <c r="AN1035" s="2"/>
      <c r="AO1035" s="2">
        <f t="shared" ref="AO1035:BD1035" si="963">ROUND(AO1005,2)</f>
        <v>0</v>
      </c>
      <c r="AP1035" s="2">
        <f t="shared" si="963"/>
        <v>0</v>
      </c>
      <c r="AQ1035" s="2">
        <f t="shared" si="963"/>
        <v>0</v>
      </c>
      <c r="AR1035" s="2">
        <f t="shared" si="963"/>
        <v>2470974.9</v>
      </c>
      <c r="AS1035" s="2">
        <f t="shared" si="963"/>
        <v>0</v>
      </c>
      <c r="AT1035" s="2">
        <f t="shared" si="963"/>
        <v>0</v>
      </c>
      <c r="AU1035" s="2">
        <f t="shared" si="963"/>
        <v>2470974.9</v>
      </c>
      <c r="AV1035" s="2">
        <f t="shared" si="963"/>
        <v>23308.04</v>
      </c>
      <c r="AW1035" s="2">
        <f t="shared" si="963"/>
        <v>23308.04</v>
      </c>
      <c r="AX1035" s="2">
        <f t="shared" si="963"/>
        <v>0</v>
      </c>
      <c r="AY1035" s="2">
        <f t="shared" si="963"/>
        <v>23308.04</v>
      </c>
      <c r="AZ1035" s="2">
        <f t="shared" si="963"/>
        <v>0</v>
      </c>
      <c r="BA1035" s="2">
        <f t="shared" si="963"/>
        <v>0</v>
      </c>
      <c r="BB1035" s="2">
        <f t="shared" si="963"/>
        <v>0</v>
      </c>
      <c r="BC1035" s="2">
        <f t="shared" si="963"/>
        <v>0</v>
      </c>
      <c r="BD1035" s="2">
        <f t="shared" si="963"/>
        <v>0</v>
      </c>
      <c r="BE1035" s="2"/>
      <c r="BF1035" s="2"/>
      <c r="BG1035" s="2"/>
      <c r="BH1035" s="2"/>
      <c r="BI1035" s="2"/>
      <c r="BJ1035" s="2"/>
      <c r="BK1035" s="2"/>
      <c r="BL1035" s="2"/>
      <c r="BM1035" s="2"/>
      <c r="BN1035" s="2"/>
      <c r="BO1035" s="2"/>
      <c r="BP1035" s="2"/>
      <c r="BQ1035" s="2"/>
      <c r="BR1035" s="2"/>
      <c r="BS1035" s="2"/>
      <c r="BT1035" s="2"/>
      <c r="BU1035" s="2"/>
      <c r="BV1035" s="2"/>
      <c r="BW1035" s="2"/>
      <c r="BX1035" s="2"/>
      <c r="BY1035" s="2"/>
      <c r="BZ1035" s="2"/>
      <c r="CA1035" s="2"/>
      <c r="CB1035" s="2"/>
      <c r="CC1035" s="2"/>
      <c r="CD1035" s="2"/>
      <c r="CE1035" s="2"/>
      <c r="CF1035" s="2"/>
      <c r="CG1035" s="2"/>
      <c r="CH1035" s="2"/>
      <c r="CI1035" s="2"/>
      <c r="CJ1035" s="2"/>
      <c r="CK1035" s="2"/>
      <c r="CL1035" s="2"/>
      <c r="CM1035" s="2"/>
      <c r="CN1035" s="2"/>
      <c r="CO1035" s="2"/>
      <c r="CP1035" s="2"/>
      <c r="CQ1035" s="2"/>
      <c r="CR1035" s="2"/>
      <c r="CS1035" s="2"/>
      <c r="CT1035" s="2"/>
      <c r="CU1035" s="2"/>
      <c r="CV1035" s="2"/>
      <c r="CW1035" s="2"/>
      <c r="CX1035" s="2"/>
      <c r="CY1035" s="2"/>
      <c r="CZ1035" s="2"/>
      <c r="DA1035" s="2"/>
      <c r="DB1035" s="2"/>
      <c r="DC1035" s="2"/>
      <c r="DD1035" s="2"/>
      <c r="DE1035" s="2"/>
      <c r="DF1035" s="2"/>
      <c r="DG1035" s="3"/>
      <c r="DH1035" s="3"/>
      <c r="DI1035" s="3"/>
      <c r="DJ1035" s="3"/>
      <c r="DK1035" s="3"/>
      <c r="DL1035" s="3"/>
      <c r="DM1035" s="3"/>
      <c r="DN1035" s="3"/>
      <c r="DO1035" s="3"/>
      <c r="DP1035" s="3"/>
      <c r="DQ1035" s="3"/>
      <c r="DR1035" s="3"/>
      <c r="DS1035" s="3"/>
      <c r="DT1035" s="3"/>
      <c r="DU1035" s="3"/>
      <c r="DV1035" s="3"/>
      <c r="DW1035" s="3"/>
      <c r="DX1035" s="3"/>
      <c r="DY1035" s="3"/>
      <c r="DZ1035" s="3"/>
      <c r="EA1035" s="3"/>
      <c r="EB1035" s="3"/>
      <c r="EC1035" s="3"/>
      <c r="ED1035" s="3"/>
      <c r="EE1035" s="3"/>
      <c r="EF1035" s="3"/>
      <c r="EG1035" s="3"/>
      <c r="EH1035" s="3"/>
      <c r="EI1035" s="3"/>
      <c r="EJ1035" s="3"/>
      <c r="EK1035" s="3"/>
      <c r="EL1035" s="3"/>
      <c r="EM1035" s="3"/>
      <c r="EN1035" s="3"/>
      <c r="EO1035" s="3"/>
      <c r="EP1035" s="3"/>
      <c r="EQ1035" s="3"/>
      <c r="ER1035" s="3"/>
      <c r="ES1035" s="3"/>
      <c r="ET1035" s="3"/>
      <c r="EU1035" s="3"/>
      <c r="EV1035" s="3"/>
      <c r="EW1035" s="3"/>
      <c r="EX1035" s="3"/>
      <c r="EY1035" s="3"/>
      <c r="EZ1035" s="3"/>
      <c r="FA1035" s="3"/>
      <c r="FB1035" s="3"/>
      <c r="FC1035" s="3"/>
      <c r="FD1035" s="3"/>
      <c r="FE1035" s="3"/>
      <c r="FF1035" s="3"/>
      <c r="FG1035" s="3"/>
      <c r="FH1035" s="3"/>
      <c r="FI1035" s="3"/>
      <c r="FJ1035" s="3"/>
      <c r="FK1035" s="3"/>
      <c r="FL1035" s="3"/>
      <c r="FM1035" s="3"/>
      <c r="FN1035" s="3"/>
      <c r="FO1035" s="3"/>
      <c r="FP1035" s="3"/>
      <c r="FQ1035" s="3"/>
      <c r="FR1035" s="3"/>
      <c r="FS1035" s="3"/>
      <c r="FT1035" s="3"/>
      <c r="FU1035" s="3"/>
      <c r="FV1035" s="3"/>
      <c r="FW1035" s="3"/>
      <c r="FX1035" s="3"/>
      <c r="FY1035" s="3"/>
      <c r="FZ1035" s="3"/>
      <c r="GA1035" s="3"/>
      <c r="GB1035" s="3"/>
      <c r="GC1035" s="3"/>
      <c r="GD1035" s="3"/>
      <c r="GE1035" s="3"/>
      <c r="GF1035" s="3"/>
      <c r="GG1035" s="3"/>
      <c r="GH1035" s="3"/>
      <c r="GI1035" s="3"/>
      <c r="GJ1035" s="3"/>
      <c r="GK1035" s="3"/>
      <c r="GL1035" s="3"/>
      <c r="GM1035" s="3"/>
      <c r="GN1035" s="3"/>
      <c r="GO1035" s="3"/>
      <c r="GP1035" s="3"/>
      <c r="GQ1035" s="3"/>
      <c r="GR1035" s="3"/>
      <c r="GS1035" s="3"/>
      <c r="GT1035" s="3"/>
      <c r="GU1035" s="3"/>
      <c r="GV1035" s="3"/>
      <c r="GW1035" s="3"/>
      <c r="GX1035" s="3">
        <v>0</v>
      </c>
    </row>
    <row r="1037" spans="1:206" x14ac:dyDescent="0.2">
      <c r="A1037" s="4">
        <v>50</v>
      </c>
      <c r="B1037" s="4">
        <v>0</v>
      </c>
      <c r="C1037" s="4">
        <v>0</v>
      </c>
      <c r="D1037" s="4">
        <v>1</v>
      </c>
      <c r="E1037" s="4">
        <v>201</v>
      </c>
      <c r="F1037" s="4">
        <f>ROUND(Source!O1035,O1037)</f>
        <v>1386216.38</v>
      </c>
      <c r="G1037" s="4" t="s">
        <v>36</v>
      </c>
      <c r="H1037" s="4" t="s">
        <v>37</v>
      </c>
      <c r="I1037" s="4"/>
      <c r="J1037" s="4"/>
      <c r="K1037" s="4">
        <v>201</v>
      </c>
      <c r="L1037" s="4">
        <v>1</v>
      </c>
      <c r="M1037" s="4">
        <v>3</v>
      </c>
      <c r="N1037" s="4" t="s">
        <v>3</v>
      </c>
      <c r="O1037" s="4">
        <v>2</v>
      </c>
      <c r="P1037" s="4"/>
      <c r="Q1037" s="4"/>
      <c r="R1037" s="4"/>
      <c r="S1037" s="4"/>
      <c r="T1037" s="4"/>
      <c r="U1037" s="4"/>
      <c r="V1037" s="4"/>
      <c r="W1037" s="4">
        <v>1386216.38</v>
      </c>
      <c r="X1037" s="4">
        <v>1</v>
      </c>
      <c r="Y1037" s="4">
        <v>1386216.38</v>
      </c>
      <c r="Z1037" s="4"/>
      <c r="AA1037" s="4"/>
      <c r="AB1037" s="4"/>
    </row>
    <row r="1038" spans="1:206" x14ac:dyDescent="0.2">
      <c r="A1038" s="4">
        <v>50</v>
      </c>
      <c r="B1038" s="4">
        <v>0</v>
      </c>
      <c r="C1038" s="4">
        <v>0</v>
      </c>
      <c r="D1038" s="4">
        <v>1</v>
      </c>
      <c r="E1038" s="4">
        <v>202</v>
      </c>
      <c r="F1038" s="4">
        <f>ROUND(Source!P1035,O1038)</f>
        <v>23308.04</v>
      </c>
      <c r="G1038" s="4" t="s">
        <v>38</v>
      </c>
      <c r="H1038" s="4" t="s">
        <v>39</v>
      </c>
      <c r="I1038" s="4"/>
      <c r="J1038" s="4"/>
      <c r="K1038" s="4">
        <v>202</v>
      </c>
      <c r="L1038" s="4">
        <v>2</v>
      </c>
      <c r="M1038" s="4">
        <v>3</v>
      </c>
      <c r="N1038" s="4" t="s">
        <v>3</v>
      </c>
      <c r="O1038" s="4">
        <v>2</v>
      </c>
      <c r="P1038" s="4"/>
      <c r="Q1038" s="4"/>
      <c r="R1038" s="4"/>
      <c r="S1038" s="4"/>
      <c r="T1038" s="4"/>
      <c r="U1038" s="4"/>
      <c r="V1038" s="4"/>
      <c r="W1038" s="4">
        <v>23308.04</v>
      </c>
      <c r="X1038" s="4">
        <v>1</v>
      </c>
      <c r="Y1038" s="4">
        <v>23308.04</v>
      </c>
      <c r="Z1038" s="4"/>
      <c r="AA1038" s="4"/>
      <c r="AB1038" s="4"/>
    </row>
    <row r="1039" spans="1:206" x14ac:dyDescent="0.2">
      <c r="A1039" s="4">
        <v>50</v>
      </c>
      <c r="B1039" s="4">
        <v>0</v>
      </c>
      <c r="C1039" s="4">
        <v>0</v>
      </c>
      <c r="D1039" s="4">
        <v>1</v>
      </c>
      <c r="E1039" s="4">
        <v>222</v>
      </c>
      <c r="F1039" s="4">
        <f>ROUND(Source!AO1035,O1039)</f>
        <v>0</v>
      </c>
      <c r="G1039" s="4" t="s">
        <v>40</v>
      </c>
      <c r="H1039" s="4" t="s">
        <v>41</v>
      </c>
      <c r="I1039" s="4"/>
      <c r="J1039" s="4"/>
      <c r="K1039" s="4">
        <v>222</v>
      </c>
      <c r="L1039" s="4">
        <v>3</v>
      </c>
      <c r="M1039" s="4">
        <v>3</v>
      </c>
      <c r="N1039" s="4" t="s">
        <v>3</v>
      </c>
      <c r="O1039" s="4">
        <v>2</v>
      </c>
      <c r="P1039" s="4"/>
      <c r="Q1039" s="4"/>
      <c r="R1039" s="4"/>
      <c r="S1039" s="4"/>
      <c r="T1039" s="4"/>
      <c r="U1039" s="4"/>
      <c r="V1039" s="4"/>
      <c r="W1039" s="4">
        <v>0</v>
      </c>
      <c r="X1039" s="4">
        <v>1</v>
      </c>
      <c r="Y1039" s="4">
        <v>0</v>
      </c>
      <c r="Z1039" s="4"/>
      <c r="AA1039" s="4"/>
      <c r="AB1039" s="4"/>
    </row>
    <row r="1040" spans="1:206" x14ac:dyDescent="0.2">
      <c r="A1040" s="4">
        <v>50</v>
      </c>
      <c r="B1040" s="4">
        <v>0</v>
      </c>
      <c r="C1040" s="4">
        <v>0</v>
      </c>
      <c r="D1040" s="4">
        <v>1</v>
      </c>
      <c r="E1040" s="4">
        <v>225</v>
      </c>
      <c r="F1040" s="4">
        <f>ROUND(Source!AV1035,O1040)</f>
        <v>23308.04</v>
      </c>
      <c r="G1040" s="4" t="s">
        <v>42</v>
      </c>
      <c r="H1040" s="4" t="s">
        <v>43</v>
      </c>
      <c r="I1040" s="4"/>
      <c r="J1040" s="4"/>
      <c r="K1040" s="4">
        <v>225</v>
      </c>
      <c r="L1040" s="4">
        <v>4</v>
      </c>
      <c r="M1040" s="4">
        <v>3</v>
      </c>
      <c r="N1040" s="4" t="s">
        <v>3</v>
      </c>
      <c r="O1040" s="4">
        <v>2</v>
      </c>
      <c r="P1040" s="4"/>
      <c r="Q1040" s="4"/>
      <c r="R1040" s="4"/>
      <c r="S1040" s="4"/>
      <c r="T1040" s="4"/>
      <c r="U1040" s="4"/>
      <c r="V1040" s="4"/>
      <c r="W1040" s="4">
        <v>23308.04</v>
      </c>
      <c r="X1040" s="4">
        <v>1</v>
      </c>
      <c r="Y1040" s="4">
        <v>23308.04</v>
      </c>
      <c r="Z1040" s="4"/>
      <c r="AA1040" s="4"/>
      <c r="AB1040" s="4"/>
    </row>
    <row r="1041" spans="1:28" x14ac:dyDescent="0.2">
      <c r="A1041" s="4">
        <v>50</v>
      </c>
      <c r="B1041" s="4">
        <v>0</v>
      </c>
      <c r="C1041" s="4">
        <v>0</v>
      </c>
      <c r="D1041" s="4">
        <v>1</v>
      </c>
      <c r="E1041" s="4">
        <v>226</v>
      </c>
      <c r="F1041" s="4">
        <f>ROUND(Source!AW1035,O1041)</f>
        <v>23308.04</v>
      </c>
      <c r="G1041" s="4" t="s">
        <v>44</v>
      </c>
      <c r="H1041" s="4" t="s">
        <v>45</v>
      </c>
      <c r="I1041" s="4"/>
      <c r="J1041" s="4"/>
      <c r="K1041" s="4">
        <v>226</v>
      </c>
      <c r="L1041" s="4">
        <v>5</v>
      </c>
      <c r="M1041" s="4">
        <v>3</v>
      </c>
      <c r="N1041" s="4" t="s">
        <v>3</v>
      </c>
      <c r="O1041" s="4">
        <v>2</v>
      </c>
      <c r="P1041" s="4"/>
      <c r="Q1041" s="4"/>
      <c r="R1041" s="4"/>
      <c r="S1041" s="4"/>
      <c r="T1041" s="4"/>
      <c r="U1041" s="4"/>
      <c r="V1041" s="4"/>
      <c r="W1041" s="4">
        <v>23308.04</v>
      </c>
      <c r="X1041" s="4">
        <v>1</v>
      </c>
      <c r="Y1041" s="4">
        <v>23308.04</v>
      </c>
      <c r="Z1041" s="4"/>
      <c r="AA1041" s="4"/>
      <c r="AB1041" s="4"/>
    </row>
    <row r="1042" spans="1:28" x14ac:dyDescent="0.2">
      <c r="A1042" s="4">
        <v>50</v>
      </c>
      <c r="B1042" s="4">
        <v>0</v>
      </c>
      <c r="C1042" s="4">
        <v>0</v>
      </c>
      <c r="D1042" s="4">
        <v>1</v>
      </c>
      <c r="E1042" s="4">
        <v>227</v>
      </c>
      <c r="F1042" s="4">
        <f>ROUND(Source!AX1035,O1042)</f>
        <v>0</v>
      </c>
      <c r="G1042" s="4" t="s">
        <v>46</v>
      </c>
      <c r="H1042" s="4" t="s">
        <v>47</v>
      </c>
      <c r="I1042" s="4"/>
      <c r="J1042" s="4"/>
      <c r="K1042" s="4">
        <v>227</v>
      </c>
      <c r="L1042" s="4">
        <v>6</v>
      </c>
      <c r="M1042" s="4">
        <v>3</v>
      </c>
      <c r="N1042" s="4" t="s">
        <v>3</v>
      </c>
      <c r="O1042" s="4">
        <v>2</v>
      </c>
      <c r="P1042" s="4"/>
      <c r="Q1042" s="4"/>
      <c r="R1042" s="4"/>
      <c r="S1042" s="4"/>
      <c r="T1042" s="4"/>
      <c r="U1042" s="4"/>
      <c r="V1042" s="4"/>
      <c r="W1042" s="4">
        <v>0</v>
      </c>
      <c r="X1042" s="4">
        <v>1</v>
      </c>
      <c r="Y1042" s="4">
        <v>0</v>
      </c>
      <c r="Z1042" s="4"/>
      <c r="AA1042" s="4"/>
      <c r="AB1042" s="4"/>
    </row>
    <row r="1043" spans="1:28" x14ac:dyDescent="0.2">
      <c r="A1043" s="4">
        <v>50</v>
      </c>
      <c r="B1043" s="4">
        <v>0</v>
      </c>
      <c r="C1043" s="4">
        <v>0</v>
      </c>
      <c r="D1043" s="4">
        <v>1</v>
      </c>
      <c r="E1043" s="4">
        <v>228</v>
      </c>
      <c r="F1043" s="4">
        <f>ROUND(Source!AY1035,O1043)</f>
        <v>23308.04</v>
      </c>
      <c r="G1043" s="4" t="s">
        <v>48</v>
      </c>
      <c r="H1043" s="4" t="s">
        <v>49</v>
      </c>
      <c r="I1043" s="4"/>
      <c r="J1043" s="4"/>
      <c r="K1043" s="4">
        <v>228</v>
      </c>
      <c r="L1043" s="4">
        <v>7</v>
      </c>
      <c r="M1043" s="4">
        <v>3</v>
      </c>
      <c r="N1043" s="4" t="s">
        <v>3</v>
      </c>
      <c r="O1043" s="4">
        <v>2</v>
      </c>
      <c r="P1043" s="4"/>
      <c r="Q1043" s="4"/>
      <c r="R1043" s="4"/>
      <c r="S1043" s="4"/>
      <c r="T1043" s="4"/>
      <c r="U1043" s="4"/>
      <c r="V1043" s="4"/>
      <c r="W1043" s="4">
        <v>23308.04</v>
      </c>
      <c r="X1043" s="4">
        <v>1</v>
      </c>
      <c r="Y1043" s="4">
        <v>23308.04</v>
      </c>
      <c r="Z1043" s="4"/>
      <c r="AA1043" s="4"/>
      <c r="AB1043" s="4"/>
    </row>
    <row r="1044" spans="1:28" x14ac:dyDescent="0.2">
      <c r="A1044" s="4">
        <v>50</v>
      </c>
      <c r="B1044" s="4">
        <v>0</v>
      </c>
      <c r="C1044" s="4">
        <v>0</v>
      </c>
      <c r="D1044" s="4">
        <v>1</v>
      </c>
      <c r="E1044" s="4">
        <v>216</v>
      </c>
      <c r="F1044" s="4">
        <f>ROUND(Source!AP1035,O1044)</f>
        <v>0</v>
      </c>
      <c r="G1044" s="4" t="s">
        <v>50</v>
      </c>
      <c r="H1044" s="4" t="s">
        <v>51</v>
      </c>
      <c r="I1044" s="4"/>
      <c r="J1044" s="4"/>
      <c r="K1044" s="4">
        <v>216</v>
      </c>
      <c r="L1044" s="4">
        <v>8</v>
      </c>
      <c r="M1044" s="4">
        <v>3</v>
      </c>
      <c r="N1044" s="4" t="s">
        <v>3</v>
      </c>
      <c r="O1044" s="4">
        <v>2</v>
      </c>
      <c r="P1044" s="4"/>
      <c r="Q1044" s="4"/>
      <c r="R1044" s="4"/>
      <c r="S1044" s="4"/>
      <c r="T1044" s="4"/>
      <c r="U1044" s="4"/>
      <c r="V1044" s="4"/>
      <c r="W1044" s="4">
        <v>0</v>
      </c>
      <c r="X1044" s="4">
        <v>1</v>
      </c>
      <c r="Y1044" s="4">
        <v>0</v>
      </c>
      <c r="Z1044" s="4"/>
      <c r="AA1044" s="4"/>
      <c r="AB1044" s="4"/>
    </row>
    <row r="1045" spans="1:28" x14ac:dyDescent="0.2">
      <c r="A1045" s="4">
        <v>50</v>
      </c>
      <c r="B1045" s="4">
        <v>0</v>
      </c>
      <c r="C1045" s="4">
        <v>0</v>
      </c>
      <c r="D1045" s="4">
        <v>1</v>
      </c>
      <c r="E1045" s="4">
        <v>223</v>
      </c>
      <c r="F1045" s="4">
        <f>ROUND(Source!AQ1035,O1045)</f>
        <v>0</v>
      </c>
      <c r="G1045" s="4" t="s">
        <v>52</v>
      </c>
      <c r="H1045" s="4" t="s">
        <v>53</v>
      </c>
      <c r="I1045" s="4"/>
      <c r="J1045" s="4"/>
      <c r="K1045" s="4">
        <v>223</v>
      </c>
      <c r="L1045" s="4">
        <v>9</v>
      </c>
      <c r="M1045" s="4">
        <v>3</v>
      </c>
      <c r="N1045" s="4" t="s">
        <v>3</v>
      </c>
      <c r="O1045" s="4">
        <v>2</v>
      </c>
      <c r="P1045" s="4"/>
      <c r="Q1045" s="4"/>
      <c r="R1045" s="4"/>
      <c r="S1045" s="4"/>
      <c r="T1045" s="4"/>
      <c r="U1045" s="4"/>
      <c r="V1045" s="4"/>
      <c r="W1045" s="4">
        <v>0</v>
      </c>
      <c r="X1045" s="4">
        <v>1</v>
      </c>
      <c r="Y1045" s="4">
        <v>0</v>
      </c>
      <c r="Z1045" s="4"/>
      <c r="AA1045" s="4"/>
      <c r="AB1045" s="4"/>
    </row>
    <row r="1046" spans="1:28" x14ac:dyDescent="0.2">
      <c r="A1046" s="4">
        <v>50</v>
      </c>
      <c r="B1046" s="4">
        <v>0</v>
      </c>
      <c r="C1046" s="4">
        <v>0</v>
      </c>
      <c r="D1046" s="4">
        <v>1</v>
      </c>
      <c r="E1046" s="4">
        <v>229</v>
      </c>
      <c r="F1046" s="4">
        <f>ROUND(Source!AZ1035,O1046)</f>
        <v>0</v>
      </c>
      <c r="G1046" s="4" t="s">
        <v>54</v>
      </c>
      <c r="H1046" s="4" t="s">
        <v>55</v>
      </c>
      <c r="I1046" s="4"/>
      <c r="J1046" s="4"/>
      <c r="K1046" s="4">
        <v>229</v>
      </c>
      <c r="L1046" s="4">
        <v>10</v>
      </c>
      <c r="M1046" s="4">
        <v>3</v>
      </c>
      <c r="N1046" s="4" t="s">
        <v>3</v>
      </c>
      <c r="O1046" s="4">
        <v>2</v>
      </c>
      <c r="P1046" s="4"/>
      <c r="Q1046" s="4"/>
      <c r="R1046" s="4"/>
      <c r="S1046" s="4"/>
      <c r="T1046" s="4"/>
      <c r="U1046" s="4"/>
      <c r="V1046" s="4"/>
      <c r="W1046" s="4">
        <v>0</v>
      </c>
      <c r="X1046" s="4">
        <v>1</v>
      </c>
      <c r="Y1046" s="4">
        <v>0</v>
      </c>
      <c r="Z1046" s="4"/>
      <c r="AA1046" s="4"/>
      <c r="AB1046" s="4"/>
    </row>
    <row r="1047" spans="1:28" x14ac:dyDescent="0.2">
      <c r="A1047" s="4">
        <v>50</v>
      </c>
      <c r="B1047" s="4">
        <v>0</v>
      </c>
      <c r="C1047" s="4">
        <v>0</v>
      </c>
      <c r="D1047" s="4">
        <v>1</v>
      </c>
      <c r="E1047" s="4">
        <v>203</v>
      </c>
      <c r="F1047" s="4">
        <f>ROUND(Source!Q1035,O1047)</f>
        <v>46173.42</v>
      </c>
      <c r="G1047" s="4" t="s">
        <v>56</v>
      </c>
      <c r="H1047" s="4" t="s">
        <v>57</v>
      </c>
      <c r="I1047" s="4"/>
      <c r="J1047" s="4"/>
      <c r="K1047" s="4">
        <v>203</v>
      </c>
      <c r="L1047" s="4">
        <v>11</v>
      </c>
      <c r="M1047" s="4">
        <v>3</v>
      </c>
      <c r="N1047" s="4" t="s">
        <v>3</v>
      </c>
      <c r="O1047" s="4">
        <v>2</v>
      </c>
      <c r="P1047" s="4"/>
      <c r="Q1047" s="4"/>
      <c r="R1047" s="4"/>
      <c r="S1047" s="4"/>
      <c r="T1047" s="4"/>
      <c r="U1047" s="4"/>
      <c r="V1047" s="4"/>
      <c r="W1047" s="4">
        <v>46173.42</v>
      </c>
      <c r="X1047" s="4">
        <v>1</v>
      </c>
      <c r="Y1047" s="4">
        <v>46173.42</v>
      </c>
      <c r="Z1047" s="4"/>
      <c r="AA1047" s="4"/>
      <c r="AB1047" s="4"/>
    </row>
    <row r="1048" spans="1:28" x14ac:dyDescent="0.2">
      <c r="A1048" s="4">
        <v>50</v>
      </c>
      <c r="B1048" s="4">
        <v>0</v>
      </c>
      <c r="C1048" s="4">
        <v>0</v>
      </c>
      <c r="D1048" s="4">
        <v>1</v>
      </c>
      <c r="E1048" s="4">
        <v>231</v>
      </c>
      <c r="F1048" s="4">
        <f>ROUND(Source!BB1035,O1048)</f>
        <v>0</v>
      </c>
      <c r="G1048" s="4" t="s">
        <v>58</v>
      </c>
      <c r="H1048" s="4" t="s">
        <v>59</v>
      </c>
      <c r="I1048" s="4"/>
      <c r="J1048" s="4"/>
      <c r="K1048" s="4">
        <v>231</v>
      </c>
      <c r="L1048" s="4">
        <v>12</v>
      </c>
      <c r="M1048" s="4">
        <v>3</v>
      </c>
      <c r="N1048" s="4" t="s">
        <v>3</v>
      </c>
      <c r="O1048" s="4">
        <v>2</v>
      </c>
      <c r="P1048" s="4"/>
      <c r="Q1048" s="4"/>
      <c r="R1048" s="4"/>
      <c r="S1048" s="4"/>
      <c r="T1048" s="4"/>
      <c r="U1048" s="4"/>
      <c r="V1048" s="4"/>
      <c r="W1048" s="4">
        <v>0</v>
      </c>
      <c r="X1048" s="4">
        <v>1</v>
      </c>
      <c r="Y1048" s="4">
        <v>0</v>
      </c>
      <c r="Z1048" s="4"/>
      <c r="AA1048" s="4"/>
      <c r="AB1048" s="4"/>
    </row>
    <row r="1049" spans="1:28" x14ac:dyDescent="0.2">
      <c r="A1049" s="4">
        <v>50</v>
      </c>
      <c r="B1049" s="4">
        <v>0</v>
      </c>
      <c r="C1049" s="4">
        <v>0</v>
      </c>
      <c r="D1049" s="4">
        <v>1</v>
      </c>
      <c r="E1049" s="4">
        <v>204</v>
      </c>
      <c r="F1049" s="4">
        <f>ROUND(Source!R1035,O1049)</f>
        <v>29046.75</v>
      </c>
      <c r="G1049" s="4" t="s">
        <v>60</v>
      </c>
      <c r="H1049" s="4" t="s">
        <v>61</v>
      </c>
      <c r="I1049" s="4"/>
      <c r="J1049" s="4"/>
      <c r="K1049" s="4">
        <v>204</v>
      </c>
      <c r="L1049" s="4">
        <v>13</v>
      </c>
      <c r="M1049" s="4">
        <v>3</v>
      </c>
      <c r="N1049" s="4" t="s">
        <v>3</v>
      </c>
      <c r="O1049" s="4">
        <v>2</v>
      </c>
      <c r="P1049" s="4"/>
      <c r="Q1049" s="4"/>
      <c r="R1049" s="4"/>
      <c r="S1049" s="4"/>
      <c r="T1049" s="4"/>
      <c r="U1049" s="4"/>
      <c r="V1049" s="4"/>
      <c r="W1049" s="4">
        <v>29046.75</v>
      </c>
      <c r="X1049" s="4">
        <v>1</v>
      </c>
      <c r="Y1049" s="4">
        <v>29046.75</v>
      </c>
      <c r="Z1049" s="4"/>
      <c r="AA1049" s="4"/>
      <c r="AB1049" s="4"/>
    </row>
    <row r="1050" spans="1:28" x14ac:dyDescent="0.2">
      <c r="A1050" s="4">
        <v>50</v>
      </c>
      <c r="B1050" s="4">
        <v>0</v>
      </c>
      <c r="C1050" s="4">
        <v>0</v>
      </c>
      <c r="D1050" s="4">
        <v>1</v>
      </c>
      <c r="E1050" s="4">
        <v>205</v>
      </c>
      <c r="F1050" s="4">
        <f>ROUND(Source!S1035,O1050)</f>
        <v>1316734.92</v>
      </c>
      <c r="G1050" s="4" t="s">
        <v>62</v>
      </c>
      <c r="H1050" s="4" t="s">
        <v>63</v>
      </c>
      <c r="I1050" s="4"/>
      <c r="J1050" s="4"/>
      <c r="K1050" s="4">
        <v>205</v>
      </c>
      <c r="L1050" s="4">
        <v>14</v>
      </c>
      <c r="M1050" s="4">
        <v>3</v>
      </c>
      <c r="N1050" s="4" t="s">
        <v>3</v>
      </c>
      <c r="O1050" s="4">
        <v>2</v>
      </c>
      <c r="P1050" s="4"/>
      <c r="Q1050" s="4"/>
      <c r="R1050" s="4"/>
      <c r="S1050" s="4"/>
      <c r="T1050" s="4"/>
      <c r="U1050" s="4"/>
      <c r="V1050" s="4"/>
      <c r="W1050" s="4">
        <v>1316734.92</v>
      </c>
      <c r="X1050" s="4">
        <v>1</v>
      </c>
      <c r="Y1050" s="4">
        <v>1316734.92</v>
      </c>
      <c r="Z1050" s="4"/>
      <c r="AA1050" s="4"/>
      <c r="AB1050" s="4"/>
    </row>
    <row r="1051" spans="1:28" x14ac:dyDescent="0.2">
      <c r="A1051" s="4">
        <v>50</v>
      </c>
      <c r="B1051" s="4">
        <v>0</v>
      </c>
      <c r="C1051" s="4">
        <v>0</v>
      </c>
      <c r="D1051" s="4">
        <v>1</v>
      </c>
      <c r="E1051" s="4">
        <v>232</v>
      </c>
      <c r="F1051" s="4">
        <f>ROUND(Source!BC1035,O1051)</f>
        <v>0</v>
      </c>
      <c r="G1051" s="4" t="s">
        <v>64</v>
      </c>
      <c r="H1051" s="4" t="s">
        <v>65</v>
      </c>
      <c r="I1051" s="4"/>
      <c r="J1051" s="4"/>
      <c r="K1051" s="4">
        <v>232</v>
      </c>
      <c r="L1051" s="4">
        <v>15</v>
      </c>
      <c r="M1051" s="4">
        <v>3</v>
      </c>
      <c r="N1051" s="4" t="s">
        <v>3</v>
      </c>
      <c r="O1051" s="4">
        <v>2</v>
      </c>
      <c r="P1051" s="4"/>
      <c r="Q1051" s="4"/>
      <c r="R1051" s="4"/>
      <c r="S1051" s="4"/>
      <c r="T1051" s="4"/>
      <c r="U1051" s="4"/>
      <c r="V1051" s="4"/>
      <c r="W1051" s="4">
        <v>0</v>
      </c>
      <c r="X1051" s="4">
        <v>1</v>
      </c>
      <c r="Y1051" s="4">
        <v>0</v>
      </c>
      <c r="Z1051" s="4"/>
      <c r="AA1051" s="4"/>
      <c r="AB1051" s="4"/>
    </row>
    <row r="1052" spans="1:28" x14ac:dyDescent="0.2">
      <c r="A1052" s="4">
        <v>50</v>
      </c>
      <c r="B1052" s="4">
        <v>0</v>
      </c>
      <c r="C1052" s="4">
        <v>0</v>
      </c>
      <c r="D1052" s="4">
        <v>1</v>
      </c>
      <c r="E1052" s="4">
        <v>214</v>
      </c>
      <c r="F1052" s="4">
        <f>ROUND(Source!AS1035,O1052)</f>
        <v>0</v>
      </c>
      <c r="G1052" s="4" t="s">
        <v>66</v>
      </c>
      <c r="H1052" s="4" t="s">
        <v>67</v>
      </c>
      <c r="I1052" s="4"/>
      <c r="J1052" s="4"/>
      <c r="K1052" s="4">
        <v>214</v>
      </c>
      <c r="L1052" s="4">
        <v>16</v>
      </c>
      <c r="M1052" s="4">
        <v>3</v>
      </c>
      <c r="N1052" s="4" t="s">
        <v>3</v>
      </c>
      <c r="O1052" s="4">
        <v>2</v>
      </c>
      <c r="P1052" s="4"/>
      <c r="Q1052" s="4"/>
      <c r="R1052" s="4"/>
      <c r="S1052" s="4"/>
      <c r="T1052" s="4"/>
      <c r="U1052" s="4"/>
      <c r="V1052" s="4"/>
      <c r="W1052" s="4">
        <v>0</v>
      </c>
      <c r="X1052" s="4">
        <v>1</v>
      </c>
      <c r="Y1052" s="4">
        <v>0</v>
      </c>
      <c r="Z1052" s="4"/>
      <c r="AA1052" s="4"/>
      <c r="AB1052" s="4"/>
    </row>
    <row r="1053" spans="1:28" x14ac:dyDescent="0.2">
      <c r="A1053" s="4">
        <v>50</v>
      </c>
      <c r="B1053" s="4">
        <v>0</v>
      </c>
      <c r="C1053" s="4">
        <v>0</v>
      </c>
      <c r="D1053" s="4">
        <v>1</v>
      </c>
      <c r="E1053" s="4">
        <v>215</v>
      </c>
      <c r="F1053" s="4">
        <f>ROUND(Source!AT1035,O1053)</f>
        <v>0</v>
      </c>
      <c r="G1053" s="4" t="s">
        <v>68</v>
      </c>
      <c r="H1053" s="4" t="s">
        <v>69</v>
      </c>
      <c r="I1053" s="4"/>
      <c r="J1053" s="4"/>
      <c r="K1053" s="4">
        <v>215</v>
      </c>
      <c r="L1053" s="4">
        <v>17</v>
      </c>
      <c r="M1053" s="4">
        <v>3</v>
      </c>
      <c r="N1053" s="4" t="s">
        <v>3</v>
      </c>
      <c r="O1053" s="4">
        <v>2</v>
      </c>
      <c r="P1053" s="4"/>
      <c r="Q1053" s="4"/>
      <c r="R1053" s="4"/>
      <c r="S1053" s="4"/>
      <c r="T1053" s="4"/>
      <c r="U1053" s="4"/>
      <c r="V1053" s="4"/>
      <c r="W1053" s="4">
        <v>0</v>
      </c>
      <c r="X1053" s="4">
        <v>1</v>
      </c>
      <c r="Y1053" s="4">
        <v>0</v>
      </c>
      <c r="Z1053" s="4"/>
      <c r="AA1053" s="4"/>
      <c r="AB1053" s="4"/>
    </row>
    <row r="1054" spans="1:28" x14ac:dyDescent="0.2">
      <c r="A1054" s="4">
        <v>50</v>
      </c>
      <c r="B1054" s="4">
        <v>0</v>
      </c>
      <c r="C1054" s="4">
        <v>0</v>
      </c>
      <c r="D1054" s="4">
        <v>1</v>
      </c>
      <c r="E1054" s="4">
        <v>217</v>
      </c>
      <c r="F1054" s="4">
        <f>ROUND(Source!AU1035,O1054)</f>
        <v>2470974.9</v>
      </c>
      <c r="G1054" s="4" t="s">
        <v>70</v>
      </c>
      <c r="H1054" s="4" t="s">
        <v>71</v>
      </c>
      <c r="I1054" s="4"/>
      <c r="J1054" s="4"/>
      <c r="K1054" s="4">
        <v>217</v>
      </c>
      <c r="L1054" s="4">
        <v>18</v>
      </c>
      <c r="M1054" s="4">
        <v>3</v>
      </c>
      <c r="N1054" s="4" t="s">
        <v>3</v>
      </c>
      <c r="O1054" s="4">
        <v>2</v>
      </c>
      <c r="P1054" s="4"/>
      <c r="Q1054" s="4"/>
      <c r="R1054" s="4"/>
      <c r="S1054" s="4"/>
      <c r="T1054" s="4"/>
      <c r="U1054" s="4"/>
      <c r="V1054" s="4"/>
      <c r="W1054" s="4">
        <v>2470974.9</v>
      </c>
      <c r="X1054" s="4">
        <v>1</v>
      </c>
      <c r="Y1054" s="4">
        <v>2470974.9</v>
      </c>
      <c r="Z1054" s="4"/>
      <c r="AA1054" s="4"/>
      <c r="AB1054" s="4"/>
    </row>
    <row r="1055" spans="1:28" x14ac:dyDescent="0.2">
      <c r="A1055" s="4">
        <v>50</v>
      </c>
      <c r="B1055" s="4">
        <v>0</v>
      </c>
      <c r="C1055" s="4">
        <v>0</v>
      </c>
      <c r="D1055" s="4">
        <v>1</v>
      </c>
      <c r="E1055" s="4">
        <v>230</v>
      </c>
      <c r="F1055" s="4">
        <f>ROUND(Source!BA1035,O1055)</f>
        <v>0</v>
      </c>
      <c r="G1055" s="4" t="s">
        <v>72</v>
      </c>
      <c r="H1055" s="4" t="s">
        <v>73</v>
      </c>
      <c r="I1055" s="4"/>
      <c r="J1055" s="4"/>
      <c r="K1055" s="4">
        <v>230</v>
      </c>
      <c r="L1055" s="4">
        <v>19</v>
      </c>
      <c r="M1055" s="4">
        <v>3</v>
      </c>
      <c r="N1055" s="4" t="s">
        <v>3</v>
      </c>
      <c r="O1055" s="4">
        <v>2</v>
      </c>
      <c r="P1055" s="4"/>
      <c r="Q1055" s="4"/>
      <c r="R1055" s="4"/>
      <c r="S1055" s="4"/>
      <c r="T1055" s="4"/>
      <c r="U1055" s="4"/>
      <c r="V1055" s="4"/>
      <c r="W1055" s="4">
        <v>0</v>
      </c>
      <c r="X1055" s="4">
        <v>1</v>
      </c>
      <c r="Y1055" s="4">
        <v>0</v>
      </c>
      <c r="Z1055" s="4"/>
      <c r="AA1055" s="4"/>
      <c r="AB1055" s="4"/>
    </row>
    <row r="1056" spans="1:28" x14ac:dyDescent="0.2">
      <c r="A1056" s="4">
        <v>50</v>
      </c>
      <c r="B1056" s="4">
        <v>0</v>
      </c>
      <c r="C1056" s="4">
        <v>0</v>
      </c>
      <c r="D1056" s="4">
        <v>1</v>
      </c>
      <c r="E1056" s="4">
        <v>206</v>
      </c>
      <c r="F1056" s="4">
        <f>ROUND(Source!T1035,O1056)</f>
        <v>0</v>
      </c>
      <c r="G1056" s="4" t="s">
        <v>74</v>
      </c>
      <c r="H1056" s="4" t="s">
        <v>75</v>
      </c>
      <c r="I1056" s="4"/>
      <c r="J1056" s="4"/>
      <c r="K1056" s="4">
        <v>206</v>
      </c>
      <c r="L1056" s="4">
        <v>20</v>
      </c>
      <c r="M1056" s="4">
        <v>3</v>
      </c>
      <c r="N1056" s="4" t="s">
        <v>3</v>
      </c>
      <c r="O1056" s="4">
        <v>2</v>
      </c>
      <c r="P1056" s="4"/>
      <c r="Q1056" s="4"/>
      <c r="R1056" s="4"/>
      <c r="S1056" s="4"/>
      <c r="T1056" s="4"/>
      <c r="U1056" s="4"/>
      <c r="V1056" s="4"/>
      <c r="W1056" s="4">
        <v>0</v>
      </c>
      <c r="X1056" s="4">
        <v>1</v>
      </c>
      <c r="Y1056" s="4">
        <v>0</v>
      </c>
      <c r="Z1056" s="4"/>
      <c r="AA1056" s="4"/>
      <c r="AB1056" s="4"/>
    </row>
    <row r="1057" spans="1:28" x14ac:dyDescent="0.2">
      <c r="A1057" s="4">
        <v>50</v>
      </c>
      <c r="B1057" s="4">
        <v>0</v>
      </c>
      <c r="C1057" s="4">
        <v>0</v>
      </c>
      <c r="D1057" s="4">
        <v>1</v>
      </c>
      <c r="E1057" s="4">
        <v>207</v>
      </c>
      <c r="F1057" s="4">
        <f>Source!U1035</f>
        <v>2123.2850680000001</v>
      </c>
      <c r="G1057" s="4" t="s">
        <v>76</v>
      </c>
      <c r="H1057" s="4" t="s">
        <v>77</v>
      </c>
      <c r="I1057" s="4"/>
      <c r="J1057" s="4"/>
      <c r="K1057" s="4">
        <v>207</v>
      </c>
      <c r="L1057" s="4">
        <v>21</v>
      </c>
      <c r="M1057" s="4">
        <v>3</v>
      </c>
      <c r="N1057" s="4" t="s">
        <v>3</v>
      </c>
      <c r="O1057" s="4">
        <v>-1</v>
      </c>
      <c r="P1057" s="4"/>
      <c r="Q1057" s="4"/>
      <c r="R1057" s="4"/>
      <c r="S1057" s="4"/>
      <c r="T1057" s="4"/>
      <c r="U1057" s="4"/>
      <c r="V1057" s="4"/>
      <c r="W1057" s="4">
        <v>2123.2850680000006</v>
      </c>
      <c r="X1057" s="4">
        <v>1</v>
      </c>
      <c r="Y1057" s="4">
        <v>2123.2850680000006</v>
      </c>
      <c r="Z1057" s="4"/>
      <c r="AA1057" s="4"/>
      <c r="AB1057" s="4"/>
    </row>
    <row r="1058" spans="1:28" x14ac:dyDescent="0.2">
      <c r="A1058" s="4">
        <v>50</v>
      </c>
      <c r="B1058" s="4">
        <v>0</v>
      </c>
      <c r="C1058" s="4">
        <v>0</v>
      </c>
      <c r="D1058" s="4">
        <v>1</v>
      </c>
      <c r="E1058" s="4">
        <v>208</v>
      </c>
      <c r="F1058" s="4">
        <f>Source!V1035</f>
        <v>0</v>
      </c>
      <c r="G1058" s="4" t="s">
        <v>78</v>
      </c>
      <c r="H1058" s="4" t="s">
        <v>79</v>
      </c>
      <c r="I1058" s="4"/>
      <c r="J1058" s="4"/>
      <c r="K1058" s="4">
        <v>208</v>
      </c>
      <c r="L1058" s="4">
        <v>22</v>
      </c>
      <c r="M1058" s="4">
        <v>3</v>
      </c>
      <c r="N1058" s="4" t="s">
        <v>3</v>
      </c>
      <c r="O1058" s="4">
        <v>-1</v>
      </c>
      <c r="P1058" s="4"/>
      <c r="Q1058" s="4"/>
      <c r="R1058" s="4"/>
      <c r="S1058" s="4"/>
      <c r="T1058" s="4"/>
      <c r="U1058" s="4"/>
      <c r="V1058" s="4"/>
      <c r="W1058" s="4">
        <v>0</v>
      </c>
      <c r="X1058" s="4">
        <v>1</v>
      </c>
      <c r="Y1058" s="4">
        <v>0</v>
      </c>
      <c r="Z1058" s="4"/>
      <c r="AA1058" s="4"/>
      <c r="AB1058" s="4"/>
    </row>
    <row r="1059" spans="1:28" x14ac:dyDescent="0.2">
      <c r="A1059" s="4">
        <v>50</v>
      </c>
      <c r="B1059" s="4">
        <v>0</v>
      </c>
      <c r="C1059" s="4">
        <v>0</v>
      </c>
      <c r="D1059" s="4">
        <v>1</v>
      </c>
      <c r="E1059" s="4">
        <v>209</v>
      </c>
      <c r="F1059" s="4">
        <f>ROUND(Source!W1035,O1059)</f>
        <v>0</v>
      </c>
      <c r="G1059" s="4" t="s">
        <v>80</v>
      </c>
      <c r="H1059" s="4" t="s">
        <v>81</v>
      </c>
      <c r="I1059" s="4"/>
      <c r="J1059" s="4"/>
      <c r="K1059" s="4">
        <v>209</v>
      </c>
      <c r="L1059" s="4">
        <v>23</v>
      </c>
      <c r="M1059" s="4">
        <v>3</v>
      </c>
      <c r="N1059" s="4" t="s">
        <v>3</v>
      </c>
      <c r="O1059" s="4">
        <v>2</v>
      </c>
      <c r="P1059" s="4"/>
      <c r="Q1059" s="4"/>
      <c r="R1059" s="4"/>
      <c r="S1059" s="4"/>
      <c r="T1059" s="4"/>
      <c r="U1059" s="4"/>
      <c r="V1059" s="4"/>
      <c r="W1059" s="4">
        <v>0</v>
      </c>
      <c r="X1059" s="4">
        <v>1</v>
      </c>
      <c r="Y1059" s="4">
        <v>0</v>
      </c>
      <c r="Z1059" s="4"/>
      <c r="AA1059" s="4"/>
      <c r="AB1059" s="4"/>
    </row>
    <row r="1060" spans="1:28" x14ac:dyDescent="0.2">
      <c r="A1060" s="4">
        <v>50</v>
      </c>
      <c r="B1060" s="4">
        <v>0</v>
      </c>
      <c r="C1060" s="4">
        <v>0</v>
      </c>
      <c r="D1060" s="4">
        <v>1</v>
      </c>
      <c r="E1060" s="4">
        <v>233</v>
      </c>
      <c r="F1060" s="4">
        <f>ROUND(Source!BD1035,O1060)</f>
        <v>0</v>
      </c>
      <c r="G1060" s="4" t="s">
        <v>82</v>
      </c>
      <c r="H1060" s="4" t="s">
        <v>83</v>
      </c>
      <c r="I1060" s="4"/>
      <c r="J1060" s="4"/>
      <c r="K1060" s="4">
        <v>233</v>
      </c>
      <c r="L1060" s="4">
        <v>24</v>
      </c>
      <c r="M1060" s="4">
        <v>3</v>
      </c>
      <c r="N1060" s="4" t="s">
        <v>3</v>
      </c>
      <c r="O1060" s="4">
        <v>2</v>
      </c>
      <c r="P1060" s="4"/>
      <c r="Q1060" s="4"/>
      <c r="R1060" s="4"/>
      <c r="S1060" s="4"/>
      <c r="T1060" s="4"/>
      <c r="U1060" s="4"/>
      <c r="V1060" s="4"/>
      <c r="W1060" s="4">
        <v>0</v>
      </c>
      <c r="X1060" s="4">
        <v>1</v>
      </c>
      <c r="Y1060" s="4">
        <v>0</v>
      </c>
      <c r="Z1060" s="4"/>
      <c r="AA1060" s="4"/>
      <c r="AB1060" s="4"/>
    </row>
    <row r="1061" spans="1:28" x14ac:dyDescent="0.2">
      <c r="A1061" s="4">
        <v>50</v>
      </c>
      <c r="B1061" s="4">
        <v>0</v>
      </c>
      <c r="C1061" s="4">
        <v>0</v>
      </c>
      <c r="D1061" s="4">
        <v>1</v>
      </c>
      <c r="E1061" s="4">
        <v>210</v>
      </c>
      <c r="F1061" s="4">
        <f>ROUND(Source!X1035,O1061)</f>
        <v>921714.54</v>
      </c>
      <c r="G1061" s="4" t="s">
        <v>84</v>
      </c>
      <c r="H1061" s="4" t="s">
        <v>85</v>
      </c>
      <c r="I1061" s="4"/>
      <c r="J1061" s="4"/>
      <c r="K1061" s="4">
        <v>210</v>
      </c>
      <c r="L1061" s="4">
        <v>25</v>
      </c>
      <c r="M1061" s="4">
        <v>3</v>
      </c>
      <c r="N1061" s="4" t="s">
        <v>3</v>
      </c>
      <c r="O1061" s="4">
        <v>2</v>
      </c>
      <c r="P1061" s="4"/>
      <c r="Q1061" s="4"/>
      <c r="R1061" s="4"/>
      <c r="S1061" s="4"/>
      <c r="T1061" s="4"/>
      <c r="U1061" s="4"/>
      <c r="V1061" s="4"/>
      <c r="W1061" s="4">
        <v>921714.54</v>
      </c>
      <c r="X1061" s="4">
        <v>1</v>
      </c>
      <c r="Y1061" s="4">
        <v>921714.54</v>
      </c>
      <c r="Z1061" s="4"/>
      <c r="AA1061" s="4"/>
      <c r="AB1061" s="4"/>
    </row>
    <row r="1062" spans="1:28" x14ac:dyDescent="0.2">
      <c r="A1062" s="4">
        <v>50</v>
      </c>
      <c r="B1062" s="4">
        <v>0</v>
      </c>
      <c r="C1062" s="4">
        <v>0</v>
      </c>
      <c r="D1062" s="4">
        <v>1</v>
      </c>
      <c r="E1062" s="4">
        <v>211</v>
      </c>
      <c r="F1062" s="4">
        <f>ROUND(Source!Y1035,O1062)</f>
        <v>131673.51</v>
      </c>
      <c r="G1062" s="4" t="s">
        <v>86</v>
      </c>
      <c r="H1062" s="4" t="s">
        <v>87</v>
      </c>
      <c r="I1062" s="4"/>
      <c r="J1062" s="4"/>
      <c r="K1062" s="4">
        <v>211</v>
      </c>
      <c r="L1062" s="4">
        <v>26</v>
      </c>
      <c r="M1062" s="4">
        <v>3</v>
      </c>
      <c r="N1062" s="4" t="s">
        <v>3</v>
      </c>
      <c r="O1062" s="4">
        <v>2</v>
      </c>
      <c r="P1062" s="4"/>
      <c r="Q1062" s="4"/>
      <c r="R1062" s="4"/>
      <c r="S1062" s="4"/>
      <c r="T1062" s="4"/>
      <c r="U1062" s="4"/>
      <c r="V1062" s="4"/>
      <c r="W1062" s="4">
        <v>131673.51</v>
      </c>
      <c r="X1062" s="4">
        <v>1</v>
      </c>
      <c r="Y1062" s="4">
        <v>131673.51</v>
      </c>
      <c r="Z1062" s="4"/>
      <c r="AA1062" s="4"/>
      <c r="AB1062" s="4"/>
    </row>
    <row r="1063" spans="1:28" x14ac:dyDescent="0.2">
      <c r="A1063" s="4">
        <v>50</v>
      </c>
      <c r="B1063" s="4">
        <v>0</v>
      </c>
      <c r="C1063" s="4">
        <v>0</v>
      </c>
      <c r="D1063" s="4">
        <v>1</v>
      </c>
      <c r="E1063" s="4">
        <v>224</v>
      </c>
      <c r="F1063" s="4">
        <f>ROUND(Source!AR1035,O1063)</f>
        <v>2470974.9</v>
      </c>
      <c r="G1063" s="4" t="s">
        <v>88</v>
      </c>
      <c r="H1063" s="4" t="s">
        <v>89</v>
      </c>
      <c r="I1063" s="4"/>
      <c r="J1063" s="4"/>
      <c r="K1063" s="4">
        <v>224</v>
      </c>
      <c r="L1063" s="4">
        <v>27</v>
      </c>
      <c r="M1063" s="4">
        <v>3</v>
      </c>
      <c r="N1063" s="4" t="s">
        <v>3</v>
      </c>
      <c r="O1063" s="4">
        <v>2</v>
      </c>
      <c r="P1063" s="4"/>
      <c r="Q1063" s="4"/>
      <c r="R1063" s="4"/>
      <c r="S1063" s="4"/>
      <c r="T1063" s="4"/>
      <c r="U1063" s="4"/>
      <c r="V1063" s="4"/>
      <c r="W1063" s="4">
        <v>2470974.9</v>
      </c>
      <c r="X1063" s="4">
        <v>1</v>
      </c>
      <c r="Y1063" s="4">
        <v>2470974.9</v>
      </c>
      <c r="Z1063" s="4"/>
      <c r="AA1063" s="4"/>
      <c r="AB1063" s="4"/>
    </row>
    <row r="1064" spans="1:28" x14ac:dyDescent="0.2">
      <c r="A1064" s="4">
        <v>50</v>
      </c>
      <c r="B1064" s="4">
        <v>1</v>
      </c>
      <c r="C1064" s="4">
        <v>0</v>
      </c>
      <c r="D1064" s="4">
        <v>2</v>
      </c>
      <c r="E1064" s="4">
        <v>0</v>
      </c>
      <c r="F1064" s="4">
        <f>ROUND(F1063,O1064)</f>
        <v>2470974.9</v>
      </c>
      <c r="G1064" s="4" t="s">
        <v>875</v>
      </c>
      <c r="H1064" s="4" t="s">
        <v>876</v>
      </c>
      <c r="I1064" s="4"/>
      <c r="J1064" s="4"/>
      <c r="K1064" s="4">
        <v>212</v>
      </c>
      <c r="L1064" s="4">
        <v>28</v>
      </c>
      <c r="M1064" s="4">
        <v>0</v>
      </c>
      <c r="N1064" s="4" t="s">
        <v>3</v>
      </c>
      <c r="O1064" s="4">
        <v>2</v>
      </c>
      <c r="P1064" s="4"/>
      <c r="Q1064" s="4"/>
      <c r="R1064" s="4"/>
      <c r="S1064" s="4"/>
      <c r="T1064" s="4"/>
      <c r="U1064" s="4"/>
      <c r="V1064" s="4"/>
      <c r="W1064" s="4">
        <v>2470974.9</v>
      </c>
      <c r="X1064" s="4">
        <v>1</v>
      </c>
      <c r="Y1064" s="4">
        <v>2470974.9</v>
      </c>
      <c r="Z1064" s="4"/>
      <c r="AA1064" s="4"/>
      <c r="AB1064" s="4"/>
    </row>
    <row r="1065" spans="1:28" x14ac:dyDescent="0.2">
      <c r="A1065" s="4">
        <v>50</v>
      </c>
      <c r="B1065" s="4">
        <v>1</v>
      </c>
      <c r="C1065" s="4">
        <v>0</v>
      </c>
      <c r="D1065" s="4">
        <v>2</v>
      </c>
      <c r="E1065" s="4">
        <v>0</v>
      </c>
      <c r="F1065" s="4">
        <f>ROUND(F1064*0.22,O1065)</f>
        <v>543614.48</v>
      </c>
      <c r="G1065" s="4" t="s">
        <v>877</v>
      </c>
      <c r="H1065" s="4" t="s">
        <v>1161</v>
      </c>
      <c r="I1065" s="4"/>
      <c r="J1065" s="4"/>
      <c r="K1065" s="4">
        <v>212</v>
      </c>
      <c r="L1065" s="4">
        <v>29</v>
      </c>
      <c r="M1065" s="4">
        <v>0</v>
      </c>
      <c r="N1065" s="4" t="s">
        <v>3</v>
      </c>
      <c r="O1065" s="4">
        <v>2</v>
      </c>
      <c r="P1065" s="4"/>
      <c r="Q1065" s="4"/>
      <c r="R1065" s="4"/>
      <c r="S1065" s="4"/>
      <c r="T1065" s="4"/>
      <c r="U1065" s="4"/>
      <c r="V1065" s="4"/>
      <c r="W1065" s="4">
        <v>494194.98</v>
      </c>
      <c r="X1065" s="4">
        <v>1</v>
      </c>
      <c r="Y1065" s="4">
        <v>494194.98</v>
      </c>
      <c r="Z1065" s="4"/>
      <c r="AA1065" s="4"/>
      <c r="AB1065" s="4"/>
    </row>
    <row r="1066" spans="1:28" x14ac:dyDescent="0.2">
      <c r="A1066" s="4">
        <v>50</v>
      </c>
      <c r="B1066" s="4">
        <v>1</v>
      </c>
      <c r="C1066" s="4">
        <v>0</v>
      </c>
      <c r="D1066" s="4">
        <v>2</v>
      </c>
      <c r="E1066" s="4">
        <v>0</v>
      </c>
      <c r="F1066" s="4">
        <f>ROUND(F1064+F1065,O1066)</f>
        <v>3014589.38</v>
      </c>
      <c r="G1066" s="4" t="s">
        <v>879</v>
      </c>
      <c r="H1066" s="4" t="s">
        <v>880</v>
      </c>
      <c r="I1066" s="4"/>
      <c r="J1066" s="4"/>
      <c r="K1066" s="4">
        <v>212</v>
      </c>
      <c r="L1066" s="4">
        <v>30</v>
      </c>
      <c r="M1066" s="4">
        <v>0</v>
      </c>
      <c r="N1066" s="4" t="s">
        <v>3</v>
      </c>
      <c r="O1066" s="4">
        <v>2</v>
      </c>
      <c r="P1066" s="4"/>
      <c r="Q1066" s="4"/>
      <c r="R1066" s="4"/>
      <c r="S1066" s="4"/>
      <c r="T1066" s="4"/>
      <c r="U1066" s="4"/>
      <c r="V1066" s="4"/>
      <c r="W1066" s="4">
        <v>2965169.88</v>
      </c>
      <c r="X1066" s="4">
        <v>1</v>
      </c>
      <c r="Y1066" s="4">
        <v>2965169.88</v>
      </c>
      <c r="Z1066" s="4"/>
      <c r="AA1066" s="4"/>
      <c r="AB1066" s="4"/>
    </row>
    <row r="1068" spans="1:28" x14ac:dyDescent="0.2">
      <c r="A1068" s="5">
        <v>61</v>
      </c>
      <c r="B1068" s="5"/>
      <c r="C1068" s="5"/>
      <c r="D1068" s="5"/>
      <c r="E1068" s="5"/>
      <c r="F1068" s="5">
        <v>0</v>
      </c>
      <c r="G1068" s="5" t="s">
        <v>3</v>
      </c>
      <c r="H1068" s="5" t="s">
        <v>3</v>
      </c>
    </row>
    <row r="1069" spans="1:28" x14ac:dyDescent="0.2">
      <c r="A1069" s="5">
        <v>61</v>
      </c>
      <c r="B1069" s="5"/>
      <c r="C1069" s="5"/>
      <c r="D1069" s="5"/>
      <c r="E1069" s="5"/>
      <c r="F1069" s="5">
        <v>0</v>
      </c>
      <c r="G1069" s="5" t="s">
        <v>881</v>
      </c>
      <c r="H1069" s="5" t="s">
        <v>882</v>
      </c>
    </row>
    <row r="1072" spans="1:28" x14ac:dyDescent="0.2">
      <c r="A1072">
        <v>-1</v>
      </c>
    </row>
    <row r="1074" spans="1:15" x14ac:dyDescent="0.2">
      <c r="A1074" s="3">
        <v>75</v>
      </c>
      <c r="B1074" s="3" t="s">
        <v>883</v>
      </c>
      <c r="C1074" s="3">
        <v>2025</v>
      </c>
      <c r="D1074" s="3">
        <v>0</v>
      </c>
      <c r="E1074" s="3">
        <v>10</v>
      </c>
      <c r="F1074" s="3">
        <v>0</v>
      </c>
      <c r="G1074" s="3">
        <v>0</v>
      </c>
      <c r="H1074" s="3">
        <v>1</v>
      </c>
      <c r="I1074" s="3">
        <v>0</v>
      </c>
      <c r="J1074" s="3">
        <v>1</v>
      </c>
      <c r="K1074" s="3">
        <v>78</v>
      </c>
      <c r="L1074" s="3">
        <v>30</v>
      </c>
      <c r="M1074" s="3">
        <v>0</v>
      </c>
      <c r="N1074" s="3">
        <v>1472506909</v>
      </c>
      <c r="O1074" s="3">
        <v>1</v>
      </c>
    </row>
    <row r="1078" spans="1:15" x14ac:dyDescent="0.2">
      <c r="A1078">
        <v>65</v>
      </c>
      <c r="C1078">
        <v>1</v>
      </c>
      <c r="D1078">
        <v>0</v>
      </c>
      <c r="E1078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884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1472506909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12</v>
      </c>
      <c r="D16" s="6" t="s">
        <v>12</v>
      </c>
      <c r="E16" s="7">
        <f>ROUND((Source!F1022)/1000,2)</f>
        <v>0</v>
      </c>
      <c r="F16" s="7">
        <f>ROUND((Source!F1023)/1000,2)</f>
        <v>0</v>
      </c>
      <c r="G16" s="7">
        <f>ROUND((Source!F1014)/1000,2)</f>
        <v>0</v>
      </c>
      <c r="H16" s="7">
        <f>ROUND((Source!F1024)/1000+(Source!F1025)/1000,2)</f>
        <v>2470.9699999999998</v>
      </c>
      <c r="I16" s="7">
        <f>E16+F16+G16+H16</f>
        <v>2470.9699999999998</v>
      </c>
      <c r="J16" s="7">
        <f>ROUND((Source!F1020+Source!F1019)/1000,2)</f>
        <v>1345.78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1386216.38</v>
      </c>
      <c r="AU16" s="7">
        <v>23308.04</v>
      </c>
      <c r="AV16" s="7">
        <v>0</v>
      </c>
      <c r="AW16" s="7">
        <v>0</v>
      </c>
      <c r="AX16" s="7">
        <v>0</v>
      </c>
      <c r="AY16" s="7">
        <v>46173.42</v>
      </c>
      <c r="AZ16" s="7">
        <v>29046.75</v>
      </c>
      <c r="BA16" s="7">
        <v>1316734.92</v>
      </c>
      <c r="BB16" s="7">
        <v>0</v>
      </c>
      <c r="BC16" s="7">
        <v>0</v>
      </c>
      <c r="BD16" s="7">
        <v>2470974.9</v>
      </c>
      <c r="BE16" s="7">
        <v>0</v>
      </c>
      <c r="BF16" s="7">
        <v>2123.2850680000006</v>
      </c>
      <c r="BG16" s="7">
        <v>0</v>
      </c>
      <c r="BH16" s="7">
        <v>0</v>
      </c>
      <c r="BI16" s="7">
        <v>921714.54</v>
      </c>
      <c r="BJ16" s="7">
        <v>131673.51</v>
      </c>
      <c r="BK16" s="7">
        <v>2470974.9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2470.9699999999998</v>
      </c>
      <c r="I18" s="5">
        <f>SUMIF(A16:A17,3,I16:I17)</f>
        <v>2470.9699999999998</v>
      </c>
      <c r="J18" s="5">
        <f>SUMIF(A16:A17,3,J16:J17)</f>
        <v>1345.78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1386216.38</v>
      </c>
      <c r="G20" s="4" t="s">
        <v>36</v>
      </c>
      <c r="H20" s="4" t="s">
        <v>37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23308.04</v>
      </c>
      <c r="G21" s="4" t="s">
        <v>38</v>
      </c>
      <c r="H21" s="4" t="s">
        <v>39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40</v>
      </c>
      <c r="H22" s="4" t="s">
        <v>41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23308.04</v>
      </c>
      <c r="G23" s="4" t="s">
        <v>42</v>
      </c>
      <c r="H23" s="4" t="s">
        <v>43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23308.04</v>
      </c>
      <c r="G24" s="4" t="s">
        <v>44</v>
      </c>
      <c r="H24" s="4" t="s">
        <v>45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46</v>
      </c>
      <c r="H25" s="4" t="s">
        <v>47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23308.04</v>
      </c>
      <c r="G26" s="4" t="s">
        <v>48</v>
      </c>
      <c r="H26" s="4" t="s">
        <v>49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50</v>
      </c>
      <c r="H27" s="4" t="s">
        <v>51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52</v>
      </c>
      <c r="H28" s="4" t="s">
        <v>53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54</v>
      </c>
      <c r="H29" s="4" t="s">
        <v>55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46173.42</v>
      </c>
      <c r="G30" s="4" t="s">
        <v>56</v>
      </c>
      <c r="H30" s="4" t="s">
        <v>57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58</v>
      </c>
      <c r="H31" s="4" t="s">
        <v>59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29046.75</v>
      </c>
      <c r="G32" s="4" t="s">
        <v>60</v>
      </c>
      <c r="H32" s="4" t="s">
        <v>61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1316734.92</v>
      </c>
      <c r="G33" s="4" t="s">
        <v>62</v>
      </c>
      <c r="H33" s="4" t="s">
        <v>63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64</v>
      </c>
      <c r="H34" s="4" t="s">
        <v>65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66</v>
      </c>
      <c r="H35" s="4" t="s">
        <v>67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68</v>
      </c>
      <c r="H36" s="4" t="s">
        <v>69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2470974.9</v>
      </c>
      <c r="G37" s="4" t="s">
        <v>70</v>
      </c>
      <c r="H37" s="4" t="s">
        <v>71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72</v>
      </c>
      <c r="H38" s="4" t="s">
        <v>73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74</v>
      </c>
      <c r="H39" s="4" t="s">
        <v>75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2123.2850680000006</v>
      </c>
      <c r="G40" s="4" t="s">
        <v>76</v>
      </c>
      <c r="H40" s="4" t="s">
        <v>77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78</v>
      </c>
      <c r="H41" s="4" t="s">
        <v>79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80</v>
      </c>
      <c r="H42" s="4" t="s">
        <v>81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82</v>
      </c>
      <c r="H43" s="4" t="s">
        <v>83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921714.54</v>
      </c>
      <c r="G44" s="4" t="s">
        <v>84</v>
      </c>
      <c r="H44" s="4" t="s">
        <v>85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131673.51</v>
      </c>
      <c r="G45" s="4" t="s">
        <v>86</v>
      </c>
      <c r="H45" s="4" t="s">
        <v>87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2470974.9</v>
      </c>
      <c r="G46" s="4" t="s">
        <v>88</v>
      </c>
      <c r="H46" s="4" t="s">
        <v>89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2470974.9</v>
      </c>
      <c r="G47" s="4" t="s">
        <v>875</v>
      </c>
      <c r="H47" s="4" t="s">
        <v>876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494194.98</v>
      </c>
      <c r="G48" s="4" t="s">
        <v>877</v>
      </c>
      <c r="H48" s="4" t="s">
        <v>878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2965169.88</v>
      </c>
      <c r="G49" s="4" t="s">
        <v>879</v>
      </c>
      <c r="H49" s="4" t="s">
        <v>880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883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1472506909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92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1472507546</v>
      </c>
      <c r="C1">
        <v>1472494943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885</v>
      </c>
      <c r="J1" t="s">
        <v>3</v>
      </c>
      <c r="K1" t="s">
        <v>886</v>
      </c>
      <c r="L1">
        <v>1191</v>
      </c>
      <c r="N1">
        <v>1013</v>
      </c>
      <c r="O1" t="s">
        <v>887</v>
      </c>
      <c r="P1" t="s">
        <v>887</v>
      </c>
      <c r="Q1">
        <v>1</v>
      </c>
      <c r="X1">
        <v>2.08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2.08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ROW(Source!A32)</f>
        <v>32</v>
      </c>
      <c r="B2">
        <v>1472507547</v>
      </c>
      <c r="C2">
        <v>1472494943</v>
      </c>
      <c r="D2">
        <v>1441836514</v>
      </c>
      <c r="E2">
        <v>1</v>
      </c>
      <c r="F2">
        <v>1</v>
      </c>
      <c r="G2">
        <v>15514512</v>
      </c>
      <c r="H2">
        <v>3</v>
      </c>
      <c r="I2" t="s">
        <v>888</v>
      </c>
      <c r="J2" t="s">
        <v>889</v>
      </c>
      <c r="K2" t="s">
        <v>890</v>
      </c>
      <c r="L2">
        <v>1339</v>
      </c>
      <c r="N2">
        <v>1007</v>
      </c>
      <c r="O2" t="s">
        <v>891</v>
      </c>
      <c r="P2" t="s">
        <v>891</v>
      </c>
      <c r="Q2">
        <v>1</v>
      </c>
      <c r="X2">
        <v>3.5000000000000001E-3</v>
      </c>
      <c r="Y2">
        <v>54.81</v>
      </c>
      <c r="Z2">
        <v>0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3.5000000000000001E-3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ROW(Source!A33)</f>
        <v>33</v>
      </c>
      <c r="B3">
        <v>1472507548</v>
      </c>
      <c r="C3">
        <v>1472494965</v>
      </c>
      <c r="D3">
        <v>1441819193</v>
      </c>
      <c r="E3">
        <v>15514512</v>
      </c>
      <c r="F3">
        <v>1</v>
      </c>
      <c r="G3">
        <v>15514512</v>
      </c>
      <c r="H3">
        <v>1</v>
      </c>
      <c r="I3" t="s">
        <v>885</v>
      </c>
      <c r="J3" t="s">
        <v>3</v>
      </c>
      <c r="K3" t="s">
        <v>886</v>
      </c>
      <c r="L3">
        <v>1191</v>
      </c>
      <c r="N3">
        <v>1013</v>
      </c>
      <c r="O3" t="s">
        <v>887</v>
      </c>
      <c r="P3" t="s">
        <v>887</v>
      </c>
      <c r="Q3">
        <v>1</v>
      </c>
      <c r="X3">
        <v>3.24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28</v>
      </c>
      <c r="AG3">
        <v>6.48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ROW(Source!A33)</f>
        <v>33</v>
      </c>
      <c r="B4">
        <v>1472507549</v>
      </c>
      <c r="C4">
        <v>1472494965</v>
      </c>
      <c r="D4">
        <v>1441834258</v>
      </c>
      <c r="E4">
        <v>1</v>
      </c>
      <c r="F4">
        <v>1</v>
      </c>
      <c r="G4">
        <v>15514512</v>
      </c>
      <c r="H4">
        <v>2</v>
      </c>
      <c r="I4" t="s">
        <v>892</v>
      </c>
      <c r="J4" t="s">
        <v>893</v>
      </c>
      <c r="K4" t="s">
        <v>894</v>
      </c>
      <c r="L4">
        <v>1368</v>
      </c>
      <c r="N4">
        <v>1011</v>
      </c>
      <c r="O4" t="s">
        <v>895</v>
      </c>
      <c r="P4" t="s">
        <v>895</v>
      </c>
      <c r="Q4">
        <v>1</v>
      </c>
      <c r="X4">
        <v>1.1075999999999999</v>
      </c>
      <c r="Y4">
        <v>0</v>
      </c>
      <c r="Z4">
        <v>1303.01</v>
      </c>
      <c r="AA4">
        <v>826.2</v>
      </c>
      <c r="AB4">
        <v>0</v>
      </c>
      <c r="AC4">
        <v>0</v>
      </c>
      <c r="AD4">
        <v>1</v>
      </c>
      <c r="AE4">
        <v>0</v>
      </c>
      <c r="AF4" t="s">
        <v>28</v>
      </c>
      <c r="AG4">
        <v>2.2151999999999998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ROW(Source!A33)</f>
        <v>33</v>
      </c>
      <c r="B5">
        <v>1472507550</v>
      </c>
      <c r="C5">
        <v>1472494965</v>
      </c>
      <c r="D5">
        <v>1441820328</v>
      </c>
      <c r="E5">
        <v>15514512</v>
      </c>
      <c r="F5">
        <v>1</v>
      </c>
      <c r="G5">
        <v>15514512</v>
      </c>
      <c r="H5">
        <v>3</v>
      </c>
      <c r="I5" t="s">
        <v>896</v>
      </c>
      <c r="J5" t="s">
        <v>3</v>
      </c>
      <c r="K5" t="s">
        <v>897</v>
      </c>
      <c r="L5">
        <v>1346</v>
      </c>
      <c r="N5">
        <v>1009</v>
      </c>
      <c r="O5" t="s">
        <v>898</v>
      </c>
      <c r="P5" t="s">
        <v>898</v>
      </c>
      <c r="Q5">
        <v>1</v>
      </c>
      <c r="X5">
        <v>2E-3</v>
      </c>
      <c r="Y5">
        <v>1358.58393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28</v>
      </c>
      <c r="AG5">
        <v>4.0000000000000001E-3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ROW(Source!A33)</f>
        <v>33</v>
      </c>
      <c r="B6">
        <v>1472507551</v>
      </c>
      <c r="C6">
        <v>1472494965</v>
      </c>
      <c r="D6">
        <v>1441836097</v>
      </c>
      <c r="E6">
        <v>1</v>
      </c>
      <c r="F6">
        <v>1</v>
      </c>
      <c r="G6">
        <v>15514512</v>
      </c>
      <c r="H6">
        <v>3</v>
      </c>
      <c r="I6" t="s">
        <v>899</v>
      </c>
      <c r="J6" t="s">
        <v>900</v>
      </c>
      <c r="K6" t="s">
        <v>901</v>
      </c>
      <c r="L6">
        <v>1346</v>
      </c>
      <c r="N6">
        <v>1009</v>
      </c>
      <c r="O6" t="s">
        <v>898</v>
      </c>
      <c r="P6" t="s">
        <v>898</v>
      </c>
      <c r="Q6">
        <v>1</v>
      </c>
      <c r="X6">
        <v>1E-3</v>
      </c>
      <c r="Y6">
        <v>203.1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28</v>
      </c>
      <c r="AG6">
        <v>2E-3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ROW(Source!A34)</f>
        <v>34</v>
      </c>
      <c r="B7">
        <v>1472507552</v>
      </c>
      <c r="C7">
        <v>1472494979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885</v>
      </c>
      <c r="J7" t="s">
        <v>3</v>
      </c>
      <c r="K7" t="s">
        <v>886</v>
      </c>
      <c r="L7">
        <v>1191</v>
      </c>
      <c r="N7">
        <v>1013</v>
      </c>
      <c r="O7" t="s">
        <v>887</v>
      </c>
      <c r="P7" t="s">
        <v>887</v>
      </c>
      <c r="Q7">
        <v>1</v>
      </c>
      <c r="X7">
        <v>0.37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</v>
      </c>
      <c r="AG7">
        <v>0.37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ROW(Source!A34)</f>
        <v>34</v>
      </c>
      <c r="B8">
        <v>1472507553</v>
      </c>
      <c r="C8">
        <v>1472494979</v>
      </c>
      <c r="D8">
        <v>1441834258</v>
      </c>
      <c r="E8">
        <v>1</v>
      </c>
      <c r="F8">
        <v>1</v>
      </c>
      <c r="G8">
        <v>15514512</v>
      </c>
      <c r="H8">
        <v>2</v>
      </c>
      <c r="I8" t="s">
        <v>892</v>
      </c>
      <c r="J8" t="s">
        <v>893</v>
      </c>
      <c r="K8" t="s">
        <v>894</v>
      </c>
      <c r="L8">
        <v>1368</v>
      </c>
      <c r="N8">
        <v>1011</v>
      </c>
      <c r="O8" t="s">
        <v>895</v>
      </c>
      <c r="P8" t="s">
        <v>895</v>
      </c>
      <c r="Q8">
        <v>1</v>
      </c>
      <c r="X8">
        <v>0.06</v>
      </c>
      <c r="Y8">
        <v>0</v>
      </c>
      <c r="Z8">
        <v>1303.01</v>
      </c>
      <c r="AA8">
        <v>826.2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0.06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ROW(Source!A35)</f>
        <v>35</v>
      </c>
      <c r="B9">
        <v>1472507554</v>
      </c>
      <c r="C9">
        <v>1472495014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885</v>
      </c>
      <c r="J9" t="s">
        <v>3</v>
      </c>
      <c r="K9" t="s">
        <v>886</v>
      </c>
      <c r="L9">
        <v>1191</v>
      </c>
      <c r="N9">
        <v>1013</v>
      </c>
      <c r="O9" t="s">
        <v>887</v>
      </c>
      <c r="P9" t="s">
        <v>887</v>
      </c>
      <c r="Q9">
        <v>1</v>
      </c>
      <c r="X9">
        <v>0.97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3</v>
      </c>
      <c r="AG9">
        <v>0.97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ROW(Source!A71)</f>
        <v>71</v>
      </c>
      <c r="B10">
        <v>1472507555</v>
      </c>
      <c r="C10">
        <v>1472495018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885</v>
      </c>
      <c r="J10" t="s">
        <v>3</v>
      </c>
      <c r="K10" t="s">
        <v>886</v>
      </c>
      <c r="L10">
        <v>1191</v>
      </c>
      <c r="N10">
        <v>1013</v>
      </c>
      <c r="O10" t="s">
        <v>887</v>
      </c>
      <c r="P10" t="s">
        <v>887</v>
      </c>
      <c r="Q10">
        <v>1</v>
      </c>
      <c r="X10">
        <v>0.45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3</v>
      </c>
      <c r="AG10">
        <v>0.45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ROW(Source!A72)</f>
        <v>72</v>
      </c>
      <c r="B11">
        <v>1472507556</v>
      </c>
      <c r="C11">
        <v>1472495023</v>
      </c>
      <c r="D11">
        <v>1441819193</v>
      </c>
      <c r="E11">
        <v>15514512</v>
      </c>
      <c r="F11">
        <v>1</v>
      </c>
      <c r="G11">
        <v>15514512</v>
      </c>
      <c r="H11">
        <v>1</v>
      </c>
      <c r="I11" t="s">
        <v>885</v>
      </c>
      <c r="J11" t="s">
        <v>3</v>
      </c>
      <c r="K11" t="s">
        <v>886</v>
      </c>
      <c r="L11">
        <v>1191</v>
      </c>
      <c r="N11">
        <v>1013</v>
      </c>
      <c r="O11" t="s">
        <v>887</v>
      </c>
      <c r="P11" t="s">
        <v>887</v>
      </c>
      <c r="Q11">
        <v>1</v>
      </c>
      <c r="X11">
        <v>0.61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3</v>
      </c>
      <c r="AG11">
        <v>0.61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ROW(Source!A73)</f>
        <v>73</v>
      </c>
      <c r="B12">
        <v>1472507557</v>
      </c>
      <c r="C12">
        <v>1472495028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885</v>
      </c>
      <c r="J12" t="s">
        <v>3</v>
      </c>
      <c r="K12" t="s">
        <v>886</v>
      </c>
      <c r="L12">
        <v>1191</v>
      </c>
      <c r="N12">
        <v>1013</v>
      </c>
      <c r="O12" t="s">
        <v>887</v>
      </c>
      <c r="P12" t="s">
        <v>887</v>
      </c>
      <c r="Q12">
        <v>1</v>
      </c>
      <c r="X12">
        <v>0.37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0.37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ROW(Source!A73)</f>
        <v>73</v>
      </c>
      <c r="B13">
        <v>1472507558</v>
      </c>
      <c r="C13">
        <v>1472495028</v>
      </c>
      <c r="D13">
        <v>1441834258</v>
      </c>
      <c r="E13">
        <v>1</v>
      </c>
      <c r="F13">
        <v>1</v>
      </c>
      <c r="G13">
        <v>15514512</v>
      </c>
      <c r="H13">
        <v>2</v>
      </c>
      <c r="I13" t="s">
        <v>892</v>
      </c>
      <c r="J13" t="s">
        <v>893</v>
      </c>
      <c r="K13" t="s">
        <v>894</v>
      </c>
      <c r="L13">
        <v>1368</v>
      </c>
      <c r="N13">
        <v>1011</v>
      </c>
      <c r="O13" t="s">
        <v>895</v>
      </c>
      <c r="P13" t="s">
        <v>895</v>
      </c>
      <c r="Q13">
        <v>1</v>
      </c>
      <c r="X13">
        <v>0.06</v>
      </c>
      <c r="Y13">
        <v>0</v>
      </c>
      <c r="Z13">
        <v>1303.01</v>
      </c>
      <c r="AA13">
        <v>826.2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0.06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ROW(Source!A74)</f>
        <v>74</v>
      </c>
      <c r="B14">
        <v>1472507559</v>
      </c>
      <c r="C14">
        <v>1472495058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885</v>
      </c>
      <c r="J14" t="s">
        <v>3</v>
      </c>
      <c r="K14" t="s">
        <v>886</v>
      </c>
      <c r="L14">
        <v>1191</v>
      </c>
      <c r="N14">
        <v>1013</v>
      </c>
      <c r="O14" t="s">
        <v>887</v>
      </c>
      <c r="P14" t="s">
        <v>887</v>
      </c>
      <c r="Q14">
        <v>1</v>
      </c>
      <c r="X14">
        <v>0.9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106</v>
      </c>
      <c r="AG14">
        <v>3.6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ROW(Source!A75)</f>
        <v>75</v>
      </c>
      <c r="B15">
        <v>1472507560</v>
      </c>
      <c r="C15">
        <v>1472495062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885</v>
      </c>
      <c r="J15" t="s">
        <v>3</v>
      </c>
      <c r="K15" t="s">
        <v>886</v>
      </c>
      <c r="L15">
        <v>1191</v>
      </c>
      <c r="N15">
        <v>1013</v>
      </c>
      <c r="O15" t="s">
        <v>887</v>
      </c>
      <c r="P15" t="s">
        <v>887</v>
      </c>
      <c r="Q15">
        <v>1</v>
      </c>
      <c r="X15">
        <v>2.64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106</v>
      </c>
      <c r="AG15">
        <v>10.56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ROW(Source!A111)</f>
        <v>111</v>
      </c>
      <c r="B16">
        <v>1472507561</v>
      </c>
      <c r="C16">
        <v>1472495067</v>
      </c>
      <c r="D16">
        <v>1441819193</v>
      </c>
      <c r="E16">
        <v>15514512</v>
      </c>
      <c r="F16">
        <v>1</v>
      </c>
      <c r="G16">
        <v>15514512</v>
      </c>
      <c r="H16">
        <v>1</v>
      </c>
      <c r="I16" t="s">
        <v>885</v>
      </c>
      <c r="J16" t="s">
        <v>3</v>
      </c>
      <c r="K16" t="s">
        <v>886</v>
      </c>
      <c r="L16">
        <v>1191</v>
      </c>
      <c r="N16">
        <v>1013</v>
      </c>
      <c r="O16" t="s">
        <v>887</v>
      </c>
      <c r="P16" t="s">
        <v>887</v>
      </c>
      <c r="Q16">
        <v>1</v>
      </c>
      <c r="X16">
        <v>0.45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3</v>
      </c>
      <c r="AG16">
        <v>0.45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ROW(Source!A112)</f>
        <v>112</v>
      </c>
      <c r="B17">
        <v>1472507562</v>
      </c>
      <c r="C17">
        <v>1472495072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885</v>
      </c>
      <c r="J17" t="s">
        <v>3</v>
      </c>
      <c r="K17" t="s">
        <v>886</v>
      </c>
      <c r="L17">
        <v>1191</v>
      </c>
      <c r="N17">
        <v>1013</v>
      </c>
      <c r="O17" t="s">
        <v>887</v>
      </c>
      <c r="P17" t="s">
        <v>887</v>
      </c>
      <c r="Q17">
        <v>1</v>
      </c>
      <c r="X17">
        <v>0.9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106</v>
      </c>
      <c r="AG17">
        <v>3.6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ROW(Source!A113)</f>
        <v>113</v>
      </c>
      <c r="B18">
        <v>1472507563</v>
      </c>
      <c r="C18">
        <v>1472495096</v>
      </c>
      <c r="D18">
        <v>1441819193</v>
      </c>
      <c r="E18">
        <v>15514512</v>
      </c>
      <c r="F18">
        <v>1</v>
      </c>
      <c r="G18">
        <v>15514512</v>
      </c>
      <c r="H18">
        <v>1</v>
      </c>
      <c r="I18" t="s">
        <v>885</v>
      </c>
      <c r="J18" t="s">
        <v>3</v>
      </c>
      <c r="K18" t="s">
        <v>886</v>
      </c>
      <c r="L18">
        <v>1191</v>
      </c>
      <c r="N18">
        <v>1013</v>
      </c>
      <c r="O18" t="s">
        <v>887</v>
      </c>
      <c r="P18" t="s">
        <v>887</v>
      </c>
      <c r="Q18">
        <v>1</v>
      </c>
      <c r="X18">
        <v>2.64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106</v>
      </c>
      <c r="AG18">
        <v>10.56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ROW(Source!A149)</f>
        <v>149</v>
      </c>
      <c r="B19">
        <v>1472507564</v>
      </c>
      <c r="C19">
        <v>1472495100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885</v>
      </c>
      <c r="J19" t="s">
        <v>3</v>
      </c>
      <c r="K19" t="s">
        <v>886</v>
      </c>
      <c r="L19">
        <v>1191</v>
      </c>
      <c r="N19">
        <v>1013</v>
      </c>
      <c r="O19" t="s">
        <v>887</v>
      </c>
      <c r="P19" t="s">
        <v>887</v>
      </c>
      <c r="Q19">
        <v>1</v>
      </c>
      <c r="X19">
        <v>29.54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3</v>
      </c>
      <c r="AG19">
        <v>29.54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ROW(Source!A149)</f>
        <v>149</v>
      </c>
      <c r="B20">
        <v>1472507565</v>
      </c>
      <c r="C20">
        <v>1472495100</v>
      </c>
      <c r="D20">
        <v>1441835469</v>
      </c>
      <c r="E20">
        <v>1</v>
      </c>
      <c r="F20">
        <v>1</v>
      </c>
      <c r="G20">
        <v>15514512</v>
      </c>
      <c r="H20">
        <v>3</v>
      </c>
      <c r="I20" t="s">
        <v>902</v>
      </c>
      <c r="J20" t="s">
        <v>903</v>
      </c>
      <c r="K20" t="s">
        <v>904</v>
      </c>
      <c r="L20">
        <v>1348</v>
      </c>
      <c r="N20">
        <v>1009</v>
      </c>
      <c r="O20" t="s">
        <v>905</v>
      </c>
      <c r="P20" t="s">
        <v>905</v>
      </c>
      <c r="Q20">
        <v>1000</v>
      </c>
      <c r="X20">
        <v>5.0000000000000001E-3</v>
      </c>
      <c r="Y20">
        <v>163237.26999999999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5.0000000000000001E-3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ROW(Source!A149)</f>
        <v>149</v>
      </c>
      <c r="B21">
        <v>1472507566</v>
      </c>
      <c r="C21">
        <v>1472495100</v>
      </c>
      <c r="D21">
        <v>1441836514</v>
      </c>
      <c r="E21">
        <v>1</v>
      </c>
      <c r="F21">
        <v>1</v>
      </c>
      <c r="G21">
        <v>15514512</v>
      </c>
      <c r="H21">
        <v>3</v>
      </c>
      <c r="I21" t="s">
        <v>888</v>
      </c>
      <c r="J21" t="s">
        <v>889</v>
      </c>
      <c r="K21" t="s">
        <v>890</v>
      </c>
      <c r="L21">
        <v>1339</v>
      </c>
      <c r="N21">
        <v>1007</v>
      </c>
      <c r="O21" t="s">
        <v>891</v>
      </c>
      <c r="P21" t="s">
        <v>891</v>
      </c>
      <c r="Q21">
        <v>1</v>
      </c>
      <c r="X21">
        <v>7.8</v>
      </c>
      <c r="Y21">
        <v>54.81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7.8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ROW(Source!A149)</f>
        <v>149</v>
      </c>
      <c r="B22">
        <v>1472507567</v>
      </c>
      <c r="C22">
        <v>1472495100</v>
      </c>
      <c r="D22">
        <v>1441847238</v>
      </c>
      <c r="E22">
        <v>1</v>
      </c>
      <c r="F22">
        <v>1</v>
      </c>
      <c r="G22">
        <v>15514512</v>
      </c>
      <c r="H22">
        <v>3</v>
      </c>
      <c r="I22" t="s">
        <v>906</v>
      </c>
      <c r="J22" t="s">
        <v>907</v>
      </c>
      <c r="K22" t="s">
        <v>908</v>
      </c>
      <c r="L22">
        <v>1346</v>
      </c>
      <c r="N22">
        <v>1009</v>
      </c>
      <c r="O22" t="s">
        <v>898</v>
      </c>
      <c r="P22" t="s">
        <v>898</v>
      </c>
      <c r="Q22">
        <v>1</v>
      </c>
      <c r="X22">
        <v>2</v>
      </c>
      <c r="Y22">
        <v>742.26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2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ROW(Source!A150)</f>
        <v>150</v>
      </c>
      <c r="B23">
        <v>1472507568</v>
      </c>
      <c r="C23">
        <v>1472495115</v>
      </c>
      <c r="D23">
        <v>1441819193</v>
      </c>
      <c r="E23">
        <v>15514512</v>
      </c>
      <c r="F23">
        <v>1</v>
      </c>
      <c r="G23">
        <v>15514512</v>
      </c>
      <c r="H23">
        <v>1</v>
      </c>
      <c r="I23" t="s">
        <v>885</v>
      </c>
      <c r="J23" t="s">
        <v>3</v>
      </c>
      <c r="K23" t="s">
        <v>886</v>
      </c>
      <c r="L23">
        <v>1191</v>
      </c>
      <c r="N23">
        <v>1013</v>
      </c>
      <c r="O23" t="s">
        <v>887</v>
      </c>
      <c r="P23" t="s">
        <v>887</v>
      </c>
      <c r="Q23">
        <v>1</v>
      </c>
      <c r="X23">
        <v>1.38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106</v>
      </c>
      <c r="AG23">
        <v>5.52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ROW(Source!A151)</f>
        <v>151</v>
      </c>
      <c r="B24">
        <v>1472507569</v>
      </c>
      <c r="C24">
        <v>1472495130</v>
      </c>
      <c r="D24">
        <v>1441819193</v>
      </c>
      <c r="E24">
        <v>15514512</v>
      </c>
      <c r="F24">
        <v>1</v>
      </c>
      <c r="G24">
        <v>15514512</v>
      </c>
      <c r="H24">
        <v>1</v>
      </c>
      <c r="I24" t="s">
        <v>885</v>
      </c>
      <c r="J24" t="s">
        <v>3</v>
      </c>
      <c r="K24" t="s">
        <v>886</v>
      </c>
      <c r="L24">
        <v>1191</v>
      </c>
      <c r="N24">
        <v>1013</v>
      </c>
      <c r="O24" t="s">
        <v>887</v>
      </c>
      <c r="P24" t="s">
        <v>887</v>
      </c>
      <c r="Q24">
        <v>1</v>
      </c>
      <c r="X24">
        <v>4.9000000000000004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106</v>
      </c>
      <c r="AG24">
        <v>19.600000000000001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ROW(Source!A152)</f>
        <v>152</v>
      </c>
      <c r="B25">
        <v>1472507570</v>
      </c>
      <c r="C25">
        <v>1472495155</v>
      </c>
      <c r="D25">
        <v>1441819193</v>
      </c>
      <c r="E25">
        <v>15514512</v>
      </c>
      <c r="F25">
        <v>1</v>
      </c>
      <c r="G25">
        <v>15514512</v>
      </c>
      <c r="H25">
        <v>1</v>
      </c>
      <c r="I25" t="s">
        <v>885</v>
      </c>
      <c r="J25" t="s">
        <v>3</v>
      </c>
      <c r="K25" t="s">
        <v>886</v>
      </c>
      <c r="L25">
        <v>1191</v>
      </c>
      <c r="N25">
        <v>1013</v>
      </c>
      <c r="O25" t="s">
        <v>887</v>
      </c>
      <c r="P25" t="s">
        <v>887</v>
      </c>
      <c r="Q25">
        <v>1</v>
      </c>
      <c r="X25">
        <v>0.13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106</v>
      </c>
      <c r="AG25">
        <v>0.52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ROW(Source!A153)</f>
        <v>153</v>
      </c>
      <c r="B26">
        <v>1472507571</v>
      </c>
      <c r="C26">
        <v>1472495159</v>
      </c>
      <c r="D26">
        <v>1441819193</v>
      </c>
      <c r="E26">
        <v>15514512</v>
      </c>
      <c r="F26">
        <v>1</v>
      </c>
      <c r="G26">
        <v>15514512</v>
      </c>
      <c r="H26">
        <v>1</v>
      </c>
      <c r="I26" t="s">
        <v>885</v>
      </c>
      <c r="J26" t="s">
        <v>3</v>
      </c>
      <c r="K26" t="s">
        <v>886</v>
      </c>
      <c r="L26">
        <v>1191</v>
      </c>
      <c r="N26">
        <v>1013</v>
      </c>
      <c r="O26" t="s">
        <v>887</v>
      </c>
      <c r="P26" t="s">
        <v>887</v>
      </c>
      <c r="Q26">
        <v>1</v>
      </c>
      <c r="X26">
        <v>0.55000000000000004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106</v>
      </c>
      <c r="AG26">
        <v>2.2000000000000002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ROW(Source!A154)</f>
        <v>154</v>
      </c>
      <c r="B27">
        <v>1472507572</v>
      </c>
      <c r="C27">
        <v>1472495164</v>
      </c>
      <c r="D27">
        <v>1441819193</v>
      </c>
      <c r="E27">
        <v>15514512</v>
      </c>
      <c r="F27">
        <v>1</v>
      </c>
      <c r="G27">
        <v>15514512</v>
      </c>
      <c r="H27">
        <v>1</v>
      </c>
      <c r="I27" t="s">
        <v>885</v>
      </c>
      <c r="J27" t="s">
        <v>3</v>
      </c>
      <c r="K27" t="s">
        <v>886</v>
      </c>
      <c r="L27">
        <v>1191</v>
      </c>
      <c r="N27">
        <v>1013</v>
      </c>
      <c r="O27" t="s">
        <v>887</v>
      </c>
      <c r="P27" t="s">
        <v>887</v>
      </c>
      <c r="Q27">
        <v>1</v>
      </c>
      <c r="X27">
        <v>0.73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106</v>
      </c>
      <c r="AG27">
        <v>2.92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ROW(Source!A155)</f>
        <v>155</v>
      </c>
      <c r="B28">
        <v>1472507573</v>
      </c>
      <c r="C28">
        <v>1472495180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885</v>
      </c>
      <c r="J28" t="s">
        <v>3</v>
      </c>
      <c r="K28" t="s">
        <v>886</v>
      </c>
      <c r="L28">
        <v>1191</v>
      </c>
      <c r="N28">
        <v>1013</v>
      </c>
      <c r="O28" t="s">
        <v>887</v>
      </c>
      <c r="P28" t="s">
        <v>887</v>
      </c>
      <c r="Q28">
        <v>1</v>
      </c>
      <c r="X28">
        <v>0.73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106</v>
      </c>
      <c r="AG28">
        <v>2.92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ROW(Source!A191)</f>
        <v>191</v>
      </c>
      <c r="B29">
        <v>1472507574</v>
      </c>
      <c r="C29">
        <v>1472495200</v>
      </c>
      <c r="D29">
        <v>1441819193</v>
      </c>
      <c r="E29">
        <v>15514512</v>
      </c>
      <c r="F29">
        <v>1</v>
      </c>
      <c r="G29">
        <v>15514512</v>
      </c>
      <c r="H29">
        <v>1</v>
      </c>
      <c r="I29" t="s">
        <v>885</v>
      </c>
      <c r="J29" t="s">
        <v>3</v>
      </c>
      <c r="K29" t="s">
        <v>886</v>
      </c>
      <c r="L29">
        <v>1191</v>
      </c>
      <c r="N29">
        <v>1013</v>
      </c>
      <c r="O29" t="s">
        <v>887</v>
      </c>
      <c r="P29" t="s">
        <v>887</v>
      </c>
      <c r="Q29">
        <v>1</v>
      </c>
      <c r="X29">
        <v>29.54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3</v>
      </c>
      <c r="AG29">
        <v>29.54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ROW(Source!A191)</f>
        <v>191</v>
      </c>
      <c r="B30">
        <v>1472507575</v>
      </c>
      <c r="C30">
        <v>1472495200</v>
      </c>
      <c r="D30">
        <v>1441835469</v>
      </c>
      <c r="E30">
        <v>1</v>
      </c>
      <c r="F30">
        <v>1</v>
      </c>
      <c r="G30">
        <v>15514512</v>
      </c>
      <c r="H30">
        <v>3</v>
      </c>
      <c r="I30" t="s">
        <v>902</v>
      </c>
      <c r="J30" t="s">
        <v>903</v>
      </c>
      <c r="K30" t="s">
        <v>904</v>
      </c>
      <c r="L30">
        <v>1348</v>
      </c>
      <c r="N30">
        <v>1009</v>
      </c>
      <c r="O30" t="s">
        <v>905</v>
      </c>
      <c r="P30" t="s">
        <v>905</v>
      </c>
      <c r="Q30">
        <v>1000</v>
      </c>
      <c r="X30">
        <v>5.0000000000000001E-3</v>
      </c>
      <c r="Y30">
        <v>163237.26999999999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5.0000000000000001E-3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ROW(Source!A191)</f>
        <v>191</v>
      </c>
      <c r="B31">
        <v>1472507576</v>
      </c>
      <c r="C31">
        <v>1472495200</v>
      </c>
      <c r="D31">
        <v>1441836514</v>
      </c>
      <c r="E31">
        <v>1</v>
      </c>
      <c r="F31">
        <v>1</v>
      </c>
      <c r="G31">
        <v>15514512</v>
      </c>
      <c r="H31">
        <v>3</v>
      </c>
      <c r="I31" t="s">
        <v>888</v>
      </c>
      <c r="J31" t="s">
        <v>889</v>
      </c>
      <c r="K31" t="s">
        <v>890</v>
      </c>
      <c r="L31">
        <v>1339</v>
      </c>
      <c r="N31">
        <v>1007</v>
      </c>
      <c r="O31" t="s">
        <v>891</v>
      </c>
      <c r="P31" t="s">
        <v>891</v>
      </c>
      <c r="Q31">
        <v>1</v>
      </c>
      <c r="X31">
        <v>7.8</v>
      </c>
      <c r="Y31">
        <v>54.81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7.8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ROW(Source!A191)</f>
        <v>191</v>
      </c>
      <c r="B32">
        <v>1472507577</v>
      </c>
      <c r="C32">
        <v>1472495200</v>
      </c>
      <c r="D32">
        <v>1441847238</v>
      </c>
      <c r="E32">
        <v>1</v>
      </c>
      <c r="F32">
        <v>1</v>
      </c>
      <c r="G32">
        <v>15514512</v>
      </c>
      <c r="H32">
        <v>3</v>
      </c>
      <c r="I32" t="s">
        <v>906</v>
      </c>
      <c r="J32" t="s">
        <v>907</v>
      </c>
      <c r="K32" t="s">
        <v>908</v>
      </c>
      <c r="L32">
        <v>1346</v>
      </c>
      <c r="N32">
        <v>1009</v>
      </c>
      <c r="O32" t="s">
        <v>898</v>
      </c>
      <c r="P32" t="s">
        <v>898</v>
      </c>
      <c r="Q32">
        <v>1</v>
      </c>
      <c r="X32">
        <v>2</v>
      </c>
      <c r="Y32">
        <v>742.26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2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ROW(Source!A192)</f>
        <v>192</v>
      </c>
      <c r="B33">
        <v>1472507635</v>
      </c>
      <c r="C33">
        <v>1472495214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885</v>
      </c>
      <c r="J33" t="s">
        <v>3</v>
      </c>
      <c r="K33" t="s">
        <v>886</v>
      </c>
      <c r="L33">
        <v>1191</v>
      </c>
      <c r="N33">
        <v>1013</v>
      </c>
      <c r="O33" t="s">
        <v>887</v>
      </c>
      <c r="P33" t="s">
        <v>887</v>
      </c>
      <c r="Q33">
        <v>1</v>
      </c>
      <c r="X33">
        <v>1.38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106</v>
      </c>
      <c r="AG33">
        <v>5.52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ROW(Source!A193)</f>
        <v>193</v>
      </c>
      <c r="B34">
        <v>1472507636</v>
      </c>
      <c r="C34">
        <v>1472495219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885</v>
      </c>
      <c r="J34" t="s">
        <v>3</v>
      </c>
      <c r="K34" t="s">
        <v>886</v>
      </c>
      <c r="L34">
        <v>1191</v>
      </c>
      <c r="N34">
        <v>1013</v>
      </c>
      <c r="O34" t="s">
        <v>887</v>
      </c>
      <c r="P34" t="s">
        <v>887</v>
      </c>
      <c r="Q34">
        <v>1</v>
      </c>
      <c r="X34">
        <v>4.9000000000000004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106</v>
      </c>
      <c r="AG34">
        <v>19.600000000000001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ROW(Source!A194)</f>
        <v>194</v>
      </c>
      <c r="B35">
        <v>1472507637</v>
      </c>
      <c r="C35">
        <v>1472495239</v>
      </c>
      <c r="D35">
        <v>1441819193</v>
      </c>
      <c r="E35">
        <v>15514512</v>
      </c>
      <c r="F35">
        <v>1</v>
      </c>
      <c r="G35">
        <v>15514512</v>
      </c>
      <c r="H35">
        <v>1</v>
      </c>
      <c r="I35" t="s">
        <v>885</v>
      </c>
      <c r="J35" t="s">
        <v>3</v>
      </c>
      <c r="K35" t="s">
        <v>886</v>
      </c>
      <c r="L35">
        <v>1191</v>
      </c>
      <c r="N35">
        <v>1013</v>
      </c>
      <c r="O35" t="s">
        <v>887</v>
      </c>
      <c r="P35" t="s">
        <v>887</v>
      </c>
      <c r="Q35">
        <v>1</v>
      </c>
      <c r="X35">
        <v>0.13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1</v>
      </c>
      <c r="AF35" t="s">
        <v>106</v>
      </c>
      <c r="AG35">
        <v>0.52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ROW(Source!A195)</f>
        <v>195</v>
      </c>
      <c r="B36">
        <v>1472507638</v>
      </c>
      <c r="C36">
        <v>1472495250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885</v>
      </c>
      <c r="J36" t="s">
        <v>3</v>
      </c>
      <c r="K36" t="s">
        <v>886</v>
      </c>
      <c r="L36">
        <v>1191</v>
      </c>
      <c r="N36">
        <v>1013</v>
      </c>
      <c r="O36" t="s">
        <v>887</v>
      </c>
      <c r="P36" t="s">
        <v>887</v>
      </c>
      <c r="Q36">
        <v>1</v>
      </c>
      <c r="X36">
        <v>0.73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106</v>
      </c>
      <c r="AG36">
        <v>2.92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ROW(Source!A196)</f>
        <v>196</v>
      </c>
      <c r="B37">
        <v>1472507639</v>
      </c>
      <c r="C37">
        <v>1472495255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885</v>
      </c>
      <c r="J37" t="s">
        <v>3</v>
      </c>
      <c r="K37" t="s">
        <v>886</v>
      </c>
      <c r="L37">
        <v>1191</v>
      </c>
      <c r="N37">
        <v>1013</v>
      </c>
      <c r="O37" t="s">
        <v>887</v>
      </c>
      <c r="P37" t="s">
        <v>887</v>
      </c>
      <c r="Q37">
        <v>1</v>
      </c>
      <c r="X37">
        <v>0.92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28</v>
      </c>
      <c r="AG37">
        <v>1.84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ROW(Source!A196)</f>
        <v>196</v>
      </c>
      <c r="B38">
        <v>1472507640</v>
      </c>
      <c r="C38">
        <v>1472495255</v>
      </c>
      <c r="D38">
        <v>1441836187</v>
      </c>
      <c r="E38">
        <v>1</v>
      </c>
      <c r="F38">
        <v>1</v>
      </c>
      <c r="G38">
        <v>15514512</v>
      </c>
      <c r="H38">
        <v>3</v>
      </c>
      <c r="I38" t="s">
        <v>909</v>
      </c>
      <c r="J38" t="s">
        <v>910</v>
      </c>
      <c r="K38" t="s">
        <v>911</v>
      </c>
      <c r="L38">
        <v>1346</v>
      </c>
      <c r="N38">
        <v>1009</v>
      </c>
      <c r="O38" t="s">
        <v>898</v>
      </c>
      <c r="P38" t="s">
        <v>898</v>
      </c>
      <c r="Q38">
        <v>1</v>
      </c>
      <c r="X38">
        <v>1.6E-2</v>
      </c>
      <c r="Y38">
        <v>424.66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28</v>
      </c>
      <c r="AG38">
        <v>3.2000000000000001E-2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ROW(Source!A196)</f>
        <v>196</v>
      </c>
      <c r="B39">
        <v>1472507641</v>
      </c>
      <c r="C39">
        <v>1472495255</v>
      </c>
      <c r="D39">
        <v>1441836235</v>
      </c>
      <c r="E39">
        <v>1</v>
      </c>
      <c r="F39">
        <v>1</v>
      </c>
      <c r="G39">
        <v>15514512</v>
      </c>
      <c r="H39">
        <v>3</v>
      </c>
      <c r="I39" t="s">
        <v>912</v>
      </c>
      <c r="J39" t="s">
        <v>913</v>
      </c>
      <c r="K39" t="s">
        <v>914</v>
      </c>
      <c r="L39">
        <v>1346</v>
      </c>
      <c r="N39">
        <v>1009</v>
      </c>
      <c r="O39" t="s">
        <v>898</v>
      </c>
      <c r="P39" t="s">
        <v>898</v>
      </c>
      <c r="Q39">
        <v>1</v>
      </c>
      <c r="X39">
        <v>0.5</v>
      </c>
      <c r="Y39">
        <v>31.49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28</v>
      </c>
      <c r="AG39">
        <v>1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ROW(Source!A197)</f>
        <v>197</v>
      </c>
      <c r="B40">
        <v>1472507642</v>
      </c>
      <c r="C40">
        <v>1472495267</v>
      </c>
      <c r="D40">
        <v>1441819193</v>
      </c>
      <c r="E40">
        <v>15514512</v>
      </c>
      <c r="F40">
        <v>1</v>
      </c>
      <c r="G40">
        <v>15514512</v>
      </c>
      <c r="H40">
        <v>1</v>
      </c>
      <c r="I40" t="s">
        <v>885</v>
      </c>
      <c r="J40" t="s">
        <v>3</v>
      </c>
      <c r="K40" t="s">
        <v>886</v>
      </c>
      <c r="L40">
        <v>1191</v>
      </c>
      <c r="N40">
        <v>1013</v>
      </c>
      <c r="O40" t="s">
        <v>887</v>
      </c>
      <c r="P40" t="s">
        <v>887</v>
      </c>
      <c r="Q40">
        <v>1</v>
      </c>
      <c r="X40">
        <v>28.02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3</v>
      </c>
      <c r="AG40">
        <v>28.02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ROW(Source!A197)</f>
        <v>197</v>
      </c>
      <c r="B41">
        <v>1472507643</v>
      </c>
      <c r="C41">
        <v>1472495267</v>
      </c>
      <c r="D41">
        <v>1441834443</v>
      </c>
      <c r="E41">
        <v>1</v>
      </c>
      <c r="F41">
        <v>1</v>
      </c>
      <c r="G41">
        <v>15514512</v>
      </c>
      <c r="H41">
        <v>3</v>
      </c>
      <c r="I41" t="s">
        <v>915</v>
      </c>
      <c r="J41" t="s">
        <v>916</v>
      </c>
      <c r="K41" t="s">
        <v>917</v>
      </c>
      <c r="L41">
        <v>1296</v>
      </c>
      <c r="N41">
        <v>1002</v>
      </c>
      <c r="O41" t="s">
        <v>918</v>
      </c>
      <c r="P41" t="s">
        <v>918</v>
      </c>
      <c r="Q41">
        <v>1</v>
      </c>
      <c r="X41">
        <v>0.31</v>
      </c>
      <c r="Y41">
        <v>785.72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0.31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ROW(Source!A198)</f>
        <v>198</v>
      </c>
      <c r="B42">
        <v>1472507644</v>
      </c>
      <c r="C42">
        <v>1472495293</v>
      </c>
      <c r="D42">
        <v>1441819193</v>
      </c>
      <c r="E42">
        <v>15514512</v>
      </c>
      <c r="F42">
        <v>1</v>
      </c>
      <c r="G42">
        <v>15514512</v>
      </c>
      <c r="H42">
        <v>1</v>
      </c>
      <c r="I42" t="s">
        <v>885</v>
      </c>
      <c r="J42" t="s">
        <v>3</v>
      </c>
      <c r="K42" t="s">
        <v>886</v>
      </c>
      <c r="L42">
        <v>1191</v>
      </c>
      <c r="N42">
        <v>1013</v>
      </c>
      <c r="O42" t="s">
        <v>887</v>
      </c>
      <c r="P42" t="s">
        <v>887</v>
      </c>
      <c r="Q42">
        <v>1</v>
      </c>
      <c r="X42">
        <v>0.82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3</v>
      </c>
      <c r="AG42">
        <v>0.82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ROW(Source!A234)</f>
        <v>234</v>
      </c>
      <c r="B43">
        <v>1472507646</v>
      </c>
      <c r="C43">
        <v>1472495297</v>
      </c>
      <c r="D43">
        <v>1441819193</v>
      </c>
      <c r="E43">
        <v>15514512</v>
      </c>
      <c r="F43">
        <v>1</v>
      </c>
      <c r="G43">
        <v>15514512</v>
      </c>
      <c r="H43">
        <v>1</v>
      </c>
      <c r="I43" t="s">
        <v>885</v>
      </c>
      <c r="J43" t="s">
        <v>3</v>
      </c>
      <c r="K43" t="s">
        <v>886</v>
      </c>
      <c r="L43">
        <v>1191</v>
      </c>
      <c r="N43">
        <v>1013</v>
      </c>
      <c r="O43" t="s">
        <v>887</v>
      </c>
      <c r="P43" t="s">
        <v>887</v>
      </c>
      <c r="Q43">
        <v>1</v>
      </c>
      <c r="X43">
        <v>1.26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150</v>
      </c>
      <c r="AG43">
        <v>21.42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ROW(Source!A235)</f>
        <v>235</v>
      </c>
      <c r="B44">
        <v>1472507648</v>
      </c>
      <c r="C44">
        <v>1472495302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885</v>
      </c>
      <c r="J44" t="s">
        <v>3</v>
      </c>
      <c r="K44" t="s">
        <v>886</v>
      </c>
      <c r="L44">
        <v>1191</v>
      </c>
      <c r="N44">
        <v>1013</v>
      </c>
      <c r="O44" t="s">
        <v>887</v>
      </c>
      <c r="P44" t="s">
        <v>887</v>
      </c>
      <c r="Q44">
        <v>1</v>
      </c>
      <c r="X44">
        <v>0.27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150</v>
      </c>
      <c r="AG44">
        <v>4.59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ROW(Source!A236)</f>
        <v>236</v>
      </c>
      <c r="B45">
        <v>1472507649</v>
      </c>
      <c r="C45">
        <v>1472495319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885</v>
      </c>
      <c r="J45" t="s">
        <v>3</v>
      </c>
      <c r="K45" t="s">
        <v>886</v>
      </c>
      <c r="L45">
        <v>1191</v>
      </c>
      <c r="N45">
        <v>1013</v>
      </c>
      <c r="O45" t="s">
        <v>887</v>
      </c>
      <c r="P45" t="s">
        <v>887</v>
      </c>
      <c r="Q45">
        <v>1</v>
      </c>
      <c r="X45">
        <v>0.23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150</v>
      </c>
      <c r="AG45">
        <v>3.91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ROW(Source!A237)</f>
        <v>237</v>
      </c>
      <c r="B46">
        <v>1472507650</v>
      </c>
      <c r="C46">
        <v>1472495331</v>
      </c>
      <c r="D46">
        <v>1441819193</v>
      </c>
      <c r="E46">
        <v>15514512</v>
      </c>
      <c r="F46">
        <v>1</v>
      </c>
      <c r="G46">
        <v>15514512</v>
      </c>
      <c r="H46">
        <v>1</v>
      </c>
      <c r="I46" t="s">
        <v>885</v>
      </c>
      <c r="J46" t="s">
        <v>3</v>
      </c>
      <c r="K46" t="s">
        <v>886</v>
      </c>
      <c r="L46">
        <v>1191</v>
      </c>
      <c r="N46">
        <v>1013</v>
      </c>
      <c r="O46" t="s">
        <v>887</v>
      </c>
      <c r="P46" t="s">
        <v>887</v>
      </c>
      <c r="Q46">
        <v>1</v>
      </c>
      <c r="X46">
        <v>104.44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3</v>
      </c>
      <c r="AG46">
        <v>104.44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ROW(Source!A237)</f>
        <v>237</v>
      </c>
      <c r="B47">
        <v>1472507651</v>
      </c>
      <c r="C47">
        <v>1472495331</v>
      </c>
      <c r="D47">
        <v>1441834334</v>
      </c>
      <c r="E47">
        <v>1</v>
      </c>
      <c r="F47">
        <v>1</v>
      </c>
      <c r="G47">
        <v>15514512</v>
      </c>
      <c r="H47">
        <v>2</v>
      </c>
      <c r="I47" t="s">
        <v>919</v>
      </c>
      <c r="J47" t="s">
        <v>920</v>
      </c>
      <c r="K47" t="s">
        <v>921</v>
      </c>
      <c r="L47">
        <v>1368</v>
      </c>
      <c r="N47">
        <v>1011</v>
      </c>
      <c r="O47" t="s">
        <v>895</v>
      </c>
      <c r="P47" t="s">
        <v>895</v>
      </c>
      <c r="Q47">
        <v>1</v>
      </c>
      <c r="X47">
        <v>5.8</v>
      </c>
      <c r="Y47">
        <v>0</v>
      </c>
      <c r="Z47">
        <v>10.66</v>
      </c>
      <c r="AA47">
        <v>0.12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5.8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ROW(Source!A237)</f>
        <v>237</v>
      </c>
      <c r="B48">
        <v>1472507653</v>
      </c>
      <c r="C48">
        <v>1472495331</v>
      </c>
      <c r="D48">
        <v>1441834443</v>
      </c>
      <c r="E48">
        <v>1</v>
      </c>
      <c r="F48">
        <v>1</v>
      </c>
      <c r="G48">
        <v>15514512</v>
      </c>
      <c r="H48">
        <v>3</v>
      </c>
      <c r="I48" t="s">
        <v>915</v>
      </c>
      <c r="J48" t="s">
        <v>916</v>
      </c>
      <c r="K48" t="s">
        <v>917</v>
      </c>
      <c r="L48">
        <v>1296</v>
      </c>
      <c r="N48">
        <v>1002</v>
      </c>
      <c r="O48" t="s">
        <v>918</v>
      </c>
      <c r="P48" t="s">
        <v>918</v>
      </c>
      <c r="Q48">
        <v>1</v>
      </c>
      <c r="X48">
        <v>0.31</v>
      </c>
      <c r="Y48">
        <v>785.72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0.31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ROW(Source!A237)</f>
        <v>237</v>
      </c>
      <c r="B49">
        <v>1472507654</v>
      </c>
      <c r="C49">
        <v>1472495331</v>
      </c>
      <c r="D49">
        <v>1441821225</v>
      </c>
      <c r="E49">
        <v>15514512</v>
      </c>
      <c r="F49">
        <v>1</v>
      </c>
      <c r="G49">
        <v>15514512</v>
      </c>
      <c r="H49">
        <v>3</v>
      </c>
      <c r="I49" t="s">
        <v>922</v>
      </c>
      <c r="J49" t="s">
        <v>3</v>
      </c>
      <c r="K49" t="s">
        <v>923</v>
      </c>
      <c r="L49">
        <v>1346</v>
      </c>
      <c r="N49">
        <v>1009</v>
      </c>
      <c r="O49" t="s">
        <v>898</v>
      </c>
      <c r="P49" t="s">
        <v>898</v>
      </c>
      <c r="Q49">
        <v>1</v>
      </c>
      <c r="X49">
        <v>1.08</v>
      </c>
      <c r="Y49">
        <v>292.57515999999998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1.08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ROW(Source!A237)</f>
        <v>237</v>
      </c>
      <c r="B50">
        <v>1472507652</v>
      </c>
      <c r="C50">
        <v>1472495331</v>
      </c>
      <c r="D50">
        <v>1441821223</v>
      </c>
      <c r="E50">
        <v>15514512</v>
      </c>
      <c r="F50">
        <v>1</v>
      </c>
      <c r="G50">
        <v>15514512</v>
      </c>
      <c r="H50">
        <v>3</v>
      </c>
      <c r="I50" t="s">
        <v>924</v>
      </c>
      <c r="J50" t="s">
        <v>3</v>
      </c>
      <c r="K50" t="s">
        <v>925</v>
      </c>
      <c r="L50">
        <v>1346</v>
      </c>
      <c r="N50">
        <v>1009</v>
      </c>
      <c r="O50" t="s">
        <v>898</v>
      </c>
      <c r="P50" t="s">
        <v>898</v>
      </c>
      <c r="Q50">
        <v>1</v>
      </c>
      <c r="X50">
        <v>0.98</v>
      </c>
      <c r="Y50">
        <v>221.4237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0.98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ROW(Source!A238)</f>
        <v>238</v>
      </c>
      <c r="B51">
        <v>1472507656</v>
      </c>
      <c r="C51">
        <v>1472495359</v>
      </c>
      <c r="D51">
        <v>1441819193</v>
      </c>
      <c r="E51">
        <v>15514512</v>
      </c>
      <c r="F51">
        <v>1</v>
      </c>
      <c r="G51">
        <v>15514512</v>
      </c>
      <c r="H51">
        <v>1</v>
      </c>
      <c r="I51" t="s">
        <v>885</v>
      </c>
      <c r="J51" t="s">
        <v>3</v>
      </c>
      <c r="K51" t="s">
        <v>886</v>
      </c>
      <c r="L51">
        <v>1191</v>
      </c>
      <c r="N51">
        <v>1013</v>
      </c>
      <c r="O51" t="s">
        <v>887</v>
      </c>
      <c r="P51" t="s">
        <v>887</v>
      </c>
      <c r="Q51">
        <v>1</v>
      </c>
      <c r="X51">
        <v>151.93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3</v>
      </c>
      <c r="AG51">
        <v>151.93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ROW(Source!A238)</f>
        <v>238</v>
      </c>
      <c r="B52">
        <v>1472507657</v>
      </c>
      <c r="C52">
        <v>1472495359</v>
      </c>
      <c r="D52">
        <v>1441834334</v>
      </c>
      <c r="E52">
        <v>1</v>
      </c>
      <c r="F52">
        <v>1</v>
      </c>
      <c r="G52">
        <v>15514512</v>
      </c>
      <c r="H52">
        <v>2</v>
      </c>
      <c r="I52" t="s">
        <v>919</v>
      </c>
      <c r="J52" t="s">
        <v>920</v>
      </c>
      <c r="K52" t="s">
        <v>921</v>
      </c>
      <c r="L52">
        <v>1368</v>
      </c>
      <c r="N52">
        <v>1011</v>
      </c>
      <c r="O52" t="s">
        <v>895</v>
      </c>
      <c r="P52" t="s">
        <v>895</v>
      </c>
      <c r="Q52">
        <v>1</v>
      </c>
      <c r="X52">
        <v>5.8</v>
      </c>
      <c r="Y52">
        <v>0</v>
      </c>
      <c r="Z52">
        <v>10.66</v>
      </c>
      <c r="AA52">
        <v>0.12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5.8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ROW(Source!A238)</f>
        <v>238</v>
      </c>
      <c r="B53">
        <v>1472507659</v>
      </c>
      <c r="C53">
        <v>1472495359</v>
      </c>
      <c r="D53">
        <v>1441834443</v>
      </c>
      <c r="E53">
        <v>1</v>
      </c>
      <c r="F53">
        <v>1</v>
      </c>
      <c r="G53">
        <v>15514512</v>
      </c>
      <c r="H53">
        <v>3</v>
      </c>
      <c r="I53" t="s">
        <v>915</v>
      </c>
      <c r="J53" t="s">
        <v>916</v>
      </c>
      <c r="K53" t="s">
        <v>917</v>
      </c>
      <c r="L53">
        <v>1296</v>
      </c>
      <c r="N53">
        <v>1002</v>
      </c>
      <c r="O53" t="s">
        <v>918</v>
      </c>
      <c r="P53" t="s">
        <v>918</v>
      </c>
      <c r="Q53">
        <v>1</v>
      </c>
      <c r="X53">
        <v>0.31</v>
      </c>
      <c r="Y53">
        <v>785.72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0.31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ROW(Source!A238)</f>
        <v>238</v>
      </c>
      <c r="B54">
        <v>1472507660</v>
      </c>
      <c r="C54">
        <v>1472495359</v>
      </c>
      <c r="D54">
        <v>1441821225</v>
      </c>
      <c r="E54">
        <v>15514512</v>
      </c>
      <c r="F54">
        <v>1</v>
      </c>
      <c r="G54">
        <v>15514512</v>
      </c>
      <c r="H54">
        <v>3</v>
      </c>
      <c r="I54" t="s">
        <v>922</v>
      </c>
      <c r="J54" t="s">
        <v>3</v>
      </c>
      <c r="K54" t="s">
        <v>923</v>
      </c>
      <c r="L54">
        <v>1346</v>
      </c>
      <c r="N54">
        <v>1009</v>
      </c>
      <c r="O54" t="s">
        <v>898</v>
      </c>
      <c r="P54" t="s">
        <v>898</v>
      </c>
      <c r="Q54">
        <v>1</v>
      </c>
      <c r="X54">
        <v>1.08</v>
      </c>
      <c r="Y54">
        <v>292.57515999999998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1.08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ROW(Source!A238)</f>
        <v>238</v>
      </c>
      <c r="B55">
        <v>1472507658</v>
      </c>
      <c r="C55">
        <v>1472495359</v>
      </c>
      <c r="D55">
        <v>1441821223</v>
      </c>
      <c r="E55">
        <v>15514512</v>
      </c>
      <c r="F55">
        <v>1</v>
      </c>
      <c r="G55">
        <v>15514512</v>
      </c>
      <c r="H55">
        <v>3</v>
      </c>
      <c r="I55" t="s">
        <v>924</v>
      </c>
      <c r="J55" t="s">
        <v>3</v>
      </c>
      <c r="K55" t="s">
        <v>925</v>
      </c>
      <c r="L55">
        <v>1346</v>
      </c>
      <c r="N55">
        <v>1009</v>
      </c>
      <c r="O55" t="s">
        <v>898</v>
      </c>
      <c r="P55" t="s">
        <v>898</v>
      </c>
      <c r="Q55">
        <v>1</v>
      </c>
      <c r="X55">
        <v>0.98</v>
      </c>
      <c r="Y55">
        <v>221.4237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0.98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ROW(Source!A239)</f>
        <v>239</v>
      </c>
      <c r="B56">
        <v>1472507661</v>
      </c>
      <c r="C56">
        <v>1472495417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885</v>
      </c>
      <c r="J56" t="s">
        <v>3</v>
      </c>
      <c r="K56" t="s">
        <v>886</v>
      </c>
      <c r="L56">
        <v>1191</v>
      </c>
      <c r="N56">
        <v>1013</v>
      </c>
      <c r="O56" t="s">
        <v>887</v>
      </c>
      <c r="P56" t="s">
        <v>887</v>
      </c>
      <c r="Q56">
        <v>1</v>
      </c>
      <c r="X56">
        <v>26.7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3</v>
      </c>
      <c r="AG56">
        <v>26.7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ROW(Source!A240)</f>
        <v>240</v>
      </c>
      <c r="B57">
        <v>1472507662</v>
      </c>
      <c r="C57">
        <v>1472495424</v>
      </c>
      <c r="D57">
        <v>1441819193</v>
      </c>
      <c r="E57">
        <v>15514512</v>
      </c>
      <c r="F57">
        <v>1</v>
      </c>
      <c r="G57">
        <v>15514512</v>
      </c>
      <c r="H57">
        <v>1</v>
      </c>
      <c r="I57" t="s">
        <v>885</v>
      </c>
      <c r="J57" t="s">
        <v>3</v>
      </c>
      <c r="K57" t="s">
        <v>886</v>
      </c>
      <c r="L57">
        <v>1191</v>
      </c>
      <c r="N57">
        <v>1013</v>
      </c>
      <c r="O57" t="s">
        <v>887</v>
      </c>
      <c r="P57" t="s">
        <v>887</v>
      </c>
      <c r="Q57">
        <v>1</v>
      </c>
      <c r="X57">
        <v>28.02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28.02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ROW(Source!A240)</f>
        <v>240</v>
      </c>
      <c r="B58">
        <v>1472507663</v>
      </c>
      <c r="C58">
        <v>1472495424</v>
      </c>
      <c r="D58">
        <v>1441834443</v>
      </c>
      <c r="E58">
        <v>1</v>
      </c>
      <c r="F58">
        <v>1</v>
      </c>
      <c r="G58">
        <v>15514512</v>
      </c>
      <c r="H58">
        <v>3</v>
      </c>
      <c r="I58" t="s">
        <v>915</v>
      </c>
      <c r="J58" t="s">
        <v>916</v>
      </c>
      <c r="K58" t="s">
        <v>917</v>
      </c>
      <c r="L58">
        <v>1296</v>
      </c>
      <c r="N58">
        <v>1002</v>
      </c>
      <c r="O58" t="s">
        <v>918</v>
      </c>
      <c r="P58" t="s">
        <v>918</v>
      </c>
      <c r="Q58">
        <v>1</v>
      </c>
      <c r="X58">
        <v>0.31</v>
      </c>
      <c r="Y58">
        <v>785.72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0.31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ROW(Source!A241)</f>
        <v>241</v>
      </c>
      <c r="B59">
        <v>1472507664</v>
      </c>
      <c r="C59">
        <v>1472495431</v>
      </c>
      <c r="D59">
        <v>1441819193</v>
      </c>
      <c r="E59">
        <v>15514512</v>
      </c>
      <c r="F59">
        <v>1</v>
      </c>
      <c r="G59">
        <v>15514512</v>
      </c>
      <c r="H59">
        <v>1</v>
      </c>
      <c r="I59" t="s">
        <v>885</v>
      </c>
      <c r="J59" t="s">
        <v>3</v>
      </c>
      <c r="K59" t="s">
        <v>886</v>
      </c>
      <c r="L59">
        <v>1191</v>
      </c>
      <c r="N59">
        <v>1013</v>
      </c>
      <c r="O59" t="s">
        <v>887</v>
      </c>
      <c r="P59" t="s">
        <v>887</v>
      </c>
      <c r="Q59">
        <v>1</v>
      </c>
      <c r="X59">
        <v>1.75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</v>
      </c>
      <c r="AG59">
        <v>1.75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ROW(Source!A241)</f>
        <v>241</v>
      </c>
      <c r="B60">
        <v>1472507665</v>
      </c>
      <c r="C60">
        <v>1472495431</v>
      </c>
      <c r="D60">
        <v>1441834258</v>
      </c>
      <c r="E60">
        <v>1</v>
      </c>
      <c r="F60">
        <v>1</v>
      </c>
      <c r="G60">
        <v>15514512</v>
      </c>
      <c r="H60">
        <v>2</v>
      </c>
      <c r="I60" t="s">
        <v>892</v>
      </c>
      <c r="J60" t="s">
        <v>893</v>
      </c>
      <c r="K60" t="s">
        <v>894</v>
      </c>
      <c r="L60">
        <v>1368</v>
      </c>
      <c r="N60">
        <v>1011</v>
      </c>
      <c r="O60" t="s">
        <v>895</v>
      </c>
      <c r="P60" t="s">
        <v>895</v>
      </c>
      <c r="Q60">
        <v>1</v>
      </c>
      <c r="X60">
        <v>1.083</v>
      </c>
      <c r="Y60">
        <v>0</v>
      </c>
      <c r="Z60">
        <v>1303.01</v>
      </c>
      <c r="AA60">
        <v>826.2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1.083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ROW(Source!A241)</f>
        <v>241</v>
      </c>
      <c r="B61">
        <v>1472507666</v>
      </c>
      <c r="C61">
        <v>1472495431</v>
      </c>
      <c r="D61">
        <v>1441836235</v>
      </c>
      <c r="E61">
        <v>1</v>
      </c>
      <c r="F61">
        <v>1</v>
      </c>
      <c r="G61">
        <v>15514512</v>
      </c>
      <c r="H61">
        <v>3</v>
      </c>
      <c r="I61" t="s">
        <v>912</v>
      </c>
      <c r="J61" t="s">
        <v>913</v>
      </c>
      <c r="K61" t="s">
        <v>914</v>
      </c>
      <c r="L61">
        <v>1346</v>
      </c>
      <c r="N61">
        <v>1009</v>
      </c>
      <c r="O61" t="s">
        <v>898</v>
      </c>
      <c r="P61" t="s">
        <v>898</v>
      </c>
      <c r="Q61">
        <v>1</v>
      </c>
      <c r="X61">
        <v>0.02</v>
      </c>
      <c r="Y61">
        <v>31.49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0.02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ROW(Source!A242)</f>
        <v>242</v>
      </c>
      <c r="B62">
        <v>1472507725</v>
      </c>
      <c r="C62">
        <v>1472495452</v>
      </c>
      <c r="D62">
        <v>1441819193</v>
      </c>
      <c r="E62">
        <v>15514512</v>
      </c>
      <c r="F62">
        <v>1</v>
      </c>
      <c r="G62">
        <v>15514512</v>
      </c>
      <c r="H62">
        <v>1</v>
      </c>
      <c r="I62" t="s">
        <v>885</v>
      </c>
      <c r="J62" t="s">
        <v>3</v>
      </c>
      <c r="K62" t="s">
        <v>886</v>
      </c>
      <c r="L62">
        <v>1191</v>
      </c>
      <c r="N62">
        <v>1013</v>
      </c>
      <c r="O62" t="s">
        <v>887</v>
      </c>
      <c r="P62" t="s">
        <v>887</v>
      </c>
      <c r="Q62">
        <v>1</v>
      </c>
      <c r="X62">
        <v>0.37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3</v>
      </c>
      <c r="AG62">
        <v>0.37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ROW(Source!A242)</f>
        <v>242</v>
      </c>
      <c r="B63">
        <v>1472507726</v>
      </c>
      <c r="C63">
        <v>1472495452</v>
      </c>
      <c r="D63">
        <v>1441834258</v>
      </c>
      <c r="E63">
        <v>1</v>
      </c>
      <c r="F63">
        <v>1</v>
      </c>
      <c r="G63">
        <v>15514512</v>
      </c>
      <c r="H63">
        <v>2</v>
      </c>
      <c r="I63" t="s">
        <v>892</v>
      </c>
      <c r="J63" t="s">
        <v>893</v>
      </c>
      <c r="K63" t="s">
        <v>894</v>
      </c>
      <c r="L63">
        <v>1368</v>
      </c>
      <c r="N63">
        <v>1011</v>
      </c>
      <c r="O63" t="s">
        <v>895</v>
      </c>
      <c r="P63" t="s">
        <v>895</v>
      </c>
      <c r="Q63">
        <v>1</v>
      </c>
      <c r="X63">
        <v>0.06</v>
      </c>
      <c r="Y63">
        <v>0</v>
      </c>
      <c r="Z63">
        <v>1303.01</v>
      </c>
      <c r="AA63">
        <v>826.2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0.06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ROW(Source!A244)</f>
        <v>244</v>
      </c>
      <c r="B64">
        <v>1472507727</v>
      </c>
      <c r="C64">
        <v>1472495500</v>
      </c>
      <c r="D64">
        <v>1441819193</v>
      </c>
      <c r="E64">
        <v>15514512</v>
      </c>
      <c r="F64">
        <v>1</v>
      </c>
      <c r="G64">
        <v>15514512</v>
      </c>
      <c r="H64">
        <v>1</v>
      </c>
      <c r="I64" t="s">
        <v>885</v>
      </c>
      <c r="J64" t="s">
        <v>3</v>
      </c>
      <c r="K64" t="s">
        <v>886</v>
      </c>
      <c r="L64">
        <v>1191</v>
      </c>
      <c r="N64">
        <v>1013</v>
      </c>
      <c r="O64" t="s">
        <v>887</v>
      </c>
      <c r="P64" t="s">
        <v>887</v>
      </c>
      <c r="Q64">
        <v>1</v>
      </c>
      <c r="X64">
        <v>0.21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3</v>
      </c>
      <c r="AG64">
        <v>0.21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ROW(Source!A244)</f>
        <v>244</v>
      </c>
      <c r="B65">
        <v>1472507728</v>
      </c>
      <c r="C65">
        <v>1472495500</v>
      </c>
      <c r="D65">
        <v>1441836235</v>
      </c>
      <c r="E65">
        <v>1</v>
      </c>
      <c r="F65">
        <v>1</v>
      </c>
      <c r="G65">
        <v>15514512</v>
      </c>
      <c r="H65">
        <v>3</v>
      </c>
      <c r="I65" t="s">
        <v>912</v>
      </c>
      <c r="J65" t="s">
        <v>913</v>
      </c>
      <c r="K65" t="s">
        <v>914</v>
      </c>
      <c r="L65">
        <v>1346</v>
      </c>
      <c r="N65">
        <v>1009</v>
      </c>
      <c r="O65" t="s">
        <v>898</v>
      </c>
      <c r="P65" t="s">
        <v>898</v>
      </c>
      <c r="Q65">
        <v>1</v>
      </c>
      <c r="X65">
        <v>4.3E-3</v>
      </c>
      <c r="Y65">
        <v>31.49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4.3E-3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ROW(Source!A245)</f>
        <v>245</v>
      </c>
      <c r="B66">
        <v>1472507730</v>
      </c>
      <c r="C66">
        <v>1472495513</v>
      </c>
      <c r="D66">
        <v>1441819193</v>
      </c>
      <c r="E66">
        <v>15514512</v>
      </c>
      <c r="F66">
        <v>1</v>
      </c>
      <c r="G66">
        <v>15514512</v>
      </c>
      <c r="H66">
        <v>1</v>
      </c>
      <c r="I66" t="s">
        <v>885</v>
      </c>
      <c r="J66" t="s">
        <v>3</v>
      </c>
      <c r="K66" t="s">
        <v>886</v>
      </c>
      <c r="L66">
        <v>1191</v>
      </c>
      <c r="N66">
        <v>1013</v>
      </c>
      <c r="O66" t="s">
        <v>887</v>
      </c>
      <c r="P66" t="s">
        <v>887</v>
      </c>
      <c r="Q66">
        <v>1</v>
      </c>
      <c r="X66">
        <v>0.37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28</v>
      </c>
      <c r="AG66">
        <v>0.74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ROW(Source!A245)</f>
        <v>245</v>
      </c>
      <c r="B67">
        <v>1472507731</v>
      </c>
      <c r="C67">
        <v>1472495513</v>
      </c>
      <c r="D67">
        <v>1441834258</v>
      </c>
      <c r="E67">
        <v>1</v>
      </c>
      <c r="F67">
        <v>1</v>
      </c>
      <c r="G67">
        <v>15514512</v>
      </c>
      <c r="H67">
        <v>2</v>
      </c>
      <c r="I67" t="s">
        <v>892</v>
      </c>
      <c r="J67" t="s">
        <v>893</v>
      </c>
      <c r="K67" t="s">
        <v>894</v>
      </c>
      <c r="L67">
        <v>1368</v>
      </c>
      <c r="N67">
        <v>1011</v>
      </c>
      <c r="O67" t="s">
        <v>895</v>
      </c>
      <c r="P67" t="s">
        <v>895</v>
      </c>
      <c r="Q67">
        <v>1</v>
      </c>
      <c r="X67">
        <v>0.06</v>
      </c>
      <c r="Y67">
        <v>0</v>
      </c>
      <c r="Z67">
        <v>1303.01</v>
      </c>
      <c r="AA67">
        <v>826.2</v>
      </c>
      <c r="AB67">
        <v>0</v>
      </c>
      <c r="AC67">
        <v>0</v>
      </c>
      <c r="AD67">
        <v>1</v>
      </c>
      <c r="AE67">
        <v>0</v>
      </c>
      <c r="AF67" t="s">
        <v>28</v>
      </c>
      <c r="AG67">
        <v>0.12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ROW(Source!A246)</f>
        <v>246</v>
      </c>
      <c r="B68">
        <v>1472507732</v>
      </c>
      <c r="C68">
        <v>1472495520</v>
      </c>
      <c r="D68">
        <v>1441819193</v>
      </c>
      <c r="E68">
        <v>15514512</v>
      </c>
      <c r="F68">
        <v>1</v>
      </c>
      <c r="G68">
        <v>15514512</v>
      </c>
      <c r="H68">
        <v>1</v>
      </c>
      <c r="I68" t="s">
        <v>885</v>
      </c>
      <c r="J68" t="s">
        <v>3</v>
      </c>
      <c r="K68" t="s">
        <v>886</v>
      </c>
      <c r="L68">
        <v>1191</v>
      </c>
      <c r="N68">
        <v>1013</v>
      </c>
      <c r="O68" t="s">
        <v>887</v>
      </c>
      <c r="P68" t="s">
        <v>887</v>
      </c>
      <c r="Q68">
        <v>1</v>
      </c>
      <c r="X68">
        <v>3.08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3.08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ROW(Source!A246)</f>
        <v>246</v>
      </c>
      <c r="B69">
        <v>1472507733</v>
      </c>
      <c r="C69">
        <v>1472495520</v>
      </c>
      <c r="D69">
        <v>1441834258</v>
      </c>
      <c r="E69">
        <v>1</v>
      </c>
      <c r="F69">
        <v>1</v>
      </c>
      <c r="G69">
        <v>15514512</v>
      </c>
      <c r="H69">
        <v>2</v>
      </c>
      <c r="I69" t="s">
        <v>892</v>
      </c>
      <c r="J69" t="s">
        <v>893</v>
      </c>
      <c r="K69" t="s">
        <v>894</v>
      </c>
      <c r="L69">
        <v>1368</v>
      </c>
      <c r="N69">
        <v>1011</v>
      </c>
      <c r="O69" t="s">
        <v>895</v>
      </c>
      <c r="P69" t="s">
        <v>895</v>
      </c>
      <c r="Q69">
        <v>1</v>
      </c>
      <c r="X69">
        <v>1.6</v>
      </c>
      <c r="Y69">
        <v>0</v>
      </c>
      <c r="Z69">
        <v>1303.01</v>
      </c>
      <c r="AA69">
        <v>826.2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1.6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ROW(Source!A246)</f>
        <v>246</v>
      </c>
      <c r="B70">
        <v>1472507734</v>
      </c>
      <c r="C70">
        <v>1472495520</v>
      </c>
      <c r="D70">
        <v>1441836235</v>
      </c>
      <c r="E70">
        <v>1</v>
      </c>
      <c r="F70">
        <v>1</v>
      </c>
      <c r="G70">
        <v>15514512</v>
      </c>
      <c r="H70">
        <v>3</v>
      </c>
      <c r="I70" t="s">
        <v>912</v>
      </c>
      <c r="J70" t="s">
        <v>913</v>
      </c>
      <c r="K70" t="s">
        <v>914</v>
      </c>
      <c r="L70">
        <v>1346</v>
      </c>
      <c r="N70">
        <v>1009</v>
      </c>
      <c r="O70" t="s">
        <v>898</v>
      </c>
      <c r="P70" t="s">
        <v>898</v>
      </c>
      <c r="Q70">
        <v>1</v>
      </c>
      <c r="X70">
        <v>0.3</v>
      </c>
      <c r="Y70">
        <v>31.49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0.3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ROW(Source!A246)</f>
        <v>246</v>
      </c>
      <c r="B71">
        <v>1472507735</v>
      </c>
      <c r="C71">
        <v>1472495520</v>
      </c>
      <c r="D71">
        <v>1441836375</v>
      </c>
      <c r="E71">
        <v>1</v>
      </c>
      <c r="F71">
        <v>1</v>
      </c>
      <c r="G71">
        <v>15514512</v>
      </c>
      <c r="H71">
        <v>3</v>
      </c>
      <c r="I71" t="s">
        <v>926</v>
      </c>
      <c r="J71" t="s">
        <v>927</v>
      </c>
      <c r="K71" t="s">
        <v>928</v>
      </c>
      <c r="L71">
        <v>1296</v>
      </c>
      <c r="N71">
        <v>1002</v>
      </c>
      <c r="O71" t="s">
        <v>918</v>
      </c>
      <c r="P71" t="s">
        <v>918</v>
      </c>
      <c r="Q71">
        <v>1</v>
      </c>
      <c r="X71">
        <v>2.5000000000000001E-2</v>
      </c>
      <c r="Y71">
        <v>71.38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2.5000000000000001E-2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ROW(Source!A246)</f>
        <v>246</v>
      </c>
      <c r="B72">
        <v>1472507736</v>
      </c>
      <c r="C72">
        <v>1472495520</v>
      </c>
      <c r="D72">
        <v>1441836355</v>
      </c>
      <c r="E72">
        <v>1</v>
      </c>
      <c r="F72">
        <v>1</v>
      </c>
      <c r="G72">
        <v>15514512</v>
      </c>
      <c r="H72">
        <v>3</v>
      </c>
      <c r="I72" t="s">
        <v>929</v>
      </c>
      <c r="J72" t="s">
        <v>930</v>
      </c>
      <c r="K72" t="s">
        <v>931</v>
      </c>
      <c r="L72">
        <v>1296</v>
      </c>
      <c r="N72">
        <v>1002</v>
      </c>
      <c r="O72" t="s">
        <v>918</v>
      </c>
      <c r="P72" t="s">
        <v>918</v>
      </c>
      <c r="Q72">
        <v>1</v>
      </c>
      <c r="X72">
        <v>0.1</v>
      </c>
      <c r="Y72">
        <v>32.83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0.1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ROW(Source!A246)</f>
        <v>246</v>
      </c>
      <c r="B73">
        <v>1472507737</v>
      </c>
      <c r="C73">
        <v>1472495520</v>
      </c>
      <c r="D73">
        <v>1441834668</v>
      </c>
      <c r="E73">
        <v>1</v>
      </c>
      <c r="F73">
        <v>1</v>
      </c>
      <c r="G73">
        <v>15514512</v>
      </c>
      <c r="H73">
        <v>3</v>
      </c>
      <c r="I73" t="s">
        <v>932</v>
      </c>
      <c r="J73" t="s">
        <v>933</v>
      </c>
      <c r="K73" t="s">
        <v>934</v>
      </c>
      <c r="L73">
        <v>1354</v>
      </c>
      <c r="N73">
        <v>16987630</v>
      </c>
      <c r="O73" t="s">
        <v>20</v>
      </c>
      <c r="P73" t="s">
        <v>20</v>
      </c>
      <c r="Q73">
        <v>1</v>
      </c>
      <c r="X73">
        <v>1</v>
      </c>
      <c r="Y73">
        <v>253.7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1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ROW(Source!A246)</f>
        <v>246</v>
      </c>
      <c r="B74">
        <v>1472507738</v>
      </c>
      <c r="C74">
        <v>1472495520</v>
      </c>
      <c r="D74">
        <v>1441821343</v>
      </c>
      <c r="E74">
        <v>15514512</v>
      </c>
      <c r="F74">
        <v>1</v>
      </c>
      <c r="G74">
        <v>15514512</v>
      </c>
      <c r="H74">
        <v>3</v>
      </c>
      <c r="I74" t="s">
        <v>935</v>
      </c>
      <c r="J74" t="s">
        <v>3</v>
      </c>
      <c r="K74" t="s">
        <v>936</v>
      </c>
      <c r="L74">
        <v>1346</v>
      </c>
      <c r="N74">
        <v>1009</v>
      </c>
      <c r="O74" t="s">
        <v>898</v>
      </c>
      <c r="P74" t="s">
        <v>898</v>
      </c>
      <c r="Q74">
        <v>1</v>
      </c>
      <c r="X74">
        <v>0.03</v>
      </c>
      <c r="Y74">
        <v>178.43396999999999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0.03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ROW(Source!A248)</f>
        <v>248</v>
      </c>
      <c r="B75">
        <v>1472507742</v>
      </c>
      <c r="C75">
        <v>1472495561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885</v>
      </c>
      <c r="J75" t="s">
        <v>3</v>
      </c>
      <c r="K75" t="s">
        <v>886</v>
      </c>
      <c r="L75">
        <v>1191</v>
      </c>
      <c r="N75">
        <v>1013</v>
      </c>
      <c r="O75" t="s">
        <v>887</v>
      </c>
      <c r="P75" t="s">
        <v>887</v>
      </c>
      <c r="Q75">
        <v>1</v>
      </c>
      <c r="X75">
        <v>1.04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3</v>
      </c>
      <c r="AG75">
        <v>1.04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ROW(Source!A248)</f>
        <v>248</v>
      </c>
      <c r="B76">
        <v>1472507743</v>
      </c>
      <c r="C76">
        <v>1472495561</v>
      </c>
      <c r="D76">
        <v>1441836375</v>
      </c>
      <c r="E76">
        <v>1</v>
      </c>
      <c r="F76">
        <v>1</v>
      </c>
      <c r="G76">
        <v>15514512</v>
      </c>
      <c r="H76">
        <v>3</v>
      </c>
      <c r="I76" t="s">
        <v>926</v>
      </c>
      <c r="J76" t="s">
        <v>927</v>
      </c>
      <c r="K76" t="s">
        <v>928</v>
      </c>
      <c r="L76">
        <v>1296</v>
      </c>
      <c r="N76">
        <v>1002</v>
      </c>
      <c r="O76" t="s">
        <v>918</v>
      </c>
      <c r="P76" t="s">
        <v>918</v>
      </c>
      <c r="Q76">
        <v>1</v>
      </c>
      <c r="X76">
        <v>7.4999999999999997E-3</v>
      </c>
      <c r="Y76">
        <v>71.38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7.4999999999999997E-3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ROW(Source!A248)</f>
        <v>248</v>
      </c>
      <c r="B77">
        <v>1472507744</v>
      </c>
      <c r="C77">
        <v>1472495561</v>
      </c>
      <c r="D77">
        <v>1441836355</v>
      </c>
      <c r="E77">
        <v>1</v>
      </c>
      <c r="F77">
        <v>1</v>
      </c>
      <c r="G77">
        <v>15514512</v>
      </c>
      <c r="H77">
        <v>3</v>
      </c>
      <c r="I77" t="s">
        <v>929</v>
      </c>
      <c r="J77" t="s">
        <v>930</v>
      </c>
      <c r="K77" t="s">
        <v>931</v>
      </c>
      <c r="L77">
        <v>1296</v>
      </c>
      <c r="N77">
        <v>1002</v>
      </c>
      <c r="O77" t="s">
        <v>918</v>
      </c>
      <c r="P77" t="s">
        <v>918</v>
      </c>
      <c r="Q77">
        <v>1</v>
      </c>
      <c r="X77">
        <v>0.03</v>
      </c>
      <c r="Y77">
        <v>32.83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0.03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ROW(Source!A248)</f>
        <v>248</v>
      </c>
      <c r="B78">
        <v>1472507745</v>
      </c>
      <c r="C78">
        <v>1472495561</v>
      </c>
      <c r="D78">
        <v>1441834668</v>
      </c>
      <c r="E78">
        <v>1</v>
      </c>
      <c r="F78">
        <v>1</v>
      </c>
      <c r="G78">
        <v>15514512</v>
      </c>
      <c r="H78">
        <v>3</v>
      </c>
      <c r="I78" t="s">
        <v>932</v>
      </c>
      <c r="J78" t="s">
        <v>933</v>
      </c>
      <c r="K78" t="s">
        <v>934</v>
      </c>
      <c r="L78">
        <v>1354</v>
      </c>
      <c r="N78">
        <v>16987630</v>
      </c>
      <c r="O78" t="s">
        <v>20</v>
      </c>
      <c r="P78" t="s">
        <v>20</v>
      </c>
      <c r="Q78">
        <v>1</v>
      </c>
      <c r="X78">
        <v>1</v>
      </c>
      <c r="Y78">
        <v>253.7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1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ROW(Source!A248)</f>
        <v>248</v>
      </c>
      <c r="B79">
        <v>1472507746</v>
      </c>
      <c r="C79">
        <v>1472495561</v>
      </c>
      <c r="D79">
        <v>1441821343</v>
      </c>
      <c r="E79">
        <v>15514512</v>
      </c>
      <c r="F79">
        <v>1</v>
      </c>
      <c r="G79">
        <v>15514512</v>
      </c>
      <c r="H79">
        <v>3</v>
      </c>
      <c r="I79" t="s">
        <v>935</v>
      </c>
      <c r="J79" t="s">
        <v>3</v>
      </c>
      <c r="K79" t="s">
        <v>936</v>
      </c>
      <c r="L79">
        <v>1346</v>
      </c>
      <c r="N79">
        <v>1009</v>
      </c>
      <c r="O79" t="s">
        <v>898</v>
      </c>
      <c r="P79" t="s">
        <v>898</v>
      </c>
      <c r="Q79">
        <v>1</v>
      </c>
      <c r="X79">
        <v>0.01</v>
      </c>
      <c r="Y79">
        <v>178.43396999999999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0.01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ROW(Source!A319)</f>
        <v>319</v>
      </c>
      <c r="B80">
        <v>1472507807</v>
      </c>
      <c r="C80">
        <v>1472495587</v>
      </c>
      <c r="D80">
        <v>1441819193</v>
      </c>
      <c r="E80">
        <v>15514512</v>
      </c>
      <c r="F80">
        <v>1</v>
      </c>
      <c r="G80">
        <v>15514512</v>
      </c>
      <c r="H80">
        <v>1</v>
      </c>
      <c r="I80" t="s">
        <v>885</v>
      </c>
      <c r="J80" t="s">
        <v>3</v>
      </c>
      <c r="K80" t="s">
        <v>886</v>
      </c>
      <c r="L80">
        <v>1191</v>
      </c>
      <c r="N80">
        <v>1013</v>
      </c>
      <c r="O80" t="s">
        <v>887</v>
      </c>
      <c r="P80" t="s">
        <v>887</v>
      </c>
      <c r="Q80">
        <v>1</v>
      </c>
      <c r="X80">
        <v>11.04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3</v>
      </c>
      <c r="AG80">
        <v>11.04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ROW(Source!A319)</f>
        <v>319</v>
      </c>
      <c r="B81">
        <v>1472507808</v>
      </c>
      <c r="C81">
        <v>1472495587</v>
      </c>
      <c r="D81">
        <v>1441834258</v>
      </c>
      <c r="E81">
        <v>1</v>
      </c>
      <c r="F81">
        <v>1</v>
      </c>
      <c r="G81">
        <v>15514512</v>
      </c>
      <c r="H81">
        <v>2</v>
      </c>
      <c r="I81" t="s">
        <v>892</v>
      </c>
      <c r="J81" t="s">
        <v>893</v>
      </c>
      <c r="K81" t="s">
        <v>894</v>
      </c>
      <c r="L81">
        <v>1368</v>
      </c>
      <c r="N81">
        <v>1011</v>
      </c>
      <c r="O81" t="s">
        <v>895</v>
      </c>
      <c r="P81" t="s">
        <v>895</v>
      </c>
      <c r="Q81">
        <v>1</v>
      </c>
      <c r="X81">
        <v>2.42</v>
      </c>
      <c r="Y81">
        <v>0</v>
      </c>
      <c r="Z81">
        <v>1303.01</v>
      </c>
      <c r="AA81">
        <v>826.2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2.42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ROW(Source!A319)</f>
        <v>319</v>
      </c>
      <c r="B82">
        <v>1472507809</v>
      </c>
      <c r="C82">
        <v>1472495587</v>
      </c>
      <c r="D82">
        <v>1441836235</v>
      </c>
      <c r="E82">
        <v>1</v>
      </c>
      <c r="F82">
        <v>1</v>
      </c>
      <c r="G82">
        <v>15514512</v>
      </c>
      <c r="H82">
        <v>3</v>
      </c>
      <c r="I82" t="s">
        <v>912</v>
      </c>
      <c r="J82" t="s">
        <v>913</v>
      </c>
      <c r="K82" t="s">
        <v>914</v>
      </c>
      <c r="L82">
        <v>1346</v>
      </c>
      <c r="N82">
        <v>1009</v>
      </c>
      <c r="O82" t="s">
        <v>898</v>
      </c>
      <c r="P82" t="s">
        <v>898</v>
      </c>
      <c r="Q82">
        <v>1</v>
      </c>
      <c r="X82">
        <v>0.2477</v>
      </c>
      <c r="Y82">
        <v>31.49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0.2477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ROW(Source!A320)</f>
        <v>320</v>
      </c>
      <c r="B83">
        <v>1472508044</v>
      </c>
      <c r="C83">
        <v>1472495601</v>
      </c>
      <c r="D83">
        <v>1441819193</v>
      </c>
      <c r="E83">
        <v>15514512</v>
      </c>
      <c r="F83">
        <v>1</v>
      </c>
      <c r="G83">
        <v>15514512</v>
      </c>
      <c r="H83">
        <v>1</v>
      </c>
      <c r="I83" t="s">
        <v>885</v>
      </c>
      <c r="J83" t="s">
        <v>3</v>
      </c>
      <c r="K83" t="s">
        <v>886</v>
      </c>
      <c r="L83">
        <v>1191</v>
      </c>
      <c r="N83">
        <v>1013</v>
      </c>
      <c r="O83" t="s">
        <v>887</v>
      </c>
      <c r="P83" t="s">
        <v>887</v>
      </c>
      <c r="Q83">
        <v>1</v>
      </c>
      <c r="X83">
        <v>0.14000000000000001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3</v>
      </c>
      <c r="AG83">
        <v>0.14000000000000001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ROW(Source!A320)</f>
        <v>320</v>
      </c>
      <c r="B84">
        <v>1472508045</v>
      </c>
      <c r="C84">
        <v>1472495601</v>
      </c>
      <c r="D84">
        <v>1441834213</v>
      </c>
      <c r="E84">
        <v>1</v>
      </c>
      <c r="F84">
        <v>1</v>
      </c>
      <c r="G84">
        <v>15514512</v>
      </c>
      <c r="H84">
        <v>2</v>
      </c>
      <c r="I84" t="s">
        <v>937</v>
      </c>
      <c r="J84" t="s">
        <v>938</v>
      </c>
      <c r="K84" t="s">
        <v>939</v>
      </c>
      <c r="L84">
        <v>1368</v>
      </c>
      <c r="N84">
        <v>1011</v>
      </c>
      <c r="O84" t="s">
        <v>895</v>
      </c>
      <c r="P84" t="s">
        <v>895</v>
      </c>
      <c r="Q84">
        <v>1</v>
      </c>
      <c r="X84">
        <v>0.03</v>
      </c>
      <c r="Y84">
        <v>0</v>
      </c>
      <c r="Z84">
        <v>7.68</v>
      </c>
      <c r="AA84">
        <v>0.05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0.03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ROW(Source!A320)</f>
        <v>320</v>
      </c>
      <c r="B85">
        <v>1472508046</v>
      </c>
      <c r="C85">
        <v>1472495601</v>
      </c>
      <c r="D85">
        <v>1441836235</v>
      </c>
      <c r="E85">
        <v>1</v>
      </c>
      <c r="F85">
        <v>1</v>
      </c>
      <c r="G85">
        <v>15514512</v>
      </c>
      <c r="H85">
        <v>3</v>
      </c>
      <c r="I85" t="s">
        <v>912</v>
      </c>
      <c r="J85" t="s">
        <v>913</v>
      </c>
      <c r="K85" t="s">
        <v>914</v>
      </c>
      <c r="L85">
        <v>1346</v>
      </c>
      <c r="N85">
        <v>1009</v>
      </c>
      <c r="O85" t="s">
        <v>898</v>
      </c>
      <c r="P85" t="s">
        <v>898</v>
      </c>
      <c r="Q85">
        <v>1</v>
      </c>
      <c r="X85">
        <v>7.0000000000000007E-2</v>
      </c>
      <c r="Y85">
        <v>31.49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7.0000000000000007E-2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ROW(Source!A321)</f>
        <v>321</v>
      </c>
      <c r="B86">
        <v>1472508051</v>
      </c>
      <c r="C86">
        <v>1472495632</v>
      </c>
      <c r="D86">
        <v>1441819193</v>
      </c>
      <c r="E86">
        <v>15514512</v>
      </c>
      <c r="F86">
        <v>1</v>
      </c>
      <c r="G86">
        <v>15514512</v>
      </c>
      <c r="H86">
        <v>1</v>
      </c>
      <c r="I86" t="s">
        <v>885</v>
      </c>
      <c r="J86" t="s">
        <v>3</v>
      </c>
      <c r="K86" t="s">
        <v>886</v>
      </c>
      <c r="L86">
        <v>1191</v>
      </c>
      <c r="N86">
        <v>1013</v>
      </c>
      <c r="O86" t="s">
        <v>887</v>
      </c>
      <c r="P86" t="s">
        <v>887</v>
      </c>
      <c r="Q86">
        <v>1</v>
      </c>
      <c r="X86">
        <v>0.36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3</v>
      </c>
      <c r="AG86">
        <v>0.36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ROW(Source!A321)</f>
        <v>321</v>
      </c>
      <c r="B87">
        <v>1472508052</v>
      </c>
      <c r="C87">
        <v>1472495632</v>
      </c>
      <c r="D87">
        <v>1441836235</v>
      </c>
      <c r="E87">
        <v>1</v>
      </c>
      <c r="F87">
        <v>1</v>
      </c>
      <c r="G87">
        <v>15514512</v>
      </c>
      <c r="H87">
        <v>3</v>
      </c>
      <c r="I87" t="s">
        <v>912</v>
      </c>
      <c r="J87" t="s">
        <v>913</v>
      </c>
      <c r="K87" t="s">
        <v>914</v>
      </c>
      <c r="L87">
        <v>1346</v>
      </c>
      <c r="N87">
        <v>1009</v>
      </c>
      <c r="O87" t="s">
        <v>898</v>
      </c>
      <c r="P87" t="s">
        <v>898</v>
      </c>
      <c r="Q87">
        <v>1</v>
      </c>
      <c r="X87">
        <v>7.4999999999999997E-3</v>
      </c>
      <c r="Y87">
        <v>31.49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7.4999999999999997E-3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ROW(Source!A322)</f>
        <v>322</v>
      </c>
      <c r="B88">
        <v>1472508069</v>
      </c>
      <c r="C88">
        <v>1472495677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885</v>
      </c>
      <c r="J88" t="s">
        <v>3</v>
      </c>
      <c r="K88" t="s">
        <v>886</v>
      </c>
      <c r="L88">
        <v>1191</v>
      </c>
      <c r="N88">
        <v>1013</v>
      </c>
      <c r="O88" t="s">
        <v>887</v>
      </c>
      <c r="P88" t="s">
        <v>887</v>
      </c>
      <c r="Q88">
        <v>1</v>
      </c>
      <c r="X88">
        <v>0.46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3</v>
      </c>
      <c r="AG88">
        <v>0.46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ROW(Source!A322)</f>
        <v>322</v>
      </c>
      <c r="B89">
        <v>1472508070</v>
      </c>
      <c r="C89">
        <v>1472495677</v>
      </c>
      <c r="D89">
        <v>1441836235</v>
      </c>
      <c r="E89">
        <v>1</v>
      </c>
      <c r="F89">
        <v>1</v>
      </c>
      <c r="G89">
        <v>15514512</v>
      </c>
      <c r="H89">
        <v>3</v>
      </c>
      <c r="I89" t="s">
        <v>912</v>
      </c>
      <c r="J89" t="s">
        <v>913</v>
      </c>
      <c r="K89" t="s">
        <v>914</v>
      </c>
      <c r="L89">
        <v>1346</v>
      </c>
      <c r="N89">
        <v>1009</v>
      </c>
      <c r="O89" t="s">
        <v>898</v>
      </c>
      <c r="P89" t="s">
        <v>898</v>
      </c>
      <c r="Q89">
        <v>1</v>
      </c>
      <c r="X89">
        <v>1.4999999999999999E-2</v>
      </c>
      <c r="Y89">
        <v>31.49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1.4999999999999999E-2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ROW(Source!A323)</f>
        <v>323</v>
      </c>
      <c r="B90">
        <v>1472508088</v>
      </c>
      <c r="C90">
        <v>1472495687</v>
      </c>
      <c r="D90">
        <v>1441819193</v>
      </c>
      <c r="E90">
        <v>15514512</v>
      </c>
      <c r="F90">
        <v>1</v>
      </c>
      <c r="G90">
        <v>15514512</v>
      </c>
      <c r="H90">
        <v>1</v>
      </c>
      <c r="I90" t="s">
        <v>885</v>
      </c>
      <c r="J90" t="s">
        <v>3</v>
      </c>
      <c r="K90" t="s">
        <v>886</v>
      </c>
      <c r="L90">
        <v>1191</v>
      </c>
      <c r="N90">
        <v>1013</v>
      </c>
      <c r="O90" t="s">
        <v>887</v>
      </c>
      <c r="P90" t="s">
        <v>887</v>
      </c>
      <c r="Q90">
        <v>1</v>
      </c>
      <c r="X90">
        <v>0.57999999999999996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3</v>
      </c>
      <c r="AG90">
        <v>0.57999999999999996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ROW(Source!A323)</f>
        <v>323</v>
      </c>
      <c r="B91">
        <v>1472508089</v>
      </c>
      <c r="C91">
        <v>1472495687</v>
      </c>
      <c r="D91">
        <v>1441833954</v>
      </c>
      <c r="E91">
        <v>1</v>
      </c>
      <c r="F91">
        <v>1</v>
      </c>
      <c r="G91">
        <v>15514512</v>
      </c>
      <c r="H91">
        <v>2</v>
      </c>
      <c r="I91" t="s">
        <v>940</v>
      </c>
      <c r="J91" t="s">
        <v>941</v>
      </c>
      <c r="K91" t="s">
        <v>942</v>
      </c>
      <c r="L91">
        <v>1368</v>
      </c>
      <c r="N91">
        <v>1011</v>
      </c>
      <c r="O91" t="s">
        <v>895</v>
      </c>
      <c r="P91" t="s">
        <v>895</v>
      </c>
      <c r="Q91">
        <v>1</v>
      </c>
      <c r="X91">
        <v>4.2500000000000003E-2</v>
      </c>
      <c r="Y91">
        <v>0</v>
      </c>
      <c r="Z91">
        <v>59.51</v>
      </c>
      <c r="AA91">
        <v>0.82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4.2500000000000003E-2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ROW(Source!A323)</f>
        <v>323</v>
      </c>
      <c r="B92">
        <v>1472508090</v>
      </c>
      <c r="C92">
        <v>1472495687</v>
      </c>
      <c r="D92">
        <v>1441836235</v>
      </c>
      <c r="E92">
        <v>1</v>
      </c>
      <c r="F92">
        <v>1</v>
      </c>
      <c r="G92">
        <v>15514512</v>
      </c>
      <c r="H92">
        <v>3</v>
      </c>
      <c r="I92" t="s">
        <v>912</v>
      </c>
      <c r="J92" t="s">
        <v>913</v>
      </c>
      <c r="K92" t="s">
        <v>914</v>
      </c>
      <c r="L92">
        <v>1346</v>
      </c>
      <c r="N92">
        <v>1009</v>
      </c>
      <c r="O92" t="s">
        <v>898</v>
      </c>
      <c r="P92" t="s">
        <v>898</v>
      </c>
      <c r="Q92">
        <v>1</v>
      </c>
      <c r="X92">
        <v>1.4999999999999999E-2</v>
      </c>
      <c r="Y92">
        <v>31.49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1.4999999999999999E-2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ROW(Source!A324)</f>
        <v>324</v>
      </c>
      <c r="B93">
        <v>1472508107</v>
      </c>
      <c r="C93">
        <v>1472495695</v>
      </c>
      <c r="D93">
        <v>1441819193</v>
      </c>
      <c r="E93">
        <v>15514512</v>
      </c>
      <c r="F93">
        <v>1</v>
      </c>
      <c r="G93">
        <v>15514512</v>
      </c>
      <c r="H93">
        <v>1</v>
      </c>
      <c r="I93" t="s">
        <v>885</v>
      </c>
      <c r="J93" t="s">
        <v>3</v>
      </c>
      <c r="K93" t="s">
        <v>886</v>
      </c>
      <c r="L93">
        <v>1191</v>
      </c>
      <c r="N93">
        <v>1013</v>
      </c>
      <c r="O93" t="s">
        <v>887</v>
      </c>
      <c r="P93" t="s">
        <v>887</v>
      </c>
      <c r="Q93">
        <v>1</v>
      </c>
      <c r="X93">
        <v>0.36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3</v>
      </c>
      <c r="AG93">
        <v>0.36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ROW(Source!A324)</f>
        <v>324</v>
      </c>
      <c r="B94">
        <v>1472508108</v>
      </c>
      <c r="C94">
        <v>1472495695</v>
      </c>
      <c r="D94">
        <v>1441836235</v>
      </c>
      <c r="E94">
        <v>1</v>
      </c>
      <c r="F94">
        <v>1</v>
      </c>
      <c r="G94">
        <v>15514512</v>
      </c>
      <c r="H94">
        <v>3</v>
      </c>
      <c r="I94" t="s">
        <v>912</v>
      </c>
      <c r="J94" t="s">
        <v>913</v>
      </c>
      <c r="K94" t="s">
        <v>914</v>
      </c>
      <c r="L94">
        <v>1346</v>
      </c>
      <c r="N94">
        <v>1009</v>
      </c>
      <c r="O94" t="s">
        <v>898</v>
      </c>
      <c r="P94" t="s">
        <v>898</v>
      </c>
      <c r="Q94">
        <v>1</v>
      </c>
      <c r="X94">
        <v>7.4999999999999997E-3</v>
      </c>
      <c r="Y94">
        <v>31.49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7.4999999999999997E-3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ROW(Source!A325)</f>
        <v>325</v>
      </c>
      <c r="B95">
        <v>1472508133</v>
      </c>
      <c r="C95">
        <v>1472495702</v>
      </c>
      <c r="D95">
        <v>1441819193</v>
      </c>
      <c r="E95">
        <v>15514512</v>
      </c>
      <c r="F95">
        <v>1</v>
      </c>
      <c r="G95">
        <v>15514512</v>
      </c>
      <c r="H95">
        <v>1</v>
      </c>
      <c r="I95" t="s">
        <v>885</v>
      </c>
      <c r="J95" t="s">
        <v>3</v>
      </c>
      <c r="K95" t="s">
        <v>886</v>
      </c>
      <c r="L95">
        <v>1191</v>
      </c>
      <c r="N95">
        <v>1013</v>
      </c>
      <c r="O95" t="s">
        <v>887</v>
      </c>
      <c r="P95" t="s">
        <v>887</v>
      </c>
      <c r="Q95">
        <v>1</v>
      </c>
      <c r="X95">
        <v>0.46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3</v>
      </c>
      <c r="AG95">
        <v>0.46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ROW(Source!A325)</f>
        <v>325</v>
      </c>
      <c r="B96">
        <v>1472508135</v>
      </c>
      <c r="C96">
        <v>1472495702</v>
      </c>
      <c r="D96">
        <v>1441836235</v>
      </c>
      <c r="E96">
        <v>1</v>
      </c>
      <c r="F96">
        <v>1</v>
      </c>
      <c r="G96">
        <v>15514512</v>
      </c>
      <c r="H96">
        <v>3</v>
      </c>
      <c r="I96" t="s">
        <v>912</v>
      </c>
      <c r="J96" t="s">
        <v>913</v>
      </c>
      <c r="K96" t="s">
        <v>914</v>
      </c>
      <c r="L96">
        <v>1346</v>
      </c>
      <c r="N96">
        <v>1009</v>
      </c>
      <c r="O96" t="s">
        <v>898</v>
      </c>
      <c r="P96" t="s">
        <v>898</v>
      </c>
      <c r="Q96">
        <v>1</v>
      </c>
      <c r="X96">
        <v>1.4999999999999999E-2</v>
      </c>
      <c r="Y96">
        <v>31.49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1.4999999999999999E-2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ROW(Source!A326)</f>
        <v>326</v>
      </c>
      <c r="B97">
        <v>1472508153</v>
      </c>
      <c r="C97">
        <v>1472495711</v>
      </c>
      <c r="D97">
        <v>1441819193</v>
      </c>
      <c r="E97">
        <v>15514512</v>
      </c>
      <c r="F97">
        <v>1</v>
      </c>
      <c r="G97">
        <v>15514512</v>
      </c>
      <c r="H97">
        <v>1</v>
      </c>
      <c r="I97" t="s">
        <v>885</v>
      </c>
      <c r="J97" t="s">
        <v>3</v>
      </c>
      <c r="K97" t="s">
        <v>886</v>
      </c>
      <c r="L97">
        <v>1191</v>
      </c>
      <c r="N97">
        <v>1013</v>
      </c>
      <c r="O97" t="s">
        <v>887</v>
      </c>
      <c r="P97" t="s">
        <v>887</v>
      </c>
      <c r="Q97">
        <v>1</v>
      </c>
      <c r="X97">
        <v>0.57999999999999996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3</v>
      </c>
      <c r="AG97">
        <v>0.57999999999999996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ROW(Source!A326)</f>
        <v>326</v>
      </c>
      <c r="B98">
        <v>1472508155</v>
      </c>
      <c r="C98">
        <v>1472495711</v>
      </c>
      <c r="D98">
        <v>1441833954</v>
      </c>
      <c r="E98">
        <v>1</v>
      </c>
      <c r="F98">
        <v>1</v>
      </c>
      <c r="G98">
        <v>15514512</v>
      </c>
      <c r="H98">
        <v>2</v>
      </c>
      <c r="I98" t="s">
        <v>940</v>
      </c>
      <c r="J98" t="s">
        <v>941</v>
      </c>
      <c r="K98" t="s">
        <v>942</v>
      </c>
      <c r="L98">
        <v>1368</v>
      </c>
      <c r="N98">
        <v>1011</v>
      </c>
      <c r="O98" t="s">
        <v>895</v>
      </c>
      <c r="P98" t="s">
        <v>895</v>
      </c>
      <c r="Q98">
        <v>1</v>
      </c>
      <c r="X98">
        <v>4.2500000000000003E-2</v>
      </c>
      <c r="Y98">
        <v>0</v>
      </c>
      <c r="Z98">
        <v>59.51</v>
      </c>
      <c r="AA98">
        <v>0.82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4.2500000000000003E-2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ROW(Source!A326)</f>
        <v>326</v>
      </c>
      <c r="B99">
        <v>1472508156</v>
      </c>
      <c r="C99">
        <v>1472495711</v>
      </c>
      <c r="D99">
        <v>1441836235</v>
      </c>
      <c r="E99">
        <v>1</v>
      </c>
      <c r="F99">
        <v>1</v>
      </c>
      <c r="G99">
        <v>15514512</v>
      </c>
      <c r="H99">
        <v>3</v>
      </c>
      <c r="I99" t="s">
        <v>912</v>
      </c>
      <c r="J99" t="s">
        <v>913</v>
      </c>
      <c r="K99" t="s">
        <v>914</v>
      </c>
      <c r="L99">
        <v>1346</v>
      </c>
      <c r="N99">
        <v>1009</v>
      </c>
      <c r="O99" t="s">
        <v>898</v>
      </c>
      <c r="P99" t="s">
        <v>898</v>
      </c>
      <c r="Q99">
        <v>1</v>
      </c>
      <c r="X99">
        <v>1.4999999999999999E-2</v>
      </c>
      <c r="Y99">
        <v>31.49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1.4999999999999999E-2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ROW(Source!A327)</f>
        <v>327</v>
      </c>
      <c r="B100">
        <v>1472508194</v>
      </c>
      <c r="C100">
        <v>1472495720</v>
      </c>
      <c r="D100">
        <v>1441819193</v>
      </c>
      <c r="E100">
        <v>15514512</v>
      </c>
      <c r="F100">
        <v>1</v>
      </c>
      <c r="G100">
        <v>15514512</v>
      </c>
      <c r="H100">
        <v>1</v>
      </c>
      <c r="I100" t="s">
        <v>885</v>
      </c>
      <c r="J100" t="s">
        <v>3</v>
      </c>
      <c r="K100" t="s">
        <v>886</v>
      </c>
      <c r="L100">
        <v>1191</v>
      </c>
      <c r="N100">
        <v>1013</v>
      </c>
      <c r="O100" t="s">
        <v>887</v>
      </c>
      <c r="P100" t="s">
        <v>887</v>
      </c>
      <c r="Q100">
        <v>1</v>
      </c>
      <c r="X100">
        <v>1.52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3</v>
      </c>
      <c r="AG100">
        <v>1.52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ROW(Source!A327)</f>
        <v>327</v>
      </c>
      <c r="B101">
        <v>1472508195</v>
      </c>
      <c r="C101">
        <v>1472495720</v>
      </c>
      <c r="D101">
        <v>1441836235</v>
      </c>
      <c r="E101">
        <v>1</v>
      </c>
      <c r="F101">
        <v>1</v>
      </c>
      <c r="G101">
        <v>15514512</v>
      </c>
      <c r="H101">
        <v>3</v>
      </c>
      <c r="I101" t="s">
        <v>912</v>
      </c>
      <c r="J101" t="s">
        <v>913</v>
      </c>
      <c r="K101" t="s">
        <v>914</v>
      </c>
      <c r="L101">
        <v>1346</v>
      </c>
      <c r="N101">
        <v>1009</v>
      </c>
      <c r="O101" t="s">
        <v>898</v>
      </c>
      <c r="P101" t="s">
        <v>898</v>
      </c>
      <c r="Q101">
        <v>1</v>
      </c>
      <c r="X101">
        <v>0.02</v>
      </c>
      <c r="Y101">
        <v>31.49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0.02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ROW(Source!A328)</f>
        <v>328</v>
      </c>
      <c r="B102">
        <v>1472508227</v>
      </c>
      <c r="C102">
        <v>1472495741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885</v>
      </c>
      <c r="J102" t="s">
        <v>3</v>
      </c>
      <c r="K102" t="s">
        <v>886</v>
      </c>
      <c r="L102">
        <v>1191</v>
      </c>
      <c r="N102">
        <v>1013</v>
      </c>
      <c r="O102" t="s">
        <v>887</v>
      </c>
      <c r="P102" t="s">
        <v>887</v>
      </c>
      <c r="Q102">
        <v>1</v>
      </c>
      <c r="X102">
        <v>0.06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3</v>
      </c>
      <c r="AG102">
        <v>0.06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ROW(Source!A329)</f>
        <v>329</v>
      </c>
      <c r="B103">
        <v>1472508249</v>
      </c>
      <c r="C103">
        <v>1472495777</v>
      </c>
      <c r="D103">
        <v>1441819193</v>
      </c>
      <c r="E103">
        <v>15514512</v>
      </c>
      <c r="F103">
        <v>1</v>
      </c>
      <c r="G103">
        <v>15514512</v>
      </c>
      <c r="H103">
        <v>1</v>
      </c>
      <c r="I103" t="s">
        <v>885</v>
      </c>
      <c r="J103" t="s">
        <v>3</v>
      </c>
      <c r="K103" t="s">
        <v>886</v>
      </c>
      <c r="L103">
        <v>1191</v>
      </c>
      <c r="N103">
        <v>1013</v>
      </c>
      <c r="O103" t="s">
        <v>887</v>
      </c>
      <c r="P103" t="s">
        <v>887</v>
      </c>
      <c r="Q103">
        <v>1</v>
      </c>
      <c r="X103">
        <v>1.17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3</v>
      </c>
      <c r="AG103">
        <v>1.17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ROW(Source!A331)</f>
        <v>331</v>
      </c>
      <c r="B104">
        <v>1472508276</v>
      </c>
      <c r="C104">
        <v>1472495804</v>
      </c>
      <c r="D104">
        <v>1441819193</v>
      </c>
      <c r="E104">
        <v>15514512</v>
      </c>
      <c r="F104">
        <v>1</v>
      </c>
      <c r="G104">
        <v>15514512</v>
      </c>
      <c r="H104">
        <v>1</v>
      </c>
      <c r="I104" t="s">
        <v>885</v>
      </c>
      <c r="J104" t="s">
        <v>3</v>
      </c>
      <c r="K104" t="s">
        <v>886</v>
      </c>
      <c r="L104">
        <v>1191</v>
      </c>
      <c r="N104">
        <v>1013</v>
      </c>
      <c r="O104" t="s">
        <v>887</v>
      </c>
      <c r="P104" t="s">
        <v>887</v>
      </c>
      <c r="Q104">
        <v>1</v>
      </c>
      <c r="X104">
        <v>0.45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1</v>
      </c>
      <c r="AF104" t="s">
        <v>3</v>
      </c>
      <c r="AG104">
        <v>0.45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ROW(Source!A332)</f>
        <v>332</v>
      </c>
      <c r="B105">
        <v>1472508297</v>
      </c>
      <c r="C105">
        <v>1472495808</v>
      </c>
      <c r="D105">
        <v>1441819193</v>
      </c>
      <c r="E105">
        <v>15514512</v>
      </c>
      <c r="F105">
        <v>1</v>
      </c>
      <c r="G105">
        <v>15514512</v>
      </c>
      <c r="H105">
        <v>1</v>
      </c>
      <c r="I105" t="s">
        <v>885</v>
      </c>
      <c r="J105" t="s">
        <v>3</v>
      </c>
      <c r="K105" t="s">
        <v>886</v>
      </c>
      <c r="L105">
        <v>1191</v>
      </c>
      <c r="N105">
        <v>1013</v>
      </c>
      <c r="O105" t="s">
        <v>887</v>
      </c>
      <c r="P105" t="s">
        <v>887</v>
      </c>
      <c r="Q105">
        <v>1</v>
      </c>
      <c r="X105">
        <v>3.12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236</v>
      </c>
      <c r="AG105">
        <v>2.1839999999999997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ROW(Source!A332)</f>
        <v>332</v>
      </c>
      <c r="B106">
        <v>1472508298</v>
      </c>
      <c r="C106">
        <v>1472495808</v>
      </c>
      <c r="D106">
        <v>1441834258</v>
      </c>
      <c r="E106">
        <v>1</v>
      </c>
      <c r="F106">
        <v>1</v>
      </c>
      <c r="G106">
        <v>15514512</v>
      </c>
      <c r="H106">
        <v>2</v>
      </c>
      <c r="I106" t="s">
        <v>892</v>
      </c>
      <c r="J106" t="s">
        <v>893</v>
      </c>
      <c r="K106" t="s">
        <v>894</v>
      </c>
      <c r="L106">
        <v>1368</v>
      </c>
      <c r="N106">
        <v>1011</v>
      </c>
      <c r="O106" t="s">
        <v>895</v>
      </c>
      <c r="P106" t="s">
        <v>895</v>
      </c>
      <c r="Q106">
        <v>1</v>
      </c>
      <c r="X106">
        <v>0.17</v>
      </c>
      <c r="Y106">
        <v>0</v>
      </c>
      <c r="Z106">
        <v>1303.01</v>
      </c>
      <c r="AA106">
        <v>826.2</v>
      </c>
      <c r="AB106">
        <v>0</v>
      </c>
      <c r="AC106">
        <v>0</v>
      </c>
      <c r="AD106">
        <v>1</v>
      </c>
      <c r="AE106">
        <v>0</v>
      </c>
      <c r="AF106" t="s">
        <v>236</v>
      </c>
      <c r="AG106">
        <v>0.11899999999999999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ROW(Source!A332)</f>
        <v>332</v>
      </c>
      <c r="B107">
        <v>1472508299</v>
      </c>
      <c r="C107">
        <v>1472495808</v>
      </c>
      <c r="D107">
        <v>1441836186</v>
      </c>
      <c r="E107">
        <v>1</v>
      </c>
      <c r="F107">
        <v>1</v>
      </c>
      <c r="G107">
        <v>15514512</v>
      </c>
      <c r="H107">
        <v>3</v>
      </c>
      <c r="I107" t="s">
        <v>943</v>
      </c>
      <c r="J107" t="s">
        <v>944</v>
      </c>
      <c r="K107" t="s">
        <v>945</v>
      </c>
      <c r="L107">
        <v>1346</v>
      </c>
      <c r="N107">
        <v>1009</v>
      </c>
      <c r="O107" t="s">
        <v>898</v>
      </c>
      <c r="P107" t="s">
        <v>898</v>
      </c>
      <c r="Q107">
        <v>1</v>
      </c>
      <c r="X107">
        <v>0.01</v>
      </c>
      <c r="Y107">
        <v>494.57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235</v>
      </c>
      <c r="AG107">
        <v>0.01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ROW(Source!A332)</f>
        <v>332</v>
      </c>
      <c r="B108">
        <v>1472508300</v>
      </c>
      <c r="C108">
        <v>1472495808</v>
      </c>
      <c r="D108">
        <v>1441836230</v>
      </c>
      <c r="E108">
        <v>1</v>
      </c>
      <c r="F108">
        <v>1</v>
      </c>
      <c r="G108">
        <v>15514512</v>
      </c>
      <c r="H108">
        <v>3</v>
      </c>
      <c r="I108" t="s">
        <v>946</v>
      </c>
      <c r="J108" t="s">
        <v>947</v>
      </c>
      <c r="K108" t="s">
        <v>948</v>
      </c>
      <c r="L108">
        <v>1327</v>
      </c>
      <c r="N108">
        <v>1005</v>
      </c>
      <c r="O108" t="s">
        <v>949</v>
      </c>
      <c r="P108" t="s">
        <v>949</v>
      </c>
      <c r="Q108">
        <v>1</v>
      </c>
      <c r="X108">
        <v>0.02</v>
      </c>
      <c r="Y108">
        <v>46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235</v>
      </c>
      <c r="AG108">
        <v>0.02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ROW(Source!A332)</f>
        <v>332</v>
      </c>
      <c r="B109">
        <v>1472508301</v>
      </c>
      <c r="C109">
        <v>1472495808</v>
      </c>
      <c r="D109">
        <v>1441838748</v>
      </c>
      <c r="E109">
        <v>1</v>
      </c>
      <c r="F109">
        <v>1</v>
      </c>
      <c r="G109">
        <v>15514512</v>
      </c>
      <c r="H109">
        <v>3</v>
      </c>
      <c r="I109" t="s">
        <v>950</v>
      </c>
      <c r="J109" t="s">
        <v>951</v>
      </c>
      <c r="K109" t="s">
        <v>952</v>
      </c>
      <c r="L109">
        <v>1327</v>
      </c>
      <c r="N109">
        <v>1005</v>
      </c>
      <c r="O109" t="s">
        <v>949</v>
      </c>
      <c r="P109" t="s">
        <v>949</v>
      </c>
      <c r="Q109">
        <v>1</v>
      </c>
      <c r="X109">
        <v>0.1</v>
      </c>
      <c r="Y109">
        <v>208.99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235</v>
      </c>
      <c r="AG109">
        <v>0.1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ROW(Source!A332)</f>
        <v>332</v>
      </c>
      <c r="B110">
        <v>1472508302</v>
      </c>
      <c r="C110">
        <v>1472495808</v>
      </c>
      <c r="D110">
        <v>1441834919</v>
      </c>
      <c r="E110">
        <v>1</v>
      </c>
      <c r="F110">
        <v>1</v>
      </c>
      <c r="G110">
        <v>15514512</v>
      </c>
      <c r="H110">
        <v>3</v>
      </c>
      <c r="I110" t="s">
        <v>953</v>
      </c>
      <c r="J110" t="s">
        <v>954</v>
      </c>
      <c r="K110" t="s">
        <v>955</v>
      </c>
      <c r="L110">
        <v>1346</v>
      </c>
      <c r="N110">
        <v>1009</v>
      </c>
      <c r="O110" t="s">
        <v>898</v>
      </c>
      <c r="P110" t="s">
        <v>898</v>
      </c>
      <c r="Q110">
        <v>1</v>
      </c>
      <c r="X110">
        <v>0.05</v>
      </c>
      <c r="Y110">
        <v>89.09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235</v>
      </c>
      <c r="AG110">
        <v>0.05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ROW(Source!A333)</f>
        <v>333</v>
      </c>
      <c r="B111">
        <v>1472508321</v>
      </c>
      <c r="C111">
        <v>1472495829</v>
      </c>
      <c r="D111">
        <v>1441819193</v>
      </c>
      <c r="E111">
        <v>15514512</v>
      </c>
      <c r="F111">
        <v>1</v>
      </c>
      <c r="G111">
        <v>15514512</v>
      </c>
      <c r="H111">
        <v>1</v>
      </c>
      <c r="I111" t="s">
        <v>885</v>
      </c>
      <c r="J111" t="s">
        <v>3</v>
      </c>
      <c r="K111" t="s">
        <v>886</v>
      </c>
      <c r="L111">
        <v>1191</v>
      </c>
      <c r="N111">
        <v>1013</v>
      </c>
      <c r="O111" t="s">
        <v>887</v>
      </c>
      <c r="P111" t="s">
        <v>887</v>
      </c>
      <c r="Q111">
        <v>1</v>
      </c>
      <c r="X111">
        <v>0.17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1</v>
      </c>
      <c r="AF111" t="s">
        <v>242</v>
      </c>
      <c r="AG111">
        <v>0.38250000000000001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ROW(Source!A333)</f>
        <v>333</v>
      </c>
      <c r="B112">
        <v>1472508322</v>
      </c>
      <c r="C112">
        <v>1472495829</v>
      </c>
      <c r="D112">
        <v>1441834258</v>
      </c>
      <c r="E112">
        <v>1</v>
      </c>
      <c r="F112">
        <v>1</v>
      </c>
      <c r="G112">
        <v>15514512</v>
      </c>
      <c r="H112">
        <v>2</v>
      </c>
      <c r="I112" t="s">
        <v>892</v>
      </c>
      <c r="J112" t="s">
        <v>893</v>
      </c>
      <c r="K112" t="s">
        <v>894</v>
      </c>
      <c r="L112">
        <v>1368</v>
      </c>
      <c r="N112">
        <v>1011</v>
      </c>
      <c r="O112" t="s">
        <v>895</v>
      </c>
      <c r="P112" t="s">
        <v>895</v>
      </c>
      <c r="Q112">
        <v>1</v>
      </c>
      <c r="X112">
        <v>0.01</v>
      </c>
      <c r="Y112">
        <v>0</v>
      </c>
      <c r="Z112">
        <v>1303.01</v>
      </c>
      <c r="AA112">
        <v>826.2</v>
      </c>
      <c r="AB112">
        <v>0</v>
      </c>
      <c r="AC112">
        <v>0</v>
      </c>
      <c r="AD112">
        <v>1</v>
      </c>
      <c r="AE112">
        <v>0</v>
      </c>
      <c r="AF112" t="s">
        <v>242</v>
      </c>
      <c r="AG112">
        <v>2.2499999999999999E-2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ROW(Source!A333)</f>
        <v>333</v>
      </c>
      <c r="B113">
        <v>1472508323</v>
      </c>
      <c r="C113">
        <v>1472495829</v>
      </c>
      <c r="D113">
        <v>1441836186</v>
      </c>
      <c r="E113">
        <v>1</v>
      </c>
      <c r="F113">
        <v>1</v>
      </c>
      <c r="G113">
        <v>15514512</v>
      </c>
      <c r="H113">
        <v>3</v>
      </c>
      <c r="I113" t="s">
        <v>943</v>
      </c>
      <c r="J113" t="s">
        <v>944</v>
      </c>
      <c r="K113" t="s">
        <v>945</v>
      </c>
      <c r="L113">
        <v>1346</v>
      </c>
      <c r="N113">
        <v>1009</v>
      </c>
      <c r="O113" t="s">
        <v>898</v>
      </c>
      <c r="P113" t="s">
        <v>898</v>
      </c>
      <c r="Q113">
        <v>1</v>
      </c>
      <c r="X113">
        <v>0.01</v>
      </c>
      <c r="Y113">
        <v>494.57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241</v>
      </c>
      <c r="AG113">
        <v>0.03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ROW(Source!A333)</f>
        <v>333</v>
      </c>
      <c r="B114">
        <v>1472508324</v>
      </c>
      <c r="C114">
        <v>1472495829</v>
      </c>
      <c r="D114">
        <v>1441836230</v>
      </c>
      <c r="E114">
        <v>1</v>
      </c>
      <c r="F114">
        <v>1</v>
      </c>
      <c r="G114">
        <v>15514512</v>
      </c>
      <c r="H114">
        <v>3</v>
      </c>
      <c r="I114" t="s">
        <v>946</v>
      </c>
      <c r="J114" t="s">
        <v>947</v>
      </c>
      <c r="K114" t="s">
        <v>948</v>
      </c>
      <c r="L114">
        <v>1327</v>
      </c>
      <c r="N114">
        <v>1005</v>
      </c>
      <c r="O114" t="s">
        <v>949</v>
      </c>
      <c r="P114" t="s">
        <v>949</v>
      </c>
      <c r="Q114">
        <v>1</v>
      </c>
      <c r="X114">
        <v>0.02</v>
      </c>
      <c r="Y114">
        <v>46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241</v>
      </c>
      <c r="AG114">
        <v>0.06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ROW(Source!A334)</f>
        <v>334</v>
      </c>
      <c r="B115">
        <v>1472508344</v>
      </c>
      <c r="C115">
        <v>1472495844</v>
      </c>
      <c r="D115">
        <v>1441819193</v>
      </c>
      <c r="E115">
        <v>15514512</v>
      </c>
      <c r="F115">
        <v>1</v>
      </c>
      <c r="G115">
        <v>15514512</v>
      </c>
      <c r="H115">
        <v>1</v>
      </c>
      <c r="I115" t="s">
        <v>885</v>
      </c>
      <c r="J115" t="s">
        <v>3</v>
      </c>
      <c r="K115" t="s">
        <v>886</v>
      </c>
      <c r="L115">
        <v>1191</v>
      </c>
      <c r="N115">
        <v>1013</v>
      </c>
      <c r="O115" t="s">
        <v>887</v>
      </c>
      <c r="P115" t="s">
        <v>887</v>
      </c>
      <c r="Q115">
        <v>1</v>
      </c>
      <c r="X115">
        <v>12.5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1</v>
      </c>
      <c r="AF115" t="s">
        <v>3</v>
      </c>
      <c r="AG115">
        <v>12.5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ROW(Source!A334)</f>
        <v>334</v>
      </c>
      <c r="B116">
        <v>1472508345</v>
      </c>
      <c r="C116">
        <v>1472495844</v>
      </c>
      <c r="D116">
        <v>1441836235</v>
      </c>
      <c r="E116">
        <v>1</v>
      </c>
      <c r="F116">
        <v>1</v>
      </c>
      <c r="G116">
        <v>15514512</v>
      </c>
      <c r="H116">
        <v>3</v>
      </c>
      <c r="I116" t="s">
        <v>912</v>
      </c>
      <c r="J116" t="s">
        <v>913</v>
      </c>
      <c r="K116" t="s">
        <v>914</v>
      </c>
      <c r="L116">
        <v>1346</v>
      </c>
      <c r="N116">
        <v>1009</v>
      </c>
      <c r="O116" t="s">
        <v>898</v>
      </c>
      <c r="P116" t="s">
        <v>898</v>
      </c>
      <c r="Q116">
        <v>1</v>
      </c>
      <c r="X116">
        <v>0.2</v>
      </c>
      <c r="Y116">
        <v>31.49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0.2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ROW(Source!A334)</f>
        <v>334</v>
      </c>
      <c r="B117">
        <v>1472508346</v>
      </c>
      <c r="C117">
        <v>1472495844</v>
      </c>
      <c r="D117">
        <v>1441834628</v>
      </c>
      <c r="E117">
        <v>1</v>
      </c>
      <c r="F117">
        <v>1</v>
      </c>
      <c r="G117">
        <v>15514512</v>
      </c>
      <c r="H117">
        <v>3</v>
      </c>
      <c r="I117" t="s">
        <v>956</v>
      </c>
      <c r="J117" t="s">
        <v>957</v>
      </c>
      <c r="K117" t="s">
        <v>958</v>
      </c>
      <c r="L117">
        <v>1348</v>
      </c>
      <c r="N117">
        <v>1009</v>
      </c>
      <c r="O117" t="s">
        <v>905</v>
      </c>
      <c r="P117" t="s">
        <v>905</v>
      </c>
      <c r="Q117">
        <v>1000</v>
      </c>
      <c r="X117">
        <v>1.4999999999999999E-4</v>
      </c>
      <c r="Y117">
        <v>73951.73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1.4999999999999999E-4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ROW(Source!A335)</f>
        <v>335</v>
      </c>
      <c r="B118">
        <v>1472508365</v>
      </c>
      <c r="C118">
        <v>1472495864</v>
      </c>
      <c r="D118">
        <v>1441819193</v>
      </c>
      <c r="E118">
        <v>15514512</v>
      </c>
      <c r="F118">
        <v>1</v>
      </c>
      <c r="G118">
        <v>15514512</v>
      </c>
      <c r="H118">
        <v>1</v>
      </c>
      <c r="I118" t="s">
        <v>885</v>
      </c>
      <c r="J118" t="s">
        <v>3</v>
      </c>
      <c r="K118" t="s">
        <v>886</v>
      </c>
      <c r="L118">
        <v>1191</v>
      </c>
      <c r="N118">
        <v>1013</v>
      </c>
      <c r="O118" t="s">
        <v>887</v>
      </c>
      <c r="P118" t="s">
        <v>887</v>
      </c>
      <c r="Q118">
        <v>1</v>
      </c>
      <c r="X118">
        <v>0.37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1</v>
      </c>
      <c r="AF118" t="s">
        <v>3</v>
      </c>
      <c r="AG118">
        <v>0.37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ROW(Source!A335)</f>
        <v>335</v>
      </c>
      <c r="B119">
        <v>1472508366</v>
      </c>
      <c r="C119">
        <v>1472495864</v>
      </c>
      <c r="D119">
        <v>1441834258</v>
      </c>
      <c r="E119">
        <v>1</v>
      </c>
      <c r="F119">
        <v>1</v>
      </c>
      <c r="G119">
        <v>15514512</v>
      </c>
      <c r="H119">
        <v>2</v>
      </c>
      <c r="I119" t="s">
        <v>892</v>
      </c>
      <c r="J119" t="s">
        <v>893</v>
      </c>
      <c r="K119" t="s">
        <v>894</v>
      </c>
      <c r="L119">
        <v>1368</v>
      </c>
      <c r="N119">
        <v>1011</v>
      </c>
      <c r="O119" t="s">
        <v>895</v>
      </c>
      <c r="P119" t="s">
        <v>895</v>
      </c>
      <c r="Q119">
        <v>1</v>
      </c>
      <c r="X119">
        <v>0.06</v>
      </c>
      <c r="Y119">
        <v>0</v>
      </c>
      <c r="Z119">
        <v>1303.01</v>
      </c>
      <c r="AA119">
        <v>826.2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0.06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ROW(Source!A336)</f>
        <v>336</v>
      </c>
      <c r="B120">
        <v>1472508394</v>
      </c>
      <c r="C120">
        <v>1472495878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885</v>
      </c>
      <c r="J120" t="s">
        <v>3</v>
      </c>
      <c r="K120" t="s">
        <v>886</v>
      </c>
      <c r="L120">
        <v>1191</v>
      </c>
      <c r="N120">
        <v>1013</v>
      </c>
      <c r="O120" t="s">
        <v>887</v>
      </c>
      <c r="P120" t="s">
        <v>887</v>
      </c>
      <c r="Q120">
        <v>1</v>
      </c>
      <c r="X120">
        <v>2.04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3</v>
      </c>
      <c r="AG120">
        <v>2.04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ROW(Source!A337)</f>
        <v>337</v>
      </c>
      <c r="B121">
        <v>1472508533</v>
      </c>
      <c r="C121">
        <v>1472495907</v>
      </c>
      <c r="D121">
        <v>1441819193</v>
      </c>
      <c r="E121">
        <v>15514512</v>
      </c>
      <c r="F121">
        <v>1</v>
      </c>
      <c r="G121">
        <v>15514512</v>
      </c>
      <c r="H121">
        <v>1</v>
      </c>
      <c r="I121" t="s">
        <v>885</v>
      </c>
      <c r="J121" t="s">
        <v>3</v>
      </c>
      <c r="K121" t="s">
        <v>886</v>
      </c>
      <c r="L121">
        <v>1191</v>
      </c>
      <c r="N121">
        <v>1013</v>
      </c>
      <c r="O121" t="s">
        <v>887</v>
      </c>
      <c r="P121" t="s">
        <v>887</v>
      </c>
      <c r="Q121">
        <v>1</v>
      </c>
      <c r="X121">
        <v>2.33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1</v>
      </c>
      <c r="AF121" t="s">
        <v>3</v>
      </c>
      <c r="AG121">
        <v>2.33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ROW(Source!A338)</f>
        <v>338</v>
      </c>
      <c r="B122">
        <v>1472508833</v>
      </c>
      <c r="C122">
        <v>1472495911</v>
      </c>
      <c r="D122">
        <v>1441819193</v>
      </c>
      <c r="E122">
        <v>15514512</v>
      </c>
      <c r="F122">
        <v>1</v>
      </c>
      <c r="G122">
        <v>15514512</v>
      </c>
      <c r="H122">
        <v>1</v>
      </c>
      <c r="I122" t="s">
        <v>885</v>
      </c>
      <c r="J122" t="s">
        <v>3</v>
      </c>
      <c r="K122" t="s">
        <v>886</v>
      </c>
      <c r="L122">
        <v>1191</v>
      </c>
      <c r="N122">
        <v>1013</v>
      </c>
      <c r="O122" t="s">
        <v>887</v>
      </c>
      <c r="P122" t="s">
        <v>887</v>
      </c>
      <c r="Q122">
        <v>1</v>
      </c>
      <c r="X122">
        <v>0.45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3</v>
      </c>
      <c r="AG122">
        <v>0.45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ROW(Source!A339)</f>
        <v>339</v>
      </c>
      <c r="B123">
        <v>1472509237</v>
      </c>
      <c r="C123">
        <v>1472495916</v>
      </c>
      <c r="D123">
        <v>1441819193</v>
      </c>
      <c r="E123">
        <v>15514512</v>
      </c>
      <c r="F123">
        <v>1</v>
      </c>
      <c r="G123">
        <v>15514512</v>
      </c>
      <c r="H123">
        <v>1</v>
      </c>
      <c r="I123" t="s">
        <v>885</v>
      </c>
      <c r="J123" t="s">
        <v>3</v>
      </c>
      <c r="K123" t="s">
        <v>886</v>
      </c>
      <c r="L123">
        <v>1191</v>
      </c>
      <c r="N123">
        <v>1013</v>
      </c>
      <c r="O123" t="s">
        <v>887</v>
      </c>
      <c r="P123" t="s">
        <v>887</v>
      </c>
      <c r="Q123">
        <v>1</v>
      </c>
      <c r="X123">
        <v>0.61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1</v>
      </c>
      <c r="AF123" t="s">
        <v>3</v>
      </c>
      <c r="AG123">
        <v>0.61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ROW(Source!A340)</f>
        <v>340</v>
      </c>
      <c r="B124">
        <v>1472509598</v>
      </c>
      <c r="C124">
        <v>1472495930</v>
      </c>
      <c r="D124">
        <v>1441819193</v>
      </c>
      <c r="E124">
        <v>15514512</v>
      </c>
      <c r="F124">
        <v>1</v>
      </c>
      <c r="G124">
        <v>15514512</v>
      </c>
      <c r="H124">
        <v>1</v>
      </c>
      <c r="I124" t="s">
        <v>885</v>
      </c>
      <c r="J124" t="s">
        <v>3</v>
      </c>
      <c r="K124" t="s">
        <v>886</v>
      </c>
      <c r="L124">
        <v>1191</v>
      </c>
      <c r="N124">
        <v>1013</v>
      </c>
      <c r="O124" t="s">
        <v>887</v>
      </c>
      <c r="P124" t="s">
        <v>887</v>
      </c>
      <c r="Q124">
        <v>1</v>
      </c>
      <c r="X124">
        <v>1.52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1</v>
      </c>
      <c r="AF124" t="s">
        <v>3</v>
      </c>
      <c r="AG124">
        <v>1.52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ROW(Source!A340)</f>
        <v>340</v>
      </c>
      <c r="B125">
        <v>1472509599</v>
      </c>
      <c r="C125">
        <v>1472495930</v>
      </c>
      <c r="D125">
        <v>1441836235</v>
      </c>
      <c r="E125">
        <v>1</v>
      </c>
      <c r="F125">
        <v>1</v>
      </c>
      <c r="G125">
        <v>15514512</v>
      </c>
      <c r="H125">
        <v>3</v>
      </c>
      <c r="I125" t="s">
        <v>912</v>
      </c>
      <c r="J125" t="s">
        <v>913</v>
      </c>
      <c r="K125" t="s">
        <v>914</v>
      </c>
      <c r="L125">
        <v>1346</v>
      </c>
      <c r="N125">
        <v>1009</v>
      </c>
      <c r="O125" t="s">
        <v>898</v>
      </c>
      <c r="P125" t="s">
        <v>898</v>
      </c>
      <c r="Q125">
        <v>1</v>
      </c>
      <c r="X125">
        <v>0.02</v>
      </c>
      <c r="Y125">
        <v>31.49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0.02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ROW(Source!A341)</f>
        <v>341</v>
      </c>
      <c r="B126">
        <v>1472509890</v>
      </c>
      <c r="C126">
        <v>1472495954</v>
      </c>
      <c r="D126">
        <v>1441819193</v>
      </c>
      <c r="E126">
        <v>15514512</v>
      </c>
      <c r="F126">
        <v>1</v>
      </c>
      <c r="G126">
        <v>15514512</v>
      </c>
      <c r="H126">
        <v>1</v>
      </c>
      <c r="I126" t="s">
        <v>885</v>
      </c>
      <c r="J126" t="s">
        <v>3</v>
      </c>
      <c r="K126" t="s">
        <v>886</v>
      </c>
      <c r="L126">
        <v>1191</v>
      </c>
      <c r="N126">
        <v>1013</v>
      </c>
      <c r="O126" t="s">
        <v>887</v>
      </c>
      <c r="P126" t="s">
        <v>887</v>
      </c>
      <c r="Q126">
        <v>1</v>
      </c>
      <c r="X126">
        <v>0.9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1</v>
      </c>
      <c r="AF126" t="s">
        <v>106</v>
      </c>
      <c r="AG126">
        <v>3.6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ROW(Source!A342)</f>
        <v>342</v>
      </c>
      <c r="B127">
        <v>1472510018</v>
      </c>
      <c r="C127">
        <v>1472495958</v>
      </c>
      <c r="D127">
        <v>1441819193</v>
      </c>
      <c r="E127">
        <v>15514512</v>
      </c>
      <c r="F127">
        <v>1</v>
      </c>
      <c r="G127">
        <v>15514512</v>
      </c>
      <c r="H127">
        <v>1</v>
      </c>
      <c r="I127" t="s">
        <v>885</v>
      </c>
      <c r="J127" t="s">
        <v>3</v>
      </c>
      <c r="K127" t="s">
        <v>886</v>
      </c>
      <c r="L127">
        <v>1191</v>
      </c>
      <c r="N127">
        <v>1013</v>
      </c>
      <c r="O127" t="s">
        <v>887</v>
      </c>
      <c r="P127" t="s">
        <v>887</v>
      </c>
      <c r="Q127">
        <v>1</v>
      </c>
      <c r="X127">
        <v>2.64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1</v>
      </c>
      <c r="AF127" t="s">
        <v>106</v>
      </c>
      <c r="AG127">
        <v>10.56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ROW(Source!A343)</f>
        <v>343</v>
      </c>
      <c r="B128">
        <v>1472510090</v>
      </c>
      <c r="C128">
        <v>1472495964</v>
      </c>
      <c r="D128">
        <v>1441819193</v>
      </c>
      <c r="E128">
        <v>15514512</v>
      </c>
      <c r="F128">
        <v>1</v>
      </c>
      <c r="G128">
        <v>15514512</v>
      </c>
      <c r="H128">
        <v>1</v>
      </c>
      <c r="I128" t="s">
        <v>885</v>
      </c>
      <c r="J128" t="s">
        <v>3</v>
      </c>
      <c r="K128" t="s">
        <v>886</v>
      </c>
      <c r="L128">
        <v>1191</v>
      </c>
      <c r="N128">
        <v>1013</v>
      </c>
      <c r="O128" t="s">
        <v>887</v>
      </c>
      <c r="P128" t="s">
        <v>887</v>
      </c>
      <c r="Q128">
        <v>1</v>
      </c>
      <c r="X128">
        <v>10.64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1</v>
      </c>
      <c r="AF128" t="s">
        <v>3</v>
      </c>
      <c r="AG128">
        <v>10.64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ROW(Source!A343)</f>
        <v>343</v>
      </c>
      <c r="B129">
        <v>1472510092</v>
      </c>
      <c r="C129">
        <v>1472495964</v>
      </c>
      <c r="D129">
        <v>1441833890</v>
      </c>
      <c r="E129">
        <v>1</v>
      </c>
      <c r="F129">
        <v>1</v>
      </c>
      <c r="G129">
        <v>15514512</v>
      </c>
      <c r="H129">
        <v>2</v>
      </c>
      <c r="I129" t="s">
        <v>959</v>
      </c>
      <c r="J129" t="s">
        <v>960</v>
      </c>
      <c r="K129" t="s">
        <v>961</v>
      </c>
      <c r="L129">
        <v>1368</v>
      </c>
      <c r="N129">
        <v>1011</v>
      </c>
      <c r="O129" t="s">
        <v>895</v>
      </c>
      <c r="P129" t="s">
        <v>895</v>
      </c>
      <c r="Q129">
        <v>1</v>
      </c>
      <c r="X129">
        <v>1.5</v>
      </c>
      <c r="Y129">
        <v>0</v>
      </c>
      <c r="Z129">
        <v>33.799999999999997</v>
      </c>
      <c r="AA129">
        <v>0.54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1.5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ROW(Source!A343)</f>
        <v>343</v>
      </c>
      <c r="B130">
        <v>1472510093</v>
      </c>
      <c r="C130">
        <v>1472495964</v>
      </c>
      <c r="D130">
        <v>1441836514</v>
      </c>
      <c r="E130">
        <v>1</v>
      </c>
      <c r="F130">
        <v>1</v>
      </c>
      <c r="G130">
        <v>15514512</v>
      </c>
      <c r="H130">
        <v>3</v>
      </c>
      <c r="I130" t="s">
        <v>888</v>
      </c>
      <c r="J130" t="s">
        <v>889</v>
      </c>
      <c r="K130" t="s">
        <v>890</v>
      </c>
      <c r="L130">
        <v>1339</v>
      </c>
      <c r="N130">
        <v>1007</v>
      </c>
      <c r="O130" t="s">
        <v>891</v>
      </c>
      <c r="P130" t="s">
        <v>891</v>
      </c>
      <c r="Q130">
        <v>1</v>
      </c>
      <c r="X130">
        <v>1</v>
      </c>
      <c r="Y130">
        <v>54.81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1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ROW(Source!A343)</f>
        <v>343</v>
      </c>
      <c r="B131">
        <v>1472510095</v>
      </c>
      <c r="C131">
        <v>1472495964</v>
      </c>
      <c r="D131">
        <v>1441836517</v>
      </c>
      <c r="E131">
        <v>1</v>
      </c>
      <c r="F131">
        <v>1</v>
      </c>
      <c r="G131">
        <v>15514512</v>
      </c>
      <c r="H131">
        <v>3</v>
      </c>
      <c r="I131" t="s">
        <v>962</v>
      </c>
      <c r="J131" t="s">
        <v>963</v>
      </c>
      <c r="K131" t="s">
        <v>964</v>
      </c>
      <c r="L131">
        <v>1346</v>
      </c>
      <c r="N131">
        <v>1009</v>
      </c>
      <c r="O131" t="s">
        <v>898</v>
      </c>
      <c r="P131" t="s">
        <v>898</v>
      </c>
      <c r="Q131">
        <v>1</v>
      </c>
      <c r="X131">
        <v>0.02</v>
      </c>
      <c r="Y131">
        <v>451.28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0.02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ROW(Source!A343)</f>
        <v>343</v>
      </c>
      <c r="B132">
        <v>1472510098</v>
      </c>
      <c r="C132">
        <v>1472495964</v>
      </c>
      <c r="D132">
        <v>1441821379</v>
      </c>
      <c r="E132">
        <v>15514512</v>
      </c>
      <c r="F132">
        <v>1</v>
      </c>
      <c r="G132">
        <v>15514512</v>
      </c>
      <c r="H132">
        <v>3</v>
      </c>
      <c r="I132" t="s">
        <v>965</v>
      </c>
      <c r="J132" t="s">
        <v>3</v>
      </c>
      <c r="K132" t="s">
        <v>966</v>
      </c>
      <c r="L132">
        <v>1346</v>
      </c>
      <c r="N132">
        <v>1009</v>
      </c>
      <c r="O132" t="s">
        <v>898</v>
      </c>
      <c r="P132" t="s">
        <v>898</v>
      </c>
      <c r="Q132">
        <v>1</v>
      </c>
      <c r="X132">
        <v>0.05</v>
      </c>
      <c r="Y132">
        <v>89.933959999999999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0.05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ROW(Source!A343)</f>
        <v>343</v>
      </c>
      <c r="B133">
        <v>1472510096</v>
      </c>
      <c r="C133">
        <v>1472495964</v>
      </c>
      <c r="D133">
        <v>1441834875</v>
      </c>
      <c r="E133">
        <v>1</v>
      </c>
      <c r="F133">
        <v>1</v>
      </c>
      <c r="G133">
        <v>15514512</v>
      </c>
      <c r="H133">
        <v>3</v>
      </c>
      <c r="I133" t="s">
        <v>967</v>
      </c>
      <c r="J133" t="s">
        <v>968</v>
      </c>
      <c r="K133" t="s">
        <v>969</v>
      </c>
      <c r="L133">
        <v>1346</v>
      </c>
      <c r="N133">
        <v>1009</v>
      </c>
      <c r="O133" t="s">
        <v>898</v>
      </c>
      <c r="P133" t="s">
        <v>898</v>
      </c>
      <c r="Q133">
        <v>1</v>
      </c>
      <c r="X133">
        <v>0.02</v>
      </c>
      <c r="Y133">
        <v>94.64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0.02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ROW(Source!A344)</f>
        <v>344</v>
      </c>
      <c r="B134">
        <v>1472510192</v>
      </c>
      <c r="C134">
        <v>1472495978</v>
      </c>
      <c r="D134">
        <v>1441819193</v>
      </c>
      <c r="E134">
        <v>15514512</v>
      </c>
      <c r="F134">
        <v>1</v>
      </c>
      <c r="G134">
        <v>15514512</v>
      </c>
      <c r="H134">
        <v>1</v>
      </c>
      <c r="I134" t="s">
        <v>885</v>
      </c>
      <c r="J134" t="s">
        <v>3</v>
      </c>
      <c r="K134" t="s">
        <v>886</v>
      </c>
      <c r="L134">
        <v>1191</v>
      </c>
      <c r="N134">
        <v>1013</v>
      </c>
      <c r="O134" t="s">
        <v>887</v>
      </c>
      <c r="P134" t="s">
        <v>887</v>
      </c>
      <c r="Q134">
        <v>1</v>
      </c>
      <c r="X134">
        <v>10.64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1</v>
      </c>
      <c r="AF134" t="s">
        <v>3</v>
      </c>
      <c r="AG134">
        <v>10.64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ROW(Source!A344)</f>
        <v>344</v>
      </c>
      <c r="B135">
        <v>1472510193</v>
      </c>
      <c r="C135">
        <v>1472495978</v>
      </c>
      <c r="D135">
        <v>1441833890</v>
      </c>
      <c r="E135">
        <v>1</v>
      </c>
      <c r="F135">
        <v>1</v>
      </c>
      <c r="G135">
        <v>15514512</v>
      </c>
      <c r="H135">
        <v>2</v>
      </c>
      <c r="I135" t="s">
        <v>959</v>
      </c>
      <c r="J135" t="s">
        <v>960</v>
      </c>
      <c r="K135" t="s">
        <v>961</v>
      </c>
      <c r="L135">
        <v>1368</v>
      </c>
      <c r="N135">
        <v>1011</v>
      </c>
      <c r="O135" t="s">
        <v>895</v>
      </c>
      <c r="P135" t="s">
        <v>895</v>
      </c>
      <c r="Q135">
        <v>1</v>
      </c>
      <c r="X135">
        <v>1.5</v>
      </c>
      <c r="Y135">
        <v>0</v>
      </c>
      <c r="Z135">
        <v>33.799999999999997</v>
      </c>
      <c r="AA135">
        <v>0.54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1.5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ROW(Source!A344)</f>
        <v>344</v>
      </c>
      <c r="B136">
        <v>1472510194</v>
      </c>
      <c r="C136">
        <v>1472495978</v>
      </c>
      <c r="D136">
        <v>1441836514</v>
      </c>
      <c r="E136">
        <v>1</v>
      </c>
      <c r="F136">
        <v>1</v>
      </c>
      <c r="G136">
        <v>15514512</v>
      </c>
      <c r="H136">
        <v>3</v>
      </c>
      <c r="I136" t="s">
        <v>888</v>
      </c>
      <c r="J136" t="s">
        <v>889</v>
      </c>
      <c r="K136" t="s">
        <v>890</v>
      </c>
      <c r="L136">
        <v>1339</v>
      </c>
      <c r="N136">
        <v>1007</v>
      </c>
      <c r="O136" t="s">
        <v>891</v>
      </c>
      <c r="P136" t="s">
        <v>891</v>
      </c>
      <c r="Q136">
        <v>1</v>
      </c>
      <c r="X136">
        <v>3.8</v>
      </c>
      <c r="Y136">
        <v>54.81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3</v>
      </c>
      <c r="AG136">
        <v>3.8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ROW(Source!A344)</f>
        <v>344</v>
      </c>
      <c r="B137">
        <v>1472510195</v>
      </c>
      <c r="C137">
        <v>1472495978</v>
      </c>
      <c r="D137">
        <v>1441836517</v>
      </c>
      <c r="E137">
        <v>1</v>
      </c>
      <c r="F137">
        <v>1</v>
      </c>
      <c r="G137">
        <v>15514512</v>
      </c>
      <c r="H137">
        <v>3</v>
      </c>
      <c r="I137" t="s">
        <v>962</v>
      </c>
      <c r="J137" t="s">
        <v>963</v>
      </c>
      <c r="K137" t="s">
        <v>964</v>
      </c>
      <c r="L137">
        <v>1346</v>
      </c>
      <c r="N137">
        <v>1009</v>
      </c>
      <c r="O137" t="s">
        <v>898</v>
      </c>
      <c r="P137" t="s">
        <v>898</v>
      </c>
      <c r="Q137">
        <v>1</v>
      </c>
      <c r="X137">
        <v>0.02</v>
      </c>
      <c r="Y137">
        <v>451.28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3</v>
      </c>
      <c r="AG137">
        <v>0.02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ROW(Source!A344)</f>
        <v>344</v>
      </c>
      <c r="B138">
        <v>1472510197</v>
      </c>
      <c r="C138">
        <v>1472495978</v>
      </c>
      <c r="D138">
        <v>1441821379</v>
      </c>
      <c r="E138">
        <v>15514512</v>
      </c>
      <c r="F138">
        <v>1</v>
      </c>
      <c r="G138">
        <v>15514512</v>
      </c>
      <c r="H138">
        <v>3</v>
      </c>
      <c r="I138" t="s">
        <v>965</v>
      </c>
      <c r="J138" t="s">
        <v>3</v>
      </c>
      <c r="K138" t="s">
        <v>966</v>
      </c>
      <c r="L138">
        <v>1346</v>
      </c>
      <c r="N138">
        <v>1009</v>
      </c>
      <c r="O138" t="s">
        <v>898</v>
      </c>
      <c r="P138" t="s">
        <v>898</v>
      </c>
      <c r="Q138">
        <v>1</v>
      </c>
      <c r="X138">
        <v>0.05</v>
      </c>
      <c r="Y138">
        <v>89.933959999999999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0.05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ROW(Source!A344)</f>
        <v>344</v>
      </c>
      <c r="B139">
        <v>1472510196</v>
      </c>
      <c r="C139">
        <v>1472495978</v>
      </c>
      <c r="D139">
        <v>1441834875</v>
      </c>
      <c r="E139">
        <v>1</v>
      </c>
      <c r="F139">
        <v>1</v>
      </c>
      <c r="G139">
        <v>15514512</v>
      </c>
      <c r="H139">
        <v>3</v>
      </c>
      <c r="I139" t="s">
        <v>967</v>
      </c>
      <c r="J139" t="s">
        <v>968</v>
      </c>
      <c r="K139" t="s">
        <v>969</v>
      </c>
      <c r="L139">
        <v>1346</v>
      </c>
      <c r="N139">
        <v>1009</v>
      </c>
      <c r="O139" t="s">
        <v>898</v>
      </c>
      <c r="P139" t="s">
        <v>898</v>
      </c>
      <c r="Q139">
        <v>1</v>
      </c>
      <c r="X139">
        <v>0.02</v>
      </c>
      <c r="Y139">
        <v>94.64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0.02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ROW(Source!A345)</f>
        <v>345</v>
      </c>
      <c r="B140">
        <v>1472510208</v>
      </c>
      <c r="C140">
        <v>1472496003</v>
      </c>
      <c r="D140">
        <v>1441819193</v>
      </c>
      <c r="E140">
        <v>15514512</v>
      </c>
      <c r="F140">
        <v>1</v>
      </c>
      <c r="G140">
        <v>15514512</v>
      </c>
      <c r="H140">
        <v>1</v>
      </c>
      <c r="I140" t="s">
        <v>885</v>
      </c>
      <c r="J140" t="s">
        <v>3</v>
      </c>
      <c r="K140" t="s">
        <v>886</v>
      </c>
      <c r="L140">
        <v>1191</v>
      </c>
      <c r="N140">
        <v>1013</v>
      </c>
      <c r="O140" t="s">
        <v>887</v>
      </c>
      <c r="P140" t="s">
        <v>887</v>
      </c>
      <c r="Q140">
        <v>1</v>
      </c>
      <c r="X140">
        <v>10.64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1</v>
      </c>
      <c r="AF140" t="s">
        <v>3</v>
      </c>
      <c r="AG140">
        <v>10.64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ROW(Source!A345)</f>
        <v>345</v>
      </c>
      <c r="B141">
        <v>1472510209</v>
      </c>
      <c r="C141">
        <v>1472496003</v>
      </c>
      <c r="D141">
        <v>1441833890</v>
      </c>
      <c r="E141">
        <v>1</v>
      </c>
      <c r="F141">
        <v>1</v>
      </c>
      <c r="G141">
        <v>15514512</v>
      </c>
      <c r="H141">
        <v>2</v>
      </c>
      <c r="I141" t="s">
        <v>959</v>
      </c>
      <c r="J141" t="s">
        <v>960</v>
      </c>
      <c r="K141" t="s">
        <v>961</v>
      </c>
      <c r="L141">
        <v>1368</v>
      </c>
      <c r="N141">
        <v>1011</v>
      </c>
      <c r="O141" t="s">
        <v>895</v>
      </c>
      <c r="P141" t="s">
        <v>895</v>
      </c>
      <c r="Q141">
        <v>1</v>
      </c>
      <c r="X141">
        <v>1.5</v>
      </c>
      <c r="Y141">
        <v>0</v>
      </c>
      <c r="Z141">
        <v>33.799999999999997</v>
      </c>
      <c r="AA141">
        <v>0.54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1.5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ROW(Source!A345)</f>
        <v>345</v>
      </c>
      <c r="B142">
        <v>1472510210</v>
      </c>
      <c r="C142">
        <v>1472496003</v>
      </c>
      <c r="D142">
        <v>1441836514</v>
      </c>
      <c r="E142">
        <v>1</v>
      </c>
      <c r="F142">
        <v>1</v>
      </c>
      <c r="G142">
        <v>15514512</v>
      </c>
      <c r="H142">
        <v>3</v>
      </c>
      <c r="I142" t="s">
        <v>888</v>
      </c>
      <c r="J142" t="s">
        <v>889</v>
      </c>
      <c r="K142" t="s">
        <v>890</v>
      </c>
      <c r="L142">
        <v>1339</v>
      </c>
      <c r="N142">
        <v>1007</v>
      </c>
      <c r="O142" t="s">
        <v>891</v>
      </c>
      <c r="P142" t="s">
        <v>891</v>
      </c>
      <c r="Q142">
        <v>1</v>
      </c>
      <c r="X142">
        <v>1</v>
      </c>
      <c r="Y142">
        <v>54.81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1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ROW(Source!A345)</f>
        <v>345</v>
      </c>
      <c r="B143">
        <v>1472510212</v>
      </c>
      <c r="C143">
        <v>1472496003</v>
      </c>
      <c r="D143">
        <v>1441836517</v>
      </c>
      <c r="E143">
        <v>1</v>
      </c>
      <c r="F143">
        <v>1</v>
      </c>
      <c r="G143">
        <v>15514512</v>
      </c>
      <c r="H143">
        <v>3</v>
      </c>
      <c r="I143" t="s">
        <v>962</v>
      </c>
      <c r="J143" t="s">
        <v>963</v>
      </c>
      <c r="K143" t="s">
        <v>964</v>
      </c>
      <c r="L143">
        <v>1346</v>
      </c>
      <c r="N143">
        <v>1009</v>
      </c>
      <c r="O143" t="s">
        <v>898</v>
      </c>
      <c r="P143" t="s">
        <v>898</v>
      </c>
      <c r="Q143">
        <v>1</v>
      </c>
      <c r="X143">
        <v>0.02</v>
      </c>
      <c r="Y143">
        <v>451.28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0.02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ROW(Source!A345)</f>
        <v>345</v>
      </c>
      <c r="B144">
        <v>1472510214</v>
      </c>
      <c r="C144">
        <v>1472496003</v>
      </c>
      <c r="D144">
        <v>1441821379</v>
      </c>
      <c r="E144">
        <v>15514512</v>
      </c>
      <c r="F144">
        <v>1</v>
      </c>
      <c r="G144">
        <v>15514512</v>
      </c>
      <c r="H144">
        <v>3</v>
      </c>
      <c r="I144" t="s">
        <v>965</v>
      </c>
      <c r="J144" t="s">
        <v>3</v>
      </c>
      <c r="K144" t="s">
        <v>966</v>
      </c>
      <c r="L144">
        <v>1346</v>
      </c>
      <c r="N144">
        <v>1009</v>
      </c>
      <c r="O144" t="s">
        <v>898</v>
      </c>
      <c r="P144" t="s">
        <v>898</v>
      </c>
      <c r="Q144">
        <v>1</v>
      </c>
      <c r="X144">
        <v>0.05</v>
      </c>
      <c r="Y144">
        <v>89.933959999999999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0.05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ROW(Source!A345)</f>
        <v>345</v>
      </c>
      <c r="B145">
        <v>1472510213</v>
      </c>
      <c r="C145">
        <v>1472496003</v>
      </c>
      <c r="D145">
        <v>1441834875</v>
      </c>
      <c r="E145">
        <v>1</v>
      </c>
      <c r="F145">
        <v>1</v>
      </c>
      <c r="G145">
        <v>15514512</v>
      </c>
      <c r="H145">
        <v>3</v>
      </c>
      <c r="I145" t="s">
        <v>967</v>
      </c>
      <c r="J145" t="s">
        <v>968</v>
      </c>
      <c r="K145" t="s">
        <v>969</v>
      </c>
      <c r="L145">
        <v>1346</v>
      </c>
      <c r="N145">
        <v>1009</v>
      </c>
      <c r="O145" t="s">
        <v>898</v>
      </c>
      <c r="P145" t="s">
        <v>898</v>
      </c>
      <c r="Q145">
        <v>1</v>
      </c>
      <c r="X145">
        <v>0.02</v>
      </c>
      <c r="Y145">
        <v>94.64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0.02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ROW(Source!A346)</f>
        <v>346</v>
      </c>
      <c r="B146">
        <v>1472510236</v>
      </c>
      <c r="C146">
        <v>1472496010</v>
      </c>
      <c r="D146">
        <v>1441819193</v>
      </c>
      <c r="E146">
        <v>15514512</v>
      </c>
      <c r="F146">
        <v>1</v>
      </c>
      <c r="G146">
        <v>15514512</v>
      </c>
      <c r="H146">
        <v>1</v>
      </c>
      <c r="I146" t="s">
        <v>885</v>
      </c>
      <c r="J146" t="s">
        <v>3</v>
      </c>
      <c r="K146" t="s">
        <v>886</v>
      </c>
      <c r="L146">
        <v>1191</v>
      </c>
      <c r="N146">
        <v>1013</v>
      </c>
      <c r="O146" t="s">
        <v>887</v>
      </c>
      <c r="P146" t="s">
        <v>887</v>
      </c>
      <c r="Q146">
        <v>1</v>
      </c>
      <c r="X146">
        <v>3.44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1</v>
      </c>
      <c r="AF146" t="s">
        <v>3</v>
      </c>
      <c r="AG146">
        <v>3.44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ROW(Source!A346)</f>
        <v>346</v>
      </c>
      <c r="B147">
        <v>1472510237</v>
      </c>
      <c r="C147">
        <v>1472496010</v>
      </c>
      <c r="D147">
        <v>1441833845</v>
      </c>
      <c r="E147">
        <v>1</v>
      </c>
      <c r="F147">
        <v>1</v>
      </c>
      <c r="G147">
        <v>15514512</v>
      </c>
      <c r="H147">
        <v>2</v>
      </c>
      <c r="I147" t="s">
        <v>970</v>
      </c>
      <c r="J147" t="s">
        <v>971</v>
      </c>
      <c r="K147" t="s">
        <v>972</v>
      </c>
      <c r="L147">
        <v>1368</v>
      </c>
      <c r="N147">
        <v>1011</v>
      </c>
      <c r="O147" t="s">
        <v>895</v>
      </c>
      <c r="P147" t="s">
        <v>895</v>
      </c>
      <c r="Q147">
        <v>1</v>
      </c>
      <c r="X147">
        <v>1.31</v>
      </c>
      <c r="Y147">
        <v>0</v>
      </c>
      <c r="Z147">
        <v>17.95</v>
      </c>
      <c r="AA147">
        <v>0.05</v>
      </c>
      <c r="AB147">
        <v>0</v>
      </c>
      <c r="AC147">
        <v>0</v>
      </c>
      <c r="AD147">
        <v>1</v>
      </c>
      <c r="AE147">
        <v>0</v>
      </c>
      <c r="AF147" t="s">
        <v>3</v>
      </c>
      <c r="AG147">
        <v>1.31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ROW(Source!A346)</f>
        <v>346</v>
      </c>
      <c r="B148">
        <v>1472510238</v>
      </c>
      <c r="C148">
        <v>1472496010</v>
      </c>
      <c r="D148">
        <v>1441836514</v>
      </c>
      <c r="E148">
        <v>1</v>
      </c>
      <c r="F148">
        <v>1</v>
      </c>
      <c r="G148">
        <v>15514512</v>
      </c>
      <c r="H148">
        <v>3</v>
      </c>
      <c r="I148" t="s">
        <v>888</v>
      </c>
      <c r="J148" t="s">
        <v>889</v>
      </c>
      <c r="K148" t="s">
        <v>890</v>
      </c>
      <c r="L148">
        <v>1339</v>
      </c>
      <c r="N148">
        <v>1007</v>
      </c>
      <c r="O148" t="s">
        <v>891</v>
      </c>
      <c r="P148" t="s">
        <v>891</v>
      </c>
      <c r="Q148">
        <v>1</v>
      </c>
      <c r="X148">
        <v>3.7</v>
      </c>
      <c r="Y148">
        <v>54.81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3</v>
      </c>
      <c r="AG148">
        <v>3.7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ROW(Source!A347)</f>
        <v>347</v>
      </c>
      <c r="B149">
        <v>1472510250</v>
      </c>
      <c r="C149">
        <v>1472496022</v>
      </c>
      <c r="D149">
        <v>1441819193</v>
      </c>
      <c r="E149">
        <v>15514512</v>
      </c>
      <c r="F149">
        <v>1</v>
      </c>
      <c r="G149">
        <v>15514512</v>
      </c>
      <c r="H149">
        <v>1</v>
      </c>
      <c r="I149" t="s">
        <v>885</v>
      </c>
      <c r="J149" t="s">
        <v>3</v>
      </c>
      <c r="K149" t="s">
        <v>886</v>
      </c>
      <c r="L149">
        <v>1191</v>
      </c>
      <c r="N149">
        <v>1013</v>
      </c>
      <c r="O149" t="s">
        <v>887</v>
      </c>
      <c r="P149" t="s">
        <v>887</v>
      </c>
      <c r="Q149">
        <v>1</v>
      </c>
      <c r="X149">
        <v>2.42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1</v>
      </c>
      <c r="AF149" t="s">
        <v>3</v>
      </c>
      <c r="AG149">
        <v>2.42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ROW(Source!A347)</f>
        <v>347</v>
      </c>
      <c r="B150">
        <v>1472510251</v>
      </c>
      <c r="C150">
        <v>1472496022</v>
      </c>
      <c r="D150">
        <v>1441833845</v>
      </c>
      <c r="E150">
        <v>1</v>
      </c>
      <c r="F150">
        <v>1</v>
      </c>
      <c r="G150">
        <v>15514512</v>
      </c>
      <c r="H150">
        <v>2</v>
      </c>
      <c r="I150" t="s">
        <v>970</v>
      </c>
      <c r="J150" t="s">
        <v>971</v>
      </c>
      <c r="K150" t="s">
        <v>972</v>
      </c>
      <c r="L150">
        <v>1368</v>
      </c>
      <c r="N150">
        <v>1011</v>
      </c>
      <c r="O150" t="s">
        <v>895</v>
      </c>
      <c r="P150" t="s">
        <v>895</v>
      </c>
      <c r="Q150">
        <v>1</v>
      </c>
      <c r="X150">
        <v>0.61</v>
      </c>
      <c r="Y150">
        <v>0</v>
      </c>
      <c r="Z150">
        <v>17.95</v>
      </c>
      <c r="AA150">
        <v>0.05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0.61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ROW(Source!A347)</f>
        <v>347</v>
      </c>
      <c r="B151">
        <v>1472510252</v>
      </c>
      <c r="C151">
        <v>1472496022</v>
      </c>
      <c r="D151">
        <v>1441836514</v>
      </c>
      <c r="E151">
        <v>1</v>
      </c>
      <c r="F151">
        <v>1</v>
      </c>
      <c r="G151">
        <v>15514512</v>
      </c>
      <c r="H151">
        <v>3</v>
      </c>
      <c r="I151" t="s">
        <v>888</v>
      </c>
      <c r="J151" t="s">
        <v>889</v>
      </c>
      <c r="K151" t="s">
        <v>890</v>
      </c>
      <c r="L151">
        <v>1339</v>
      </c>
      <c r="N151">
        <v>1007</v>
      </c>
      <c r="O151" t="s">
        <v>891</v>
      </c>
      <c r="P151" t="s">
        <v>891</v>
      </c>
      <c r="Q151">
        <v>1</v>
      </c>
      <c r="X151">
        <v>1.03</v>
      </c>
      <c r="Y151">
        <v>54.81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1.03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ROW(Source!A384)</f>
        <v>384</v>
      </c>
      <c r="B152">
        <v>1472510262</v>
      </c>
      <c r="C152">
        <v>1472496053</v>
      </c>
      <c r="D152">
        <v>1441819193</v>
      </c>
      <c r="E152">
        <v>15514512</v>
      </c>
      <c r="F152">
        <v>1</v>
      </c>
      <c r="G152">
        <v>15514512</v>
      </c>
      <c r="H152">
        <v>1</v>
      </c>
      <c r="I152" t="s">
        <v>885</v>
      </c>
      <c r="J152" t="s">
        <v>3</v>
      </c>
      <c r="K152" t="s">
        <v>886</v>
      </c>
      <c r="L152">
        <v>1191</v>
      </c>
      <c r="N152">
        <v>1013</v>
      </c>
      <c r="O152" t="s">
        <v>887</v>
      </c>
      <c r="P152" t="s">
        <v>887</v>
      </c>
      <c r="Q152">
        <v>1</v>
      </c>
      <c r="X152">
        <v>0.37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1</v>
      </c>
      <c r="AF152" t="s">
        <v>28</v>
      </c>
      <c r="AG152">
        <v>0.74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ROW(Source!A384)</f>
        <v>384</v>
      </c>
      <c r="B153">
        <v>1472510263</v>
      </c>
      <c r="C153">
        <v>1472496053</v>
      </c>
      <c r="D153">
        <v>1441834258</v>
      </c>
      <c r="E153">
        <v>1</v>
      </c>
      <c r="F153">
        <v>1</v>
      </c>
      <c r="G153">
        <v>15514512</v>
      </c>
      <c r="H153">
        <v>2</v>
      </c>
      <c r="I153" t="s">
        <v>892</v>
      </c>
      <c r="J153" t="s">
        <v>893</v>
      </c>
      <c r="K153" t="s">
        <v>894</v>
      </c>
      <c r="L153">
        <v>1368</v>
      </c>
      <c r="N153">
        <v>1011</v>
      </c>
      <c r="O153" t="s">
        <v>895</v>
      </c>
      <c r="P153" t="s">
        <v>895</v>
      </c>
      <c r="Q153">
        <v>1</v>
      </c>
      <c r="X153">
        <v>0.06</v>
      </c>
      <c r="Y153">
        <v>0</v>
      </c>
      <c r="Z153">
        <v>1303.01</v>
      </c>
      <c r="AA153">
        <v>826.2</v>
      </c>
      <c r="AB153">
        <v>0</v>
      </c>
      <c r="AC153">
        <v>0</v>
      </c>
      <c r="AD153">
        <v>1</v>
      </c>
      <c r="AE153">
        <v>0</v>
      </c>
      <c r="AF153" t="s">
        <v>28</v>
      </c>
      <c r="AG153">
        <v>0.12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ROW(Source!A385)</f>
        <v>385</v>
      </c>
      <c r="B154">
        <v>1472510277</v>
      </c>
      <c r="C154">
        <v>1472496061</v>
      </c>
      <c r="D154">
        <v>1441819193</v>
      </c>
      <c r="E154">
        <v>15514512</v>
      </c>
      <c r="F154">
        <v>1</v>
      </c>
      <c r="G154">
        <v>15514512</v>
      </c>
      <c r="H154">
        <v>1</v>
      </c>
      <c r="I154" t="s">
        <v>885</v>
      </c>
      <c r="J154" t="s">
        <v>3</v>
      </c>
      <c r="K154" t="s">
        <v>886</v>
      </c>
      <c r="L154">
        <v>1191</v>
      </c>
      <c r="N154">
        <v>1013</v>
      </c>
      <c r="O154" t="s">
        <v>887</v>
      </c>
      <c r="P154" t="s">
        <v>887</v>
      </c>
      <c r="Q154">
        <v>1</v>
      </c>
      <c r="X154">
        <v>1.62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1</v>
      </c>
      <c r="AF154" t="s">
        <v>28</v>
      </c>
      <c r="AG154">
        <v>3.24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ROW(Source!A386)</f>
        <v>386</v>
      </c>
      <c r="B155">
        <v>1472510290</v>
      </c>
      <c r="C155">
        <v>1472496075</v>
      </c>
      <c r="D155">
        <v>1441819193</v>
      </c>
      <c r="E155">
        <v>15514512</v>
      </c>
      <c r="F155">
        <v>1</v>
      </c>
      <c r="G155">
        <v>15514512</v>
      </c>
      <c r="H155">
        <v>1</v>
      </c>
      <c r="I155" t="s">
        <v>885</v>
      </c>
      <c r="J155" t="s">
        <v>3</v>
      </c>
      <c r="K155" t="s">
        <v>886</v>
      </c>
      <c r="L155">
        <v>1191</v>
      </c>
      <c r="N155">
        <v>1013</v>
      </c>
      <c r="O155" t="s">
        <v>887</v>
      </c>
      <c r="P155" t="s">
        <v>887</v>
      </c>
      <c r="Q155">
        <v>1</v>
      </c>
      <c r="X155">
        <v>0.42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1</v>
      </c>
      <c r="AF155" t="s">
        <v>106</v>
      </c>
      <c r="AG155">
        <v>1.68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ROW(Source!A386)</f>
        <v>386</v>
      </c>
      <c r="B156">
        <v>1472510291</v>
      </c>
      <c r="C156">
        <v>1472496075</v>
      </c>
      <c r="D156">
        <v>1441834258</v>
      </c>
      <c r="E156">
        <v>1</v>
      </c>
      <c r="F156">
        <v>1</v>
      </c>
      <c r="G156">
        <v>15514512</v>
      </c>
      <c r="H156">
        <v>2</v>
      </c>
      <c r="I156" t="s">
        <v>892</v>
      </c>
      <c r="J156" t="s">
        <v>893</v>
      </c>
      <c r="K156" t="s">
        <v>894</v>
      </c>
      <c r="L156">
        <v>1368</v>
      </c>
      <c r="N156">
        <v>1011</v>
      </c>
      <c r="O156" t="s">
        <v>895</v>
      </c>
      <c r="P156" t="s">
        <v>895</v>
      </c>
      <c r="Q156">
        <v>1</v>
      </c>
      <c r="X156">
        <v>0.15</v>
      </c>
      <c r="Y156">
        <v>0</v>
      </c>
      <c r="Z156">
        <v>1303.01</v>
      </c>
      <c r="AA156">
        <v>826.2</v>
      </c>
      <c r="AB156">
        <v>0</v>
      </c>
      <c r="AC156">
        <v>0</v>
      </c>
      <c r="AD156">
        <v>1</v>
      </c>
      <c r="AE156">
        <v>0</v>
      </c>
      <c r="AF156" t="s">
        <v>106</v>
      </c>
      <c r="AG156">
        <v>0.6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ROW(Source!A386)</f>
        <v>386</v>
      </c>
      <c r="B157">
        <v>1472510292</v>
      </c>
      <c r="C157">
        <v>1472496075</v>
      </c>
      <c r="D157">
        <v>1441836235</v>
      </c>
      <c r="E157">
        <v>1</v>
      </c>
      <c r="F157">
        <v>1</v>
      </c>
      <c r="G157">
        <v>15514512</v>
      </c>
      <c r="H157">
        <v>3</v>
      </c>
      <c r="I157" t="s">
        <v>912</v>
      </c>
      <c r="J157" t="s">
        <v>913</v>
      </c>
      <c r="K157" t="s">
        <v>914</v>
      </c>
      <c r="L157">
        <v>1346</v>
      </c>
      <c r="N157">
        <v>1009</v>
      </c>
      <c r="O157" t="s">
        <v>898</v>
      </c>
      <c r="P157" t="s">
        <v>898</v>
      </c>
      <c r="Q157">
        <v>1</v>
      </c>
      <c r="X157">
        <v>0.02</v>
      </c>
      <c r="Y157">
        <v>31.49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106</v>
      </c>
      <c r="AG157">
        <v>0.08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ROW(Source!A387)</f>
        <v>387</v>
      </c>
      <c r="B158">
        <v>1472510309</v>
      </c>
      <c r="C158">
        <v>1472496089</v>
      </c>
      <c r="D158">
        <v>1441819193</v>
      </c>
      <c r="E158">
        <v>15514512</v>
      </c>
      <c r="F158">
        <v>1</v>
      </c>
      <c r="G158">
        <v>15514512</v>
      </c>
      <c r="H158">
        <v>1</v>
      </c>
      <c r="I158" t="s">
        <v>885</v>
      </c>
      <c r="J158" t="s">
        <v>3</v>
      </c>
      <c r="K158" t="s">
        <v>886</v>
      </c>
      <c r="L158">
        <v>1191</v>
      </c>
      <c r="N158">
        <v>1013</v>
      </c>
      <c r="O158" t="s">
        <v>887</v>
      </c>
      <c r="P158" t="s">
        <v>887</v>
      </c>
      <c r="Q158">
        <v>1</v>
      </c>
      <c r="X158">
        <v>0.77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28</v>
      </c>
      <c r="AG158">
        <v>1.54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ROW(Source!A387)</f>
        <v>387</v>
      </c>
      <c r="B159">
        <v>1472510310</v>
      </c>
      <c r="C159">
        <v>1472496089</v>
      </c>
      <c r="D159">
        <v>1441836187</v>
      </c>
      <c r="E159">
        <v>1</v>
      </c>
      <c r="F159">
        <v>1</v>
      </c>
      <c r="G159">
        <v>15514512</v>
      </c>
      <c r="H159">
        <v>3</v>
      </c>
      <c r="I159" t="s">
        <v>909</v>
      </c>
      <c r="J159" t="s">
        <v>910</v>
      </c>
      <c r="K159" t="s">
        <v>911</v>
      </c>
      <c r="L159">
        <v>1346</v>
      </c>
      <c r="N159">
        <v>1009</v>
      </c>
      <c r="O159" t="s">
        <v>898</v>
      </c>
      <c r="P159" t="s">
        <v>898</v>
      </c>
      <c r="Q159">
        <v>1</v>
      </c>
      <c r="X159">
        <v>8.0000000000000002E-3</v>
      </c>
      <c r="Y159">
        <v>424.66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28</v>
      </c>
      <c r="AG159">
        <v>1.6E-2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ROW(Source!A387)</f>
        <v>387</v>
      </c>
      <c r="B160">
        <v>1472510311</v>
      </c>
      <c r="C160">
        <v>1472496089</v>
      </c>
      <c r="D160">
        <v>1441836235</v>
      </c>
      <c r="E160">
        <v>1</v>
      </c>
      <c r="F160">
        <v>1</v>
      </c>
      <c r="G160">
        <v>15514512</v>
      </c>
      <c r="H160">
        <v>3</v>
      </c>
      <c r="I160" t="s">
        <v>912</v>
      </c>
      <c r="J160" t="s">
        <v>913</v>
      </c>
      <c r="K160" t="s">
        <v>914</v>
      </c>
      <c r="L160">
        <v>1346</v>
      </c>
      <c r="N160">
        <v>1009</v>
      </c>
      <c r="O160" t="s">
        <v>898</v>
      </c>
      <c r="P160" t="s">
        <v>898</v>
      </c>
      <c r="Q160">
        <v>1</v>
      </c>
      <c r="X160">
        <v>0.5</v>
      </c>
      <c r="Y160">
        <v>31.49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28</v>
      </c>
      <c r="AG160">
        <v>1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ROW(Source!A388)</f>
        <v>388</v>
      </c>
      <c r="B161">
        <v>1472510331</v>
      </c>
      <c r="C161">
        <v>1472496111</v>
      </c>
      <c r="D161">
        <v>1441819193</v>
      </c>
      <c r="E161">
        <v>15514512</v>
      </c>
      <c r="F161">
        <v>1</v>
      </c>
      <c r="G161">
        <v>15514512</v>
      </c>
      <c r="H161">
        <v>1</v>
      </c>
      <c r="I161" t="s">
        <v>885</v>
      </c>
      <c r="J161" t="s">
        <v>3</v>
      </c>
      <c r="K161" t="s">
        <v>886</v>
      </c>
      <c r="L161">
        <v>1191</v>
      </c>
      <c r="N161">
        <v>1013</v>
      </c>
      <c r="O161" t="s">
        <v>887</v>
      </c>
      <c r="P161" t="s">
        <v>887</v>
      </c>
      <c r="Q161">
        <v>1</v>
      </c>
      <c r="X161">
        <v>0.38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1</v>
      </c>
      <c r="AF161" t="s">
        <v>28</v>
      </c>
      <c r="AG161">
        <v>0.76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ROW(Source!A388)</f>
        <v>388</v>
      </c>
      <c r="B162">
        <v>1472510332</v>
      </c>
      <c r="C162">
        <v>1472496111</v>
      </c>
      <c r="D162">
        <v>1441836187</v>
      </c>
      <c r="E162">
        <v>1</v>
      </c>
      <c r="F162">
        <v>1</v>
      </c>
      <c r="G162">
        <v>15514512</v>
      </c>
      <c r="H162">
        <v>3</v>
      </c>
      <c r="I162" t="s">
        <v>909</v>
      </c>
      <c r="J162" t="s">
        <v>910</v>
      </c>
      <c r="K162" t="s">
        <v>911</v>
      </c>
      <c r="L162">
        <v>1346</v>
      </c>
      <c r="N162">
        <v>1009</v>
      </c>
      <c r="O162" t="s">
        <v>898</v>
      </c>
      <c r="P162" t="s">
        <v>898</v>
      </c>
      <c r="Q162">
        <v>1</v>
      </c>
      <c r="X162">
        <v>8.0000000000000002E-3</v>
      </c>
      <c r="Y162">
        <v>424.66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28</v>
      </c>
      <c r="AG162">
        <v>1.6E-2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ROW(Source!A388)</f>
        <v>388</v>
      </c>
      <c r="B163">
        <v>1472510333</v>
      </c>
      <c r="C163">
        <v>1472496111</v>
      </c>
      <c r="D163">
        <v>1441836235</v>
      </c>
      <c r="E163">
        <v>1</v>
      </c>
      <c r="F163">
        <v>1</v>
      </c>
      <c r="G163">
        <v>15514512</v>
      </c>
      <c r="H163">
        <v>3</v>
      </c>
      <c r="I163" t="s">
        <v>912</v>
      </c>
      <c r="J163" t="s">
        <v>913</v>
      </c>
      <c r="K163" t="s">
        <v>914</v>
      </c>
      <c r="L163">
        <v>1346</v>
      </c>
      <c r="N163">
        <v>1009</v>
      </c>
      <c r="O163" t="s">
        <v>898</v>
      </c>
      <c r="P163" t="s">
        <v>898</v>
      </c>
      <c r="Q163">
        <v>1</v>
      </c>
      <c r="X163">
        <v>0.5</v>
      </c>
      <c r="Y163">
        <v>31.49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28</v>
      </c>
      <c r="AG163">
        <v>1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ROW(Source!A389)</f>
        <v>389</v>
      </c>
      <c r="B164">
        <v>1472510342</v>
      </c>
      <c r="C164">
        <v>1472496134</v>
      </c>
      <c r="D164">
        <v>1441819193</v>
      </c>
      <c r="E164">
        <v>15514512</v>
      </c>
      <c r="F164">
        <v>1</v>
      </c>
      <c r="G164">
        <v>15514512</v>
      </c>
      <c r="H164">
        <v>1</v>
      </c>
      <c r="I164" t="s">
        <v>885</v>
      </c>
      <c r="J164" t="s">
        <v>3</v>
      </c>
      <c r="K164" t="s">
        <v>886</v>
      </c>
      <c r="L164">
        <v>1191</v>
      </c>
      <c r="N164">
        <v>1013</v>
      </c>
      <c r="O164" t="s">
        <v>887</v>
      </c>
      <c r="P164" t="s">
        <v>887</v>
      </c>
      <c r="Q164">
        <v>1</v>
      </c>
      <c r="X164">
        <v>3.87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1</v>
      </c>
      <c r="AF164" t="s">
        <v>28</v>
      </c>
      <c r="AG164">
        <v>7.74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ROW(Source!A389)</f>
        <v>389</v>
      </c>
      <c r="B165">
        <v>1472510343</v>
      </c>
      <c r="C165">
        <v>1472496134</v>
      </c>
      <c r="D165">
        <v>1441836187</v>
      </c>
      <c r="E165">
        <v>1</v>
      </c>
      <c r="F165">
        <v>1</v>
      </c>
      <c r="G165">
        <v>15514512</v>
      </c>
      <c r="H165">
        <v>3</v>
      </c>
      <c r="I165" t="s">
        <v>909</v>
      </c>
      <c r="J165" t="s">
        <v>910</v>
      </c>
      <c r="K165" t="s">
        <v>911</v>
      </c>
      <c r="L165">
        <v>1346</v>
      </c>
      <c r="N165">
        <v>1009</v>
      </c>
      <c r="O165" t="s">
        <v>898</v>
      </c>
      <c r="P165" t="s">
        <v>898</v>
      </c>
      <c r="Q165">
        <v>1</v>
      </c>
      <c r="X165">
        <v>8.0000000000000002E-3</v>
      </c>
      <c r="Y165">
        <v>424.66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28</v>
      </c>
      <c r="AG165">
        <v>1.6E-2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ROW(Source!A389)</f>
        <v>389</v>
      </c>
      <c r="B166">
        <v>1472510344</v>
      </c>
      <c r="C166">
        <v>1472496134</v>
      </c>
      <c r="D166">
        <v>1441836235</v>
      </c>
      <c r="E166">
        <v>1</v>
      </c>
      <c r="F166">
        <v>1</v>
      </c>
      <c r="G166">
        <v>15514512</v>
      </c>
      <c r="H166">
        <v>3</v>
      </c>
      <c r="I166" t="s">
        <v>912</v>
      </c>
      <c r="J166" t="s">
        <v>913</v>
      </c>
      <c r="K166" t="s">
        <v>914</v>
      </c>
      <c r="L166">
        <v>1346</v>
      </c>
      <c r="N166">
        <v>1009</v>
      </c>
      <c r="O166" t="s">
        <v>898</v>
      </c>
      <c r="P166" t="s">
        <v>898</v>
      </c>
      <c r="Q166">
        <v>1</v>
      </c>
      <c r="X166">
        <v>0.05</v>
      </c>
      <c r="Y166">
        <v>31.49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28</v>
      </c>
      <c r="AG166">
        <v>0.1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ROW(Source!A390)</f>
        <v>390</v>
      </c>
      <c r="B167">
        <v>1472510363</v>
      </c>
      <c r="C167">
        <v>1472496145</v>
      </c>
      <c r="D167">
        <v>1441819193</v>
      </c>
      <c r="E167">
        <v>15514512</v>
      </c>
      <c r="F167">
        <v>1</v>
      </c>
      <c r="G167">
        <v>15514512</v>
      </c>
      <c r="H167">
        <v>1</v>
      </c>
      <c r="I167" t="s">
        <v>885</v>
      </c>
      <c r="J167" t="s">
        <v>3</v>
      </c>
      <c r="K167" t="s">
        <v>886</v>
      </c>
      <c r="L167">
        <v>1191</v>
      </c>
      <c r="N167">
        <v>1013</v>
      </c>
      <c r="O167" t="s">
        <v>887</v>
      </c>
      <c r="P167" t="s">
        <v>887</v>
      </c>
      <c r="Q167">
        <v>1</v>
      </c>
      <c r="X167">
        <v>0.8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1</v>
      </c>
      <c r="AF167" t="s">
        <v>28</v>
      </c>
      <c r="AG167">
        <v>1.6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ROW(Source!A391)</f>
        <v>391</v>
      </c>
      <c r="B168">
        <v>1472510386</v>
      </c>
      <c r="C168">
        <v>1472496162</v>
      </c>
      <c r="D168">
        <v>1441819193</v>
      </c>
      <c r="E168">
        <v>15514512</v>
      </c>
      <c r="F168">
        <v>1</v>
      </c>
      <c r="G168">
        <v>15514512</v>
      </c>
      <c r="H168">
        <v>1</v>
      </c>
      <c r="I168" t="s">
        <v>885</v>
      </c>
      <c r="J168" t="s">
        <v>3</v>
      </c>
      <c r="K168" t="s">
        <v>886</v>
      </c>
      <c r="L168">
        <v>1191</v>
      </c>
      <c r="N168">
        <v>1013</v>
      </c>
      <c r="O168" t="s">
        <v>887</v>
      </c>
      <c r="P168" t="s">
        <v>887</v>
      </c>
      <c r="Q168">
        <v>1</v>
      </c>
      <c r="X168">
        <v>0.24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1</v>
      </c>
      <c r="AF168" t="s">
        <v>3</v>
      </c>
      <c r="AG168">
        <v>0.24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ROW(Source!A391)</f>
        <v>391</v>
      </c>
      <c r="B169">
        <v>1472510387</v>
      </c>
      <c r="C169">
        <v>1472496162</v>
      </c>
      <c r="D169">
        <v>1441836235</v>
      </c>
      <c r="E169">
        <v>1</v>
      </c>
      <c r="F169">
        <v>1</v>
      </c>
      <c r="G169">
        <v>15514512</v>
      </c>
      <c r="H169">
        <v>3</v>
      </c>
      <c r="I169" t="s">
        <v>912</v>
      </c>
      <c r="J169" t="s">
        <v>913</v>
      </c>
      <c r="K169" t="s">
        <v>914</v>
      </c>
      <c r="L169">
        <v>1346</v>
      </c>
      <c r="N169">
        <v>1009</v>
      </c>
      <c r="O169" t="s">
        <v>898</v>
      </c>
      <c r="P169" t="s">
        <v>898</v>
      </c>
      <c r="Q169">
        <v>1</v>
      </c>
      <c r="X169">
        <v>0.02</v>
      </c>
      <c r="Y169">
        <v>31.49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0.02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ROW(Source!A392)</f>
        <v>392</v>
      </c>
      <c r="B170">
        <v>1472510400</v>
      </c>
      <c r="C170">
        <v>1472496198</v>
      </c>
      <c r="D170">
        <v>1441819193</v>
      </c>
      <c r="E170">
        <v>15514512</v>
      </c>
      <c r="F170">
        <v>1</v>
      </c>
      <c r="G170">
        <v>15514512</v>
      </c>
      <c r="H170">
        <v>1</v>
      </c>
      <c r="I170" t="s">
        <v>885</v>
      </c>
      <c r="J170" t="s">
        <v>3</v>
      </c>
      <c r="K170" t="s">
        <v>886</v>
      </c>
      <c r="L170">
        <v>1191</v>
      </c>
      <c r="N170">
        <v>1013</v>
      </c>
      <c r="O170" t="s">
        <v>887</v>
      </c>
      <c r="P170" t="s">
        <v>887</v>
      </c>
      <c r="Q170">
        <v>1</v>
      </c>
      <c r="X170">
        <v>0.92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1</v>
      </c>
      <c r="AF170" t="s">
        <v>3</v>
      </c>
      <c r="AG170">
        <v>0.92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ROW(Source!A393)</f>
        <v>393</v>
      </c>
      <c r="B171">
        <v>1472510428</v>
      </c>
      <c r="C171">
        <v>1472496218</v>
      </c>
      <c r="D171">
        <v>1441819193</v>
      </c>
      <c r="E171">
        <v>15514512</v>
      </c>
      <c r="F171">
        <v>1</v>
      </c>
      <c r="G171">
        <v>15514512</v>
      </c>
      <c r="H171">
        <v>1</v>
      </c>
      <c r="I171" t="s">
        <v>885</v>
      </c>
      <c r="J171" t="s">
        <v>3</v>
      </c>
      <c r="K171" t="s">
        <v>886</v>
      </c>
      <c r="L171">
        <v>1191</v>
      </c>
      <c r="N171">
        <v>1013</v>
      </c>
      <c r="O171" t="s">
        <v>887</v>
      </c>
      <c r="P171" t="s">
        <v>887</v>
      </c>
      <c r="Q171">
        <v>1</v>
      </c>
      <c r="X171">
        <v>0.37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1</v>
      </c>
      <c r="AF171" t="s">
        <v>3</v>
      </c>
      <c r="AG171">
        <v>0.37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ROW(Source!A393)</f>
        <v>393</v>
      </c>
      <c r="B172">
        <v>1472510429</v>
      </c>
      <c r="C172">
        <v>1472496218</v>
      </c>
      <c r="D172">
        <v>1441834258</v>
      </c>
      <c r="E172">
        <v>1</v>
      </c>
      <c r="F172">
        <v>1</v>
      </c>
      <c r="G172">
        <v>15514512</v>
      </c>
      <c r="H172">
        <v>2</v>
      </c>
      <c r="I172" t="s">
        <v>892</v>
      </c>
      <c r="J172" t="s">
        <v>893</v>
      </c>
      <c r="K172" t="s">
        <v>894</v>
      </c>
      <c r="L172">
        <v>1368</v>
      </c>
      <c r="N172">
        <v>1011</v>
      </c>
      <c r="O172" t="s">
        <v>895</v>
      </c>
      <c r="P172" t="s">
        <v>895</v>
      </c>
      <c r="Q172">
        <v>1</v>
      </c>
      <c r="X172">
        <v>0.06</v>
      </c>
      <c r="Y172">
        <v>0</v>
      </c>
      <c r="Z172">
        <v>1303.01</v>
      </c>
      <c r="AA172">
        <v>826.2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0.06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ROW(Source!A394)</f>
        <v>394</v>
      </c>
      <c r="B173">
        <v>1472510449</v>
      </c>
      <c r="C173">
        <v>1472496225</v>
      </c>
      <c r="D173">
        <v>1441819193</v>
      </c>
      <c r="E173">
        <v>15514512</v>
      </c>
      <c r="F173">
        <v>1</v>
      </c>
      <c r="G173">
        <v>15514512</v>
      </c>
      <c r="H173">
        <v>1</v>
      </c>
      <c r="I173" t="s">
        <v>885</v>
      </c>
      <c r="J173" t="s">
        <v>3</v>
      </c>
      <c r="K173" t="s">
        <v>886</v>
      </c>
      <c r="L173">
        <v>1191</v>
      </c>
      <c r="N173">
        <v>1013</v>
      </c>
      <c r="O173" t="s">
        <v>887</v>
      </c>
      <c r="P173" t="s">
        <v>887</v>
      </c>
      <c r="Q173">
        <v>1</v>
      </c>
      <c r="X173">
        <v>4.42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1</v>
      </c>
      <c r="AF173" t="s">
        <v>3</v>
      </c>
      <c r="AG173">
        <v>4.42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ROW(Source!A394)</f>
        <v>394</v>
      </c>
      <c r="B174">
        <v>1472510450</v>
      </c>
      <c r="C174">
        <v>1472496225</v>
      </c>
      <c r="D174">
        <v>1441836235</v>
      </c>
      <c r="E174">
        <v>1</v>
      </c>
      <c r="F174">
        <v>1</v>
      </c>
      <c r="G174">
        <v>15514512</v>
      </c>
      <c r="H174">
        <v>3</v>
      </c>
      <c r="I174" t="s">
        <v>912</v>
      </c>
      <c r="J174" t="s">
        <v>913</v>
      </c>
      <c r="K174" t="s">
        <v>914</v>
      </c>
      <c r="L174">
        <v>1346</v>
      </c>
      <c r="N174">
        <v>1009</v>
      </c>
      <c r="O174" t="s">
        <v>898</v>
      </c>
      <c r="P174" t="s">
        <v>898</v>
      </c>
      <c r="Q174">
        <v>1</v>
      </c>
      <c r="X174">
        <v>1.6E-2</v>
      </c>
      <c r="Y174">
        <v>31.49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1.6E-2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ROW(Source!A394)</f>
        <v>394</v>
      </c>
      <c r="B175">
        <v>1472510452</v>
      </c>
      <c r="C175">
        <v>1472496225</v>
      </c>
      <c r="D175">
        <v>1441821340</v>
      </c>
      <c r="E175">
        <v>15514512</v>
      </c>
      <c r="F175">
        <v>1</v>
      </c>
      <c r="G175">
        <v>15514512</v>
      </c>
      <c r="H175">
        <v>3</v>
      </c>
      <c r="I175" t="s">
        <v>973</v>
      </c>
      <c r="J175" t="s">
        <v>3</v>
      </c>
      <c r="K175" t="s">
        <v>974</v>
      </c>
      <c r="L175">
        <v>1354</v>
      </c>
      <c r="N175">
        <v>16987630</v>
      </c>
      <c r="O175" t="s">
        <v>20</v>
      </c>
      <c r="P175" t="s">
        <v>20</v>
      </c>
      <c r="Q175">
        <v>1</v>
      </c>
      <c r="X175">
        <v>10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 t="s">
        <v>3</v>
      </c>
      <c r="AG175">
        <v>10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ROW(Source!A396)</f>
        <v>396</v>
      </c>
      <c r="B176">
        <v>1472510492</v>
      </c>
      <c r="C176">
        <v>1472496237</v>
      </c>
      <c r="D176">
        <v>1441819193</v>
      </c>
      <c r="E176">
        <v>15514512</v>
      </c>
      <c r="F176">
        <v>1</v>
      </c>
      <c r="G176">
        <v>15514512</v>
      </c>
      <c r="H176">
        <v>1</v>
      </c>
      <c r="I176" t="s">
        <v>885</v>
      </c>
      <c r="J176" t="s">
        <v>3</v>
      </c>
      <c r="K176" t="s">
        <v>886</v>
      </c>
      <c r="L176">
        <v>1191</v>
      </c>
      <c r="N176">
        <v>1013</v>
      </c>
      <c r="O176" t="s">
        <v>887</v>
      </c>
      <c r="P176" t="s">
        <v>887</v>
      </c>
      <c r="Q176">
        <v>1</v>
      </c>
      <c r="X176">
        <v>0.22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1</v>
      </c>
      <c r="AF176" t="s">
        <v>3</v>
      </c>
      <c r="AG176">
        <v>0.22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ROW(Source!A396)</f>
        <v>396</v>
      </c>
      <c r="B177">
        <v>1472510493</v>
      </c>
      <c r="C177">
        <v>1472496237</v>
      </c>
      <c r="D177">
        <v>1441836235</v>
      </c>
      <c r="E177">
        <v>1</v>
      </c>
      <c r="F177">
        <v>1</v>
      </c>
      <c r="G177">
        <v>15514512</v>
      </c>
      <c r="H177">
        <v>3</v>
      </c>
      <c r="I177" t="s">
        <v>912</v>
      </c>
      <c r="J177" t="s">
        <v>913</v>
      </c>
      <c r="K177" t="s">
        <v>914</v>
      </c>
      <c r="L177">
        <v>1346</v>
      </c>
      <c r="N177">
        <v>1009</v>
      </c>
      <c r="O177" t="s">
        <v>898</v>
      </c>
      <c r="P177" t="s">
        <v>898</v>
      </c>
      <c r="Q177">
        <v>1</v>
      </c>
      <c r="X177">
        <v>0.02</v>
      </c>
      <c r="Y177">
        <v>31.49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3</v>
      </c>
      <c r="AG177">
        <v>0.02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ROW(Source!A397)</f>
        <v>397</v>
      </c>
      <c r="B178">
        <v>1472510513</v>
      </c>
      <c r="C178">
        <v>1472496246</v>
      </c>
      <c r="D178">
        <v>1441819193</v>
      </c>
      <c r="E178">
        <v>15514512</v>
      </c>
      <c r="F178">
        <v>1</v>
      </c>
      <c r="G178">
        <v>15514512</v>
      </c>
      <c r="H178">
        <v>1</v>
      </c>
      <c r="I178" t="s">
        <v>885</v>
      </c>
      <c r="J178" t="s">
        <v>3</v>
      </c>
      <c r="K178" t="s">
        <v>886</v>
      </c>
      <c r="L178">
        <v>1191</v>
      </c>
      <c r="N178">
        <v>1013</v>
      </c>
      <c r="O178" t="s">
        <v>887</v>
      </c>
      <c r="P178" t="s">
        <v>887</v>
      </c>
      <c r="Q178">
        <v>1</v>
      </c>
      <c r="X178">
        <v>1.06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1</v>
      </c>
      <c r="AF178" t="s">
        <v>28</v>
      </c>
      <c r="AG178">
        <v>2.12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ROW(Source!A398)</f>
        <v>398</v>
      </c>
      <c r="B179">
        <v>1472510527</v>
      </c>
      <c r="C179">
        <v>1472496251</v>
      </c>
      <c r="D179">
        <v>1441819193</v>
      </c>
      <c r="E179">
        <v>15514512</v>
      </c>
      <c r="F179">
        <v>1</v>
      </c>
      <c r="G179">
        <v>15514512</v>
      </c>
      <c r="H179">
        <v>1</v>
      </c>
      <c r="I179" t="s">
        <v>885</v>
      </c>
      <c r="J179" t="s">
        <v>3</v>
      </c>
      <c r="K179" t="s">
        <v>886</v>
      </c>
      <c r="L179">
        <v>1191</v>
      </c>
      <c r="N179">
        <v>1013</v>
      </c>
      <c r="O179" t="s">
        <v>887</v>
      </c>
      <c r="P179" t="s">
        <v>887</v>
      </c>
      <c r="Q179">
        <v>1</v>
      </c>
      <c r="X179">
        <v>0.31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1</v>
      </c>
      <c r="AF179" t="s">
        <v>28</v>
      </c>
      <c r="AG179">
        <v>0.62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ROW(Source!A398)</f>
        <v>398</v>
      </c>
      <c r="B180">
        <v>1472510528</v>
      </c>
      <c r="C180">
        <v>1472496251</v>
      </c>
      <c r="D180">
        <v>1441836187</v>
      </c>
      <c r="E180">
        <v>1</v>
      </c>
      <c r="F180">
        <v>1</v>
      </c>
      <c r="G180">
        <v>15514512</v>
      </c>
      <c r="H180">
        <v>3</v>
      </c>
      <c r="I180" t="s">
        <v>909</v>
      </c>
      <c r="J180" t="s">
        <v>910</v>
      </c>
      <c r="K180" t="s">
        <v>911</v>
      </c>
      <c r="L180">
        <v>1346</v>
      </c>
      <c r="N180">
        <v>1009</v>
      </c>
      <c r="O180" t="s">
        <v>898</v>
      </c>
      <c r="P180" t="s">
        <v>898</v>
      </c>
      <c r="Q180">
        <v>1</v>
      </c>
      <c r="X180">
        <v>8.0000000000000002E-3</v>
      </c>
      <c r="Y180">
        <v>424.66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28</v>
      </c>
      <c r="AG180">
        <v>1.6E-2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ROW(Source!A398)</f>
        <v>398</v>
      </c>
      <c r="B181">
        <v>1472510529</v>
      </c>
      <c r="C181">
        <v>1472496251</v>
      </c>
      <c r="D181">
        <v>1441836235</v>
      </c>
      <c r="E181">
        <v>1</v>
      </c>
      <c r="F181">
        <v>1</v>
      </c>
      <c r="G181">
        <v>15514512</v>
      </c>
      <c r="H181">
        <v>3</v>
      </c>
      <c r="I181" t="s">
        <v>912</v>
      </c>
      <c r="J181" t="s">
        <v>913</v>
      </c>
      <c r="K181" t="s">
        <v>914</v>
      </c>
      <c r="L181">
        <v>1346</v>
      </c>
      <c r="N181">
        <v>1009</v>
      </c>
      <c r="O181" t="s">
        <v>898</v>
      </c>
      <c r="P181" t="s">
        <v>898</v>
      </c>
      <c r="Q181">
        <v>1</v>
      </c>
      <c r="X181">
        <v>0.5</v>
      </c>
      <c r="Y181">
        <v>31.49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28</v>
      </c>
      <c r="AG181">
        <v>1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ROW(Source!A399)</f>
        <v>399</v>
      </c>
      <c r="B182">
        <v>1472510539</v>
      </c>
      <c r="C182">
        <v>1472496267</v>
      </c>
      <c r="D182">
        <v>1441819193</v>
      </c>
      <c r="E182">
        <v>15514512</v>
      </c>
      <c r="F182">
        <v>1</v>
      </c>
      <c r="G182">
        <v>15514512</v>
      </c>
      <c r="H182">
        <v>1</v>
      </c>
      <c r="I182" t="s">
        <v>885</v>
      </c>
      <c r="J182" t="s">
        <v>3</v>
      </c>
      <c r="K182" t="s">
        <v>886</v>
      </c>
      <c r="L182">
        <v>1191</v>
      </c>
      <c r="N182">
        <v>1013</v>
      </c>
      <c r="O182" t="s">
        <v>887</v>
      </c>
      <c r="P182" t="s">
        <v>887</v>
      </c>
      <c r="Q182">
        <v>1</v>
      </c>
      <c r="X182">
        <v>1.17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1</v>
      </c>
      <c r="AF182" t="s">
        <v>3</v>
      </c>
      <c r="AG182">
        <v>1.17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ROW(Source!A401)</f>
        <v>401</v>
      </c>
      <c r="B183">
        <v>1472510567</v>
      </c>
      <c r="C183">
        <v>1472496284</v>
      </c>
      <c r="D183">
        <v>1441819193</v>
      </c>
      <c r="E183">
        <v>15514512</v>
      </c>
      <c r="F183">
        <v>1</v>
      </c>
      <c r="G183">
        <v>15514512</v>
      </c>
      <c r="H183">
        <v>1</v>
      </c>
      <c r="I183" t="s">
        <v>885</v>
      </c>
      <c r="J183" t="s">
        <v>3</v>
      </c>
      <c r="K183" t="s">
        <v>886</v>
      </c>
      <c r="L183">
        <v>1191</v>
      </c>
      <c r="N183">
        <v>1013</v>
      </c>
      <c r="O183" t="s">
        <v>887</v>
      </c>
      <c r="P183" t="s">
        <v>887</v>
      </c>
      <c r="Q183">
        <v>1</v>
      </c>
      <c r="X183">
        <v>0.9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1</v>
      </c>
      <c r="AF183" t="s">
        <v>3</v>
      </c>
      <c r="AG183">
        <v>0.9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ROW(Source!A401)</f>
        <v>401</v>
      </c>
      <c r="B184">
        <v>1472510568</v>
      </c>
      <c r="C184">
        <v>1472496284</v>
      </c>
      <c r="D184">
        <v>1441836235</v>
      </c>
      <c r="E184">
        <v>1</v>
      </c>
      <c r="F184">
        <v>1</v>
      </c>
      <c r="G184">
        <v>15514512</v>
      </c>
      <c r="H184">
        <v>3</v>
      </c>
      <c r="I184" t="s">
        <v>912</v>
      </c>
      <c r="J184" t="s">
        <v>913</v>
      </c>
      <c r="K184" t="s">
        <v>914</v>
      </c>
      <c r="L184">
        <v>1346</v>
      </c>
      <c r="N184">
        <v>1009</v>
      </c>
      <c r="O184" t="s">
        <v>898</v>
      </c>
      <c r="P184" t="s">
        <v>898</v>
      </c>
      <c r="Q184">
        <v>1</v>
      </c>
      <c r="X184">
        <v>0.01</v>
      </c>
      <c r="Y184">
        <v>31.49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0.01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ROW(Source!A402)</f>
        <v>402</v>
      </c>
      <c r="B185">
        <v>1472510585</v>
      </c>
      <c r="C185">
        <v>1472496294</v>
      </c>
      <c r="D185">
        <v>1441819193</v>
      </c>
      <c r="E185">
        <v>15514512</v>
      </c>
      <c r="F185">
        <v>1</v>
      </c>
      <c r="G185">
        <v>15514512</v>
      </c>
      <c r="H185">
        <v>1</v>
      </c>
      <c r="I185" t="s">
        <v>885</v>
      </c>
      <c r="J185" t="s">
        <v>3</v>
      </c>
      <c r="K185" t="s">
        <v>886</v>
      </c>
      <c r="L185">
        <v>1191</v>
      </c>
      <c r="N185">
        <v>1013</v>
      </c>
      <c r="O185" t="s">
        <v>887</v>
      </c>
      <c r="P185" t="s">
        <v>887</v>
      </c>
      <c r="Q185">
        <v>1</v>
      </c>
      <c r="X185">
        <v>0.45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3</v>
      </c>
      <c r="AG185">
        <v>0.45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ROW(Source!A403)</f>
        <v>403</v>
      </c>
      <c r="B186">
        <v>1472510593</v>
      </c>
      <c r="C186">
        <v>1472496309</v>
      </c>
      <c r="D186">
        <v>1441819193</v>
      </c>
      <c r="E186">
        <v>15514512</v>
      </c>
      <c r="F186">
        <v>1</v>
      </c>
      <c r="G186">
        <v>15514512</v>
      </c>
      <c r="H186">
        <v>1</v>
      </c>
      <c r="I186" t="s">
        <v>885</v>
      </c>
      <c r="J186" t="s">
        <v>3</v>
      </c>
      <c r="K186" t="s">
        <v>886</v>
      </c>
      <c r="L186">
        <v>1191</v>
      </c>
      <c r="N186">
        <v>1013</v>
      </c>
      <c r="O186" t="s">
        <v>887</v>
      </c>
      <c r="P186" t="s">
        <v>887</v>
      </c>
      <c r="Q186">
        <v>1</v>
      </c>
      <c r="X186">
        <v>0.61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1</v>
      </c>
      <c r="AF186" t="s">
        <v>3</v>
      </c>
      <c r="AG186">
        <v>0.61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ROW(Source!A405)</f>
        <v>405</v>
      </c>
      <c r="B187">
        <v>1472510618</v>
      </c>
      <c r="C187">
        <v>1472496318</v>
      </c>
      <c r="D187">
        <v>1441819193</v>
      </c>
      <c r="E187">
        <v>15514512</v>
      </c>
      <c r="F187">
        <v>1</v>
      </c>
      <c r="G187">
        <v>15514512</v>
      </c>
      <c r="H187">
        <v>1</v>
      </c>
      <c r="I187" t="s">
        <v>885</v>
      </c>
      <c r="J187" t="s">
        <v>3</v>
      </c>
      <c r="K187" t="s">
        <v>886</v>
      </c>
      <c r="L187">
        <v>1191</v>
      </c>
      <c r="N187">
        <v>1013</v>
      </c>
      <c r="O187" t="s">
        <v>887</v>
      </c>
      <c r="P187" t="s">
        <v>887</v>
      </c>
      <c r="Q187">
        <v>1</v>
      </c>
      <c r="X187">
        <v>0.92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3</v>
      </c>
      <c r="AG187">
        <v>0.92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ROW(Source!A406)</f>
        <v>406</v>
      </c>
      <c r="B188">
        <v>1472510631</v>
      </c>
      <c r="C188">
        <v>1472496342</v>
      </c>
      <c r="D188">
        <v>1441819193</v>
      </c>
      <c r="E188">
        <v>15514512</v>
      </c>
      <c r="F188">
        <v>1</v>
      </c>
      <c r="G188">
        <v>15514512</v>
      </c>
      <c r="H188">
        <v>1</v>
      </c>
      <c r="I188" t="s">
        <v>885</v>
      </c>
      <c r="J188" t="s">
        <v>3</v>
      </c>
      <c r="K188" t="s">
        <v>886</v>
      </c>
      <c r="L188">
        <v>1191</v>
      </c>
      <c r="N188">
        <v>1013</v>
      </c>
      <c r="O188" t="s">
        <v>887</v>
      </c>
      <c r="P188" t="s">
        <v>887</v>
      </c>
      <c r="Q188">
        <v>1</v>
      </c>
      <c r="X188">
        <v>0.37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1</v>
      </c>
      <c r="AF188" t="s">
        <v>3</v>
      </c>
      <c r="AG188">
        <v>0.37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ROW(Source!A406)</f>
        <v>406</v>
      </c>
      <c r="B189">
        <v>1472510632</v>
      </c>
      <c r="C189">
        <v>1472496342</v>
      </c>
      <c r="D189">
        <v>1441834258</v>
      </c>
      <c r="E189">
        <v>1</v>
      </c>
      <c r="F189">
        <v>1</v>
      </c>
      <c r="G189">
        <v>15514512</v>
      </c>
      <c r="H189">
        <v>2</v>
      </c>
      <c r="I189" t="s">
        <v>892</v>
      </c>
      <c r="J189" t="s">
        <v>893</v>
      </c>
      <c r="K189" t="s">
        <v>894</v>
      </c>
      <c r="L189">
        <v>1368</v>
      </c>
      <c r="N189">
        <v>1011</v>
      </c>
      <c r="O189" t="s">
        <v>895</v>
      </c>
      <c r="P189" t="s">
        <v>895</v>
      </c>
      <c r="Q189">
        <v>1</v>
      </c>
      <c r="X189">
        <v>0.06</v>
      </c>
      <c r="Y189">
        <v>0</v>
      </c>
      <c r="Z189">
        <v>1303.01</v>
      </c>
      <c r="AA189">
        <v>826.2</v>
      </c>
      <c r="AB189">
        <v>0</v>
      </c>
      <c r="AC189">
        <v>0</v>
      </c>
      <c r="AD189">
        <v>1</v>
      </c>
      <c r="AE189">
        <v>0</v>
      </c>
      <c r="AF189" t="s">
        <v>3</v>
      </c>
      <c r="AG189">
        <v>0.06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ROW(Source!A407)</f>
        <v>407</v>
      </c>
      <c r="B190">
        <v>1472510646</v>
      </c>
      <c r="C190">
        <v>1472496376</v>
      </c>
      <c r="D190">
        <v>1441819193</v>
      </c>
      <c r="E190">
        <v>15514512</v>
      </c>
      <c r="F190">
        <v>1</v>
      </c>
      <c r="G190">
        <v>15514512</v>
      </c>
      <c r="H190">
        <v>1</v>
      </c>
      <c r="I190" t="s">
        <v>885</v>
      </c>
      <c r="J190" t="s">
        <v>3</v>
      </c>
      <c r="K190" t="s">
        <v>886</v>
      </c>
      <c r="L190">
        <v>1191</v>
      </c>
      <c r="N190">
        <v>1013</v>
      </c>
      <c r="O190" t="s">
        <v>887</v>
      </c>
      <c r="P190" t="s">
        <v>887</v>
      </c>
      <c r="Q190">
        <v>1</v>
      </c>
      <c r="X190">
        <v>0.45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1</v>
      </c>
      <c r="AF190" t="s">
        <v>3</v>
      </c>
      <c r="AG190">
        <v>0.45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ROW(Source!A408)</f>
        <v>408</v>
      </c>
      <c r="B191">
        <v>1472510665</v>
      </c>
      <c r="C191">
        <v>1472496394</v>
      </c>
      <c r="D191">
        <v>1441819193</v>
      </c>
      <c r="E191">
        <v>15514512</v>
      </c>
      <c r="F191">
        <v>1</v>
      </c>
      <c r="G191">
        <v>15514512</v>
      </c>
      <c r="H191">
        <v>1</v>
      </c>
      <c r="I191" t="s">
        <v>885</v>
      </c>
      <c r="J191" t="s">
        <v>3</v>
      </c>
      <c r="K191" t="s">
        <v>886</v>
      </c>
      <c r="L191">
        <v>1191</v>
      </c>
      <c r="N191">
        <v>1013</v>
      </c>
      <c r="O191" t="s">
        <v>887</v>
      </c>
      <c r="P191" t="s">
        <v>887</v>
      </c>
      <c r="Q191">
        <v>1</v>
      </c>
      <c r="X191">
        <v>1.17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1</v>
      </c>
      <c r="AF191" t="s">
        <v>3</v>
      </c>
      <c r="AG191">
        <v>1.17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ROW(Source!A410)</f>
        <v>410</v>
      </c>
      <c r="B192">
        <v>1472510689</v>
      </c>
      <c r="C192">
        <v>1472496399</v>
      </c>
      <c r="D192">
        <v>1441819193</v>
      </c>
      <c r="E192">
        <v>15514512</v>
      </c>
      <c r="F192">
        <v>1</v>
      </c>
      <c r="G192">
        <v>15514512</v>
      </c>
      <c r="H192">
        <v>1</v>
      </c>
      <c r="I192" t="s">
        <v>885</v>
      </c>
      <c r="J192" t="s">
        <v>3</v>
      </c>
      <c r="K192" t="s">
        <v>886</v>
      </c>
      <c r="L192">
        <v>1191</v>
      </c>
      <c r="N192">
        <v>1013</v>
      </c>
      <c r="O192" t="s">
        <v>887</v>
      </c>
      <c r="P192" t="s">
        <v>887</v>
      </c>
      <c r="Q192">
        <v>1</v>
      </c>
      <c r="X192">
        <v>0.9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1</v>
      </c>
      <c r="AF192" t="s">
        <v>3</v>
      </c>
      <c r="AG192">
        <v>0.9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ROW(Source!A410)</f>
        <v>410</v>
      </c>
      <c r="B193">
        <v>1472510690</v>
      </c>
      <c r="C193">
        <v>1472496399</v>
      </c>
      <c r="D193">
        <v>1441836235</v>
      </c>
      <c r="E193">
        <v>1</v>
      </c>
      <c r="F193">
        <v>1</v>
      </c>
      <c r="G193">
        <v>15514512</v>
      </c>
      <c r="H193">
        <v>3</v>
      </c>
      <c r="I193" t="s">
        <v>912</v>
      </c>
      <c r="J193" t="s">
        <v>913</v>
      </c>
      <c r="K193" t="s">
        <v>914</v>
      </c>
      <c r="L193">
        <v>1346</v>
      </c>
      <c r="N193">
        <v>1009</v>
      </c>
      <c r="O193" t="s">
        <v>898</v>
      </c>
      <c r="P193" t="s">
        <v>898</v>
      </c>
      <c r="Q193">
        <v>1</v>
      </c>
      <c r="X193">
        <v>0.01</v>
      </c>
      <c r="Y193">
        <v>31.49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3</v>
      </c>
      <c r="AG193">
        <v>0.01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ROW(Source!A411)</f>
        <v>411</v>
      </c>
      <c r="B194">
        <v>1472510726</v>
      </c>
      <c r="C194">
        <v>1472496407</v>
      </c>
      <c r="D194">
        <v>1441819193</v>
      </c>
      <c r="E194">
        <v>15514512</v>
      </c>
      <c r="F194">
        <v>1</v>
      </c>
      <c r="G194">
        <v>15514512</v>
      </c>
      <c r="H194">
        <v>1</v>
      </c>
      <c r="I194" t="s">
        <v>885</v>
      </c>
      <c r="J194" t="s">
        <v>3</v>
      </c>
      <c r="K194" t="s">
        <v>886</v>
      </c>
      <c r="L194">
        <v>1191</v>
      </c>
      <c r="N194">
        <v>1013</v>
      </c>
      <c r="O194" t="s">
        <v>887</v>
      </c>
      <c r="P194" t="s">
        <v>887</v>
      </c>
      <c r="Q194">
        <v>1</v>
      </c>
      <c r="X194">
        <v>0.31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1</v>
      </c>
      <c r="AF194" t="s">
        <v>28</v>
      </c>
      <c r="AG194">
        <v>0.62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ROW(Source!A411)</f>
        <v>411</v>
      </c>
      <c r="B195">
        <v>1472510727</v>
      </c>
      <c r="C195">
        <v>1472496407</v>
      </c>
      <c r="D195">
        <v>1441836187</v>
      </c>
      <c r="E195">
        <v>1</v>
      </c>
      <c r="F195">
        <v>1</v>
      </c>
      <c r="G195">
        <v>15514512</v>
      </c>
      <c r="H195">
        <v>3</v>
      </c>
      <c r="I195" t="s">
        <v>909</v>
      </c>
      <c r="J195" t="s">
        <v>910</v>
      </c>
      <c r="K195" t="s">
        <v>911</v>
      </c>
      <c r="L195">
        <v>1346</v>
      </c>
      <c r="N195">
        <v>1009</v>
      </c>
      <c r="O195" t="s">
        <v>898</v>
      </c>
      <c r="P195" t="s">
        <v>898</v>
      </c>
      <c r="Q195">
        <v>1</v>
      </c>
      <c r="X195">
        <v>8.0000000000000002E-3</v>
      </c>
      <c r="Y195">
        <v>424.66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28</v>
      </c>
      <c r="AG195">
        <v>1.6E-2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ROW(Source!A411)</f>
        <v>411</v>
      </c>
      <c r="B196">
        <v>1472510728</v>
      </c>
      <c r="C196">
        <v>1472496407</v>
      </c>
      <c r="D196">
        <v>1441836235</v>
      </c>
      <c r="E196">
        <v>1</v>
      </c>
      <c r="F196">
        <v>1</v>
      </c>
      <c r="G196">
        <v>15514512</v>
      </c>
      <c r="H196">
        <v>3</v>
      </c>
      <c r="I196" t="s">
        <v>912</v>
      </c>
      <c r="J196" t="s">
        <v>913</v>
      </c>
      <c r="K196" t="s">
        <v>914</v>
      </c>
      <c r="L196">
        <v>1346</v>
      </c>
      <c r="N196">
        <v>1009</v>
      </c>
      <c r="O196" t="s">
        <v>898</v>
      </c>
      <c r="P196" t="s">
        <v>898</v>
      </c>
      <c r="Q196">
        <v>1</v>
      </c>
      <c r="X196">
        <v>0.5</v>
      </c>
      <c r="Y196">
        <v>31.49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28</v>
      </c>
      <c r="AG196">
        <v>1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ROW(Source!A413)</f>
        <v>413</v>
      </c>
      <c r="B197">
        <v>1472510737</v>
      </c>
      <c r="C197">
        <v>1472496428</v>
      </c>
      <c r="D197">
        <v>1441819193</v>
      </c>
      <c r="E197">
        <v>15514512</v>
      </c>
      <c r="F197">
        <v>1</v>
      </c>
      <c r="G197">
        <v>15514512</v>
      </c>
      <c r="H197">
        <v>1</v>
      </c>
      <c r="I197" t="s">
        <v>885</v>
      </c>
      <c r="J197" t="s">
        <v>3</v>
      </c>
      <c r="K197" t="s">
        <v>886</v>
      </c>
      <c r="L197">
        <v>1191</v>
      </c>
      <c r="N197">
        <v>1013</v>
      </c>
      <c r="O197" t="s">
        <v>887</v>
      </c>
      <c r="P197" t="s">
        <v>887</v>
      </c>
      <c r="Q197">
        <v>1</v>
      </c>
      <c r="X197">
        <v>1.06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28</v>
      </c>
      <c r="AG197">
        <v>2.12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ROW(Source!A414)</f>
        <v>414</v>
      </c>
      <c r="B198">
        <v>1472510746</v>
      </c>
      <c r="C198">
        <v>1472496440</v>
      </c>
      <c r="D198">
        <v>1441819193</v>
      </c>
      <c r="E198">
        <v>15514512</v>
      </c>
      <c r="F198">
        <v>1</v>
      </c>
      <c r="G198">
        <v>15514512</v>
      </c>
      <c r="H198">
        <v>1</v>
      </c>
      <c r="I198" t="s">
        <v>885</v>
      </c>
      <c r="J198" t="s">
        <v>3</v>
      </c>
      <c r="K198" t="s">
        <v>886</v>
      </c>
      <c r="L198">
        <v>1191</v>
      </c>
      <c r="N198">
        <v>1013</v>
      </c>
      <c r="O198" t="s">
        <v>887</v>
      </c>
      <c r="P198" t="s">
        <v>887</v>
      </c>
      <c r="Q198">
        <v>1</v>
      </c>
      <c r="X198">
        <v>1.33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1</v>
      </c>
      <c r="AF198" t="s">
        <v>28</v>
      </c>
      <c r="AG198">
        <v>2.66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ROW(Source!A415)</f>
        <v>415</v>
      </c>
      <c r="B199">
        <v>1472510767</v>
      </c>
      <c r="C199">
        <v>1472496473</v>
      </c>
      <c r="D199">
        <v>1441819193</v>
      </c>
      <c r="E199">
        <v>15514512</v>
      </c>
      <c r="F199">
        <v>1</v>
      </c>
      <c r="G199">
        <v>15514512</v>
      </c>
      <c r="H199">
        <v>1</v>
      </c>
      <c r="I199" t="s">
        <v>885</v>
      </c>
      <c r="J199" t="s">
        <v>3</v>
      </c>
      <c r="K199" t="s">
        <v>886</v>
      </c>
      <c r="L199">
        <v>1191</v>
      </c>
      <c r="N199">
        <v>1013</v>
      </c>
      <c r="O199" t="s">
        <v>887</v>
      </c>
      <c r="P199" t="s">
        <v>887</v>
      </c>
      <c r="Q199">
        <v>1</v>
      </c>
      <c r="X199">
        <v>0.92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1</v>
      </c>
      <c r="AF199" t="s">
        <v>3</v>
      </c>
      <c r="AG199">
        <v>0.92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ROW(Source!A416)</f>
        <v>416</v>
      </c>
      <c r="B200">
        <v>1472510782</v>
      </c>
      <c r="C200">
        <v>1472496515</v>
      </c>
      <c r="D200">
        <v>1441819193</v>
      </c>
      <c r="E200">
        <v>15514512</v>
      </c>
      <c r="F200">
        <v>1</v>
      </c>
      <c r="G200">
        <v>15514512</v>
      </c>
      <c r="H200">
        <v>1</v>
      </c>
      <c r="I200" t="s">
        <v>885</v>
      </c>
      <c r="J200" t="s">
        <v>3</v>
      </c>
      <c r="K200" t="s">
        <v>886</v>
      </c>
      <c r="L200">
        <v>1191</v>
      </c>
      <c r="N200">
        <v>1013</v>
      </c>
      <c r="O200" t="s">
        <v>887</v>
      </c>
      <c r="P200" t="s">
        <v>887</v>
      </c>
      <c r="Q200">
        <v>1</v>
      </c>
      <c r="X200">
        <v>0.47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1</v>
      </c>
      <c r="AF200" t="s">
        <v>28</v>
      </c>
      <c r="AG200">
        <v>0.94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ROW(Source!A416)</f>
        <v>416</v>
      </c>
      <c r="B201">
        <v>1472510783</v>
      </c>
      <c r="C201">
        <v>1472496515</v>
      </c>
      <c r="D201">
        <v>1441836187</v>
      </c>
      <c r="E201">
        <v>1</v>
      </c>
      <c r="F201">
        <v>1</v>
      </c>
      <c r="G201">
        <v>15514512</v>
      </c>
      <c r="H201">
        <v>3</v>
      </c>
      <c r="I201" t="s">
        <v>909</v>
      </c>
      <c r="J201" t="s">
        <v>910</v>
      </c>
      <c r="K201" t="s">
        <v>911</v>
      </c>
      <c r="L201">
        <v>1346</v>
      </c>
      <c r="N201">
        <v>1009</v>
      </c>
      <c r="O201" t="s">
        <v>898</v>
      </c>
      <c r="P201" t="s">
        <v>898</v>
      </c>
      <c r="Q201">
        <v>1</v>
      </c>
      <c r="X201">
        <v>8.0000000000000002E-3</v>
      </c>
      <c r="Y201">
        <v>424.66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28</v>
      </c>
      <c r="AG201">
        <v>1.6E-2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ROW(Source!A416)</f>
        <v>416</v>
      </c>
      <c r="B202">
        <v>1472510784</v>
      </c>
      <c r="C202">
        <v>1472496515</v>
      </c>
      <c r="D202">
        <v>1441836235</v>
      </c>
      <c r="E202">
        <v>1</v>
      </c>
      <c r="F202">
        <v>1</v>
      </c>
      <c r="G202">
        <v>15514512</v>
      </c>
      <c r="H202">
        <v>3</v>
      </c>
      <c r="I202" t="s">
        <v>912</v>
      </c>
      <c r="J202" t="s">
        <v>913</v>
      </c>
      <c r="K202" t="s">
        <v>914</v>
      </c>
      <c r="L202">
        <v>1346</v>
      </c>
      <c r="N202">
        <v>1009</v>
      </c>
      <c r="O202" t="s">
        <v>898</v>
      </c>
      <c r="P202" t="s">
        <v>898</v>
      </c>
      <c r="Q202">
        <v>1</v>
      </c>
      <c r="X202">
        <v>0.5</v>
      </c>
      <c r="Y202">
        <v>31.49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28</v>
      </c>
      <c r="AG202">
        <v>1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ROW(Source!A416)</f>
        <v>416</v>
      </c>
      <c r="B203">
        <v>1472510785</v>
      </c>
      <c r="C203">
        <v>1472496515</v>
      </c>
      <c r="D203">
        <v>1441834642</v>
      </c>
      <c r="E203">
        <v>1</v>
      </c>
      <c r="F203">
        <v>1</v>
      </c>
      <c r="G203">
        <v>15514512</v>
      </c>
      <c r="H203">
        <v>3</v>
      </c>
      <c r="I203" t="s">
        <v>975</v>
      </c>
      <c r="J203" t="s">
        <v>976</v>
      </c>
      <c r="K203" t="s">
        <v>977</v>
      </c>
      <c r="L203">
        <v>1296</v>
      </c>
      <c r="N203">
        <v>1002</v>
      </c>
      <c r="O203" t="s">
        <v>918</v>
      </c>
      <c r="P203" t="s">
        <v>918</v>
      </c>
      <c r="Q203">
        <v>1</v>
      </c>
      <c r="X203">
        <v>0.01</v>
      </c>
      <c r="Y203">
        <v>109.78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28</v>
      </c>
      <c r="AG203">
        <v>0.02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ROW(Source!A417)</f>
        <v>417</v>
      </c>
      <c r="B204">
        <v>1472510806</v>
      </c>
      <c r="C204">
        <v>1472496551</v>
      </c>
      <c r="D204">
        <v>1441819193</v>
      </c>
      <c r="E204">
        <v>15514512</v>
      </c>
      <c r="F204">
        <v>1</v>
      </c>
      <c r="G204">
        <v>15514512</v>
      </c>
      <c r="H204">
        <v>1</v>
      </c>
      <c r="I204" t="s">
        <v>885</v>
      </c>
      <c r="J204" t="s">
        <v>3</v>
      </c>
      <c r="K204" t="s">
        <v>886</v>
      </c>
      <c r="L204">
        <v>1191</v>
      </c>
      <c r="N204">
        <v>1013</v>
      </c>
      <c r="O204" t="s">
        <v>887</v>
      </c>
      <c r="P204" t="s">
        <v>887</v>
      </c>
      <c r="Q204">
        <v>1</v>
      </c>
      <c r="X204">
        <v>12.5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1</v>
      </c>
      <c r="AF204" t="s">
        <v>28</v>
      </c>
      <c r="AG204">
        <v>25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ROW(Source!A417)</f>
        <v>417</v>
      </c>
      <c r="B205">
        <v>1472510807</v>
      </c>
      <c r="C205">
        <v>1472496551</v>
      </c>
      <c r="D205">
        <v>1441836235</v>
      </c>
      <c r="E205">
        <v>1</v>
      </c>
      <c r="F205">
        <v>1</v>
      </c>
      <c r="G205">
        <v>15514512</v>
      </c>
      <c r="H205">
        <v>3</v>
      </c>
      <c r="I205" t="s">
        <v>912</v>
      </c>
      <c r="J205" t="s">
        <v>913</v>
      </c>
      <c r="K205" t="s">
        <v>914</v>
      </c>
      <c r="L205">
        <v>1346</v>
      </c>
      <c r="N205">
        <v>1009</v>
      </c>
      <c r="O205" t="s">
        <v>898</v>
      </c>
      <c r="P205" t="s">
        <v>898</v>
      </c>
      <c r="Q205">
        <v>1</v>
      </c>
      <c r="X205">
        <v>0.2</v>
      </c>
      <c r="Y205">
        <v>31.49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28</v>
      </c>
      <c r="AG205">
        <v>0.4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ROW(Source!A417)</f>
        <v>417</v>
      </c>
      <c r="B206">
        <v>1472510808</v>
      </c>
      <c r="C206">
        <v>1472496551</v>
      </c>
      <c r="D206">
        <v>1441834628</v>
      </c>
      <c r="E206">
        <v>1</v>
      </c>
      <c r="F206">
        <v>1</v>
      </c>
      <c r="G206">
        <v>15514512</v>
      </c>
      <c r="H206">
        <v>3</v>
      </c>
      <c r="I206" t="s">
        <v>956</v>
      </c>
      <c r="J206" t="s">
        <v>957</v>
      </c>
      <c r="K206" t="s">
        <v>958</v>
      </c>
      <c r="L206">
        <v>1348</v>
      </c>
      <c r="N206">
        <v>1009</v>
      </c>
      <c r="O206" t="s">
        <v>905</v>
      </c>
      <c r="P206" t="s">
        <v>905</v>
      </c>
      <c r="Q206">
        <v>1000</v>
      </c>
      <c r="X206">
        <v>1.4999999999999999E-4</v>
      </c>
      <c r="Y206">
        <v>73951.73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28</v>
      </c>
      <c r="AG206">
        <v>2.9999999999999997E-4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ROW(Source!A418)</f>
        <v>418</v>
      </c>
      <c r="B207">
        <v>1472510847</v>
      </c>
      <c r="C207">
        <v>1472496562</v>
      </c>
      <c r="D207">
        <v>1441819193</v>
      </c>
      <c r="E207">
        <v>15514512</v>
      </c>
      <c r="F207">
        <v>1</v>
      </c>
      <c r="G207">
        <v>15514512</v>
      </c>
      <c r="H207">
        <v>1</v>
      </c>
      <c r="I207" t="s">
        <v>885</v>
      </c>
      <c r="J207" t="s">
        <v>3</v>
      </c>
      <c r="K207" t="s">
        <v>886</v>
      </c>
      <c r="L207">
        <v>1191</v>
      </c>
      <c r="N207">
        <v>1013</v>
      </c>
      <c r="O207" t="s">
        <v>887</v>
      </c>
      <c r="P207" t="s">
        <v>887</v>
      </c>
      <c r="Q207">
        <v>1</v>
      </c>
      <c r="X207">
        <v>0.45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1</v>
      </c>
      <c r="AF207" t="s">
        <v>3</v>
      </c>
      <c r="AG207">
        <v>0.45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ROW(Source!A419)</f>
        <v>419</v>
      </c>
      <c r="B208">
        <v>1472510885</v>
      </c>
      <c r="C208">
        <v>1472496567</v>
      </c>
      <c r="D208">
        <v>1441819193</v>
      </c>
      <c r="E208">
        <v>15514512</v>
      </c>
      <c r="F208">
        <v>1</v>
      </c>
      <c r="G208">
        <v>15514512</v>
      </c>
      <c r="H208">
        <v>1</v>
      </c>
      <c r="I208" t="s">
        <v>885</v>
      </c>
      <c r="J208" t="s">
        <v>3</v>
      </c>
      <c r="K208" t="s">
        <v>886</v>
      </c>
      <c r="L208">
        <v>1191</v>
      </c>
      <c r="N208">
        <v>1013</v>
      </c>
      <c r="O208" t="s">
        <v>887</v>
      </c>
      <c r="P208" t="s">
        <v>887</v>
      </c>
      <c r="Q208">
        <v>1</v>
      </c>
      <c r="X208">
        <v>7.64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1</v>
      </c>
      <c r="AF208" t="s">
        <v>3</v>
      </c>
      <c r="AG208">
        <v>7.64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ROW(Source!A419)</f>
        <v>419</v>
      </c>
      <c r="B209">
        <v>1472510887</v>
      </c>
      <c r="C209">
        <v>1472496567</v>
      </c>
      <c r="D209">
        <v>1441836235</v>
      </c>
      <c r="E209">
        <v>1</v>
      </c>
      <c r="F209">
        <v>1</v>
      </c>
      <c r="G209">
        <v>15514512</v>
      </c>
      <c r="H209">
        <v>3</v>
      </c>
      <c r="I209" t="s">
        <v>912</v>
      </c>
      <c r="J209" t="s">
        <v>913</v>
      </c>
      <c r="K209" t="s">
        <v>914</v>
      </c>
      <c r="L209">
        <v>1346</v>
      </c>
      <c r="N209">
        <v>1009</v>
      </c>
      <c r="O209" t="s">
        <v>898</v>
      </c>
      <c r="P209" t="s">
        <v>898</v>
      </c>
      <c r="Q209">
        <v>1</v>
      </c>
      <c r="X209">
        <v>0.08</v>
      </c>
      <c r="Y209">
        <v>31.49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0.08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ROW(Source!A419)</f>
        <v>419</v>
      </c>
      <c r="B210">
        <v>1472510888</v>
      </c>
      <c r="C210">
        <v>1472496567</v>
      </c>
      <c r="D210">
        <v>1441821340</v>
      </c>
      <c r="E210">
        <v>15514512</v>
      </c>
      <c r="F210">
        <v>1</v>
      </c>
      <c r="G210">
        <v>15514512</v>
      </c>
      <c r="H210">
        <v>3</v>
      </c>
      <c r="I210" t="s">
        <v>973</v>
      </c>
      <c r="J210" t="s">
        <v>3</v>
      </c>
      <c r="K210" t="s">
        <v>974</v>
      </c>
      <c r="L210">
        <v>1354</v>
      </c>
      <c r="N210">
        <v>16987630</v>
      </c>
      <c r="O210" t="s">
        <v>20</v>
      </c>
      <c r="P210" t="s">
        <v>20</v>
      </c>
      <c r="Q210">
        <v>1</v>
      </c>
      <c r="X210">
        <v>10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 t="s">
        <v>3</v>
      </c>
      <c r="AG210">
        <v>10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ROW(Source!A421)</f>
        <v>421</v>
      </c>
      <c r="B211">
        <v>1472510950</v>
      </c>
      <c r="C211">
        <v>1472496596</v>
      </c>
      <c r="D211">
        <v>1441819193</v>
      </c>
      <c r="E211">
        <v>15514512</v>
      </c>
      <c r="F211">
        <v>1</v>
      </c>
      <c r="G211">
        <v>15514512</v>
      </c>
      <c r="H211">
        <v>1</v>
      </c>
      <c r="I211" t="s">
        <v>885</v>
      </c>
      <c r="J211" t="s">
        <v>3</v>
      </c>
      <c r="K211" t="s">
        <v>886</v>
      </c>
      <c r="L211">
        <v>1191</v>
      </c>
      <c r="N211">
        <v>1013</v>
      </c>
      <c r="O211" t="s">
        <v>887</v>
      </c>
      <c r="P211" t="s">
        <v>887</v>
      </c>
      <c r="Q211">
        <v>1</v>
      </c>
      <c r="X211">
        <v>1.17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1</v>
      </c>
      <c r="AF211" t="s">
        <v>3</v>
      </c>
      <c r="AG211">
        <v>1.17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ROW(Source!A423)</f>
        <v>423</v>
      </c>
      <c r="B212">
        <v>1472510998</v>
      </c>
      <c r="C212">
        <v>1472496610</v>
      </c>
      <c r="D212">
        <v>1441819193</v>
      </c>
      <c r="E212">
        <v>15514512</v>
      </c>
      <c r="F212">
        <v>1</v>
      </c>
      <c r="G212">
        <v>15514512</v>
      </c>
      <c r="H212">
        <v>1</v>
      </c>
      <c r="I212" t="s">
        <v>885</v>
      </c>
      <c r="J212" t="s">
        <v>3</v>
      </c>
      <c r="K212" t="s">
        <v>886</v>
      </c>
      <c r="L212">
        <v>1191</v>
      </c>
      <c r="N212">
        <v>1013</v>
      </c>
      <c r="O212" t="s">
        <v>887</v>
      </c>
      <c r="P212" t="s">
        <v>887</v>
      </c>
      <c r="Q212">
        <v>1</v>
      </c>
      <c r="X212">
        <v>0.9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1</v>
      </c>
      <c r="AF212" t="s">
        <v>3</v>
      </c>
      <c r="AG212">
        <v>0.9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ROW(Source!A423)</f>
        <v>423</v>
      </c>
      <c r="B213">
        <v>1472510999</v>
      </c>
      <c r="C213">
        <v>1472496610</v>
      </c>
      <c r="D213">
        <v>1441836235</v>
      </c>
      <c r="E213">
        <v>1</v>
      </c>
      <c r="F213">
        <v>1</v>
      </c>
      <c r="G213">
        <v>15514512</v>
      </c>
      <c r="H213">
        <v>3</v>
      </c>
      <c r="I213" t="s">
        <v>912</v>
      </c>
      <c r="J213" t="s">
        <v>913</v>
      </c>
      <c r="K213" t="s">
        <v>914</v>
      </c>
      <c r="L213">
        <v>1346</v>
      </c>
      <c r="N213">
        <v>1009</v>
      </c>
      <c r="O213" t="s">
        <v>898</v>
      </c>
      <c r="P213" t="s">
        <v>898</v>
      </c>
      <c r="Q213">
        <v>1</v>
      </c>
      <c r="X213">
        <v>0.01</v>
      </c>
      <c r="Y213">
        <v>31.49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0.01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ROW(Source!A424)</f>
        <v>424</v>
      </c>
      <c r="B214">
        <v>1472511000</v>
      </c>
      <c r="C214">
        <v>1472496619</v>
      </c>
      <c r="D214">
        <v>1441819193</v>
      </c>
      <c r="E214">
        <v>15514512</v>
      </c>
      <c r="F214">
        <v>1</v>
      </c>
      <c r="G214">
        <v>15514512</v>
      </c>
      <c r="H214">
        <v>1</v>
      </c>
      <c r="I214" t="s">
        <v>885</v>
      </c>
      <c r="J214" t="s">
        <v>3</v>
      </c>
      <c r="K214" t="s">
        <v>886</v>
      </c>
      <c r="L214">
        <v>1191</v>
      </c>
      <c r="N214">
        <v>1013</v>
      </c>
      <c r="O214" t="s">
        <v>887</v>
      </c>
      <c r="P214" t="s">
        <v>887</v>
      </c>
      <c r="Q214">
        <v>1</v>
      </c>
      <c r="X214">
        <v>0.31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1</v>
      </c>
      <c r="AF214" t="s">
        <v>28</v>
      </c>
      <c r="AG214">
        <v>0.62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ROW(Source!A424)</f>
        <v>424</v>
      </c>
      <c r="B215">
        <v>1472511001</v>
      </c>
      <c r="C215">
        <v>1472496619</v>
      </c>
      <c r="D215">
        <v>1441836187</v>
      </c>
      <c r="E215">
        <v>1</v>
      </c>
      <c r="F215">
        <v>1</v>
      </c>
      <c r="G215">
        <v>15514512</v>
      </c>
      <c r="H215">
        <v>3</v>
      </c>
      <c r="I215" t="s">
        <v>909</v>
      </c>
      <c r="J215" t="s">
        <v>910</v>
      </c>
      <c r="K215" t="s">
        <v>911</v>
      </c>
      <c r="L215">
        <v>1346</v>
      </c>
      <c r="N215">
        <v>1009</v>
      </c>
      <c r="O215" t="s">
        <v>898</v>
      </c>
      <c r="P215" t="s">
        <v>898</v>
      </c>
      <c r="Q215">
        <v>1</v>
      </c>
      <c r="X215">
        <v>8.0000000000000002E-3</v>
      </c>
      <c r="Y215">
        <v>424.66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28</v>
      </c>
      <c r="AG215">
        <v>1.6E-2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ROW(Source!A424)</f>
        <v>424</v>
      </c>
      <c r="B216">
        <v>1472511002</v>
      </c>
      <c r="C216">
        <v>1472496619</v>
      </c>
      <c r="D216">
        <v>1441836235</v>
      </c>
      <c r="E216">
        <v>1</v>
      </c>
      <c r="F216">
        <v>1</v>
      </c>
      <c r="G216">
        <v>15514512</v>
      </c>
      <c r="H216">
        <v>3</v>
      </c>
      <c r="I216" t="s">
        <v>912</v>
      </c>
      <c r="J216" t="s">
        <v>913</v>
      </c>
      <c r="K216" t="s">
        <v>914</v>
      </c>
      <c r="L216">
        <v>1346</v>
      </c>
      <c r="N216">
        <v>1009</v>
      </c>
      <c r="O216" t="s">
        <v>898</v>
      </c>
      <c r="P216" t="s">
        <v>898</v>
      </c>
      <c r="Q216">
        <v>1</v>
      </c>
      <c r="X216">
        <v>0.5</v>
      </c>
      <c r="Y216">
        <v>31.49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28</v>
      </c>
      <c r="AG216">
        <v>1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ROW(Source!A425)</f>
        <v>425</v>
      </c>
      <c r="B217">
        <v>1472511025</v>
      </c>
      <c r="C217">
        <v>1472496634</v>
      </c>
      <c r="D217">
        <v>1441819193</v>
      </c>
      <c r="E217">
        <v>15514512</v>
      </c>
      <c r="F217">
        <v>1</v>
      </c>
      <c r="G217">
        <v>15514512</v>
      </c>
      <c r="H217">
        <v>1</v>
      </c>
      <c r="I217" t="s">
        <v>885</v>
      </c>
      <c r="J217" t="s">
        <v>3</v>
      </c>
      <c r="K217" t="s">
        <v>886</v>
      </c>
      <c r="L217">
        <v>1191</v>
      </c>
      <c r="N217">
        <v>1013</v>
      </c>
      <c r="O217" t="s">
        <v>887</v>
      </c>
      <c r="P217" t="s">
        <v>887</v>
      </c>
      <c r="Q217">
        <v>1</v>
      </c>
      <c r="X217">
        <v>0.61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1</v>
      </c>
      <c r="AF217" t="s">
        <v>3</v>
      </c>
      <c r="AG217">
        <v>0.61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ROW(Source!A426)</f>
        <v>426</v>
      </c>
      <c r="B218">
        <v>1472511053</v>
      </c>
      <c r="C218">
        <v>1472496643</v>
      </c>
      <c r="D218">
        <v>1441819193</v>
      </c>
      <c r="E218">
        <v>15514512</v>
      </c>
      <c r="F218">
        <v>1</v>
      </c>
      <c r="G218">
        <v>15514512</v>
      </c>
      <c r="H218">
        <v>1</v>
      </c>
      <c r="I218" t="s">
        <v>885</v>
      </c>
      <c r="J218" t="s">
        <v>3</v>
      </c>
      <c r="K218" t="s">
        <v>886</v>
      </c>
      <c r="L218">
        <v>1191</v>
      </c>
      <c r="N218">
        <v>1013</v>
      </c>
      <c r="O218" t="s">
        <v>887</v>
      </c>
      <c r="P218" t="s">
        <v>887</v>
      </c>
      <c r="Q218">
        <v>1</v>
      </c>
      <c r="X218">
        <v>0.92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3</v>
      </c>
      <c r="AG218">
        <v>0.92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ROW(Source!A428)</f>
        <v>428</v>
      </c>
      <c r="B219">
        <v>1472511097</v>
      </c>
      <c r="C219">
        <v>1472496658</v>
      </c>
      <c r="D219">
        <v>1441819193</v>
      </c>
      <c r="E219">
        <v>15514512</v>
      </c>
      <c r="F219">
        <v>1</v>
      </c>
      <c r="G219">
        <v>15514512</v>
      </c>
      <c r="H219">
        <v>1</v>
      </c>
      <c r="I219" t="s">
        <v>885</v>
      </c>
      <c r="J219" t="s">
        <v>3</v>
      </c>
      <c r="K219" t="s">
        <v>886</v>
      </c>
      <c r="L219">
        <v>1191</v>
      </c>
      <c r="N219">
        <v>1013</v>
      </c>
      <c r="O219" t="s">
        <v>887</v>
      </c>
      <c r="P219" t="s">
        <v>887</v>
      </c>
      <c r="Q219">
        <v>1</v>
      </c>
      <c r="X219">
        <v>0.45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1</v>
      </c>
      <c r="AF219" t="s">
        <v>3</v>
      </c>
      <c r="AG219">
        <v>0.45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ROW(Source!A429)</f>
        <v>429</v>
      </c>
      <c r="B220">
        <v>1472511131</v>
      </c>
      <c r="C220">
        <v>1472496667</v>
      </c>
      <c r="D220">
        <v>1441819193</v>
      </c>
      <c r="E220">
        <v>15514512</v>
      </c>
      <c r="F220">
        <v>1</v>
      </c>
      <c r="G220">
        <v>15514512</v>
      </c>
      <c r="H220">
        <v>1</v>
      </c>
      <c r="I220" t="s">
        <v>885</v>
      </c>
      <c r="J220" t="s">
        <v>3</v>
      </c>
      <c r="K220" t="s">
        <v>886</v>
      </c>
      <c r="L220">
        <v>1191</v>
      </c>
      <c r="N220">
        <v>1013</v>
      </c>
      <c r="O220" t="s">
        <v>887</v>
      </c>
      <c r="P220" t="s">
        <v>887</v>
      </c>
      <c r="Q220">
        <v>1</v>
      </c>
      <c r="X220">
        <v>0.92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1</v>
      </c>
      <c r="AF220" t="s">
        <v>3</v>
      </c>
      <c r="AG220">
        <v>0.92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ROW(Source!A430)</f>
        <v>430</v>
      </c>
      <c r="B221">
        <v>1472511169</v>
      </c>
      <c r="C221">
        <v>1472496691</v>
      </c>
      <c r="D221">
        <v>1441819193</v>
      </c>
      <c r="E221">
        <v>15514512</v>
      </c>
      <c r="F221">
        <v>1</v>
      </c>
      <c r="G221">
        <v>15514512</v>
      </c>
      <c r="H221">
        <v>1</v>
      </c>
      <c r="I221" t="s">
        <v>885</v>
      </c>
      <c r="J221" t="s">
        <v>3</v>
      </c>
      <c r="K221" t="s">
        <v>886</v>
      </c>
      <c r="L221">
        <v>1191</v>
      </c>
      <c r="N221">
        <v>1013</v>
      </c>
      <c r="O221" t="s">
        <v>887</v>
      </c>
      <c r="P221" t="s">
        <v>887</v>
      </c>
      <c r="Q221">
        <v>1</v>
      </c>
      <c r="X221">
        <v>1.17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1</v>
      </c>
      <c r="AF221" t="s">
        <v>3</v>
      </c>
      <c r="AG221">
        <v>1.17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ROW(Source!A432)</f>
        <v>432</v>
      </c>
      <c r="B222">
        <v>1472511208</v>
      </c>
      <c r="C222">
        <v>1472496697</v>
      </c>
      <c r="D222">
        <v>1441819193</v>
      </c>
      <c r="E222">
        <v>15514512</v>
      </c>
      <c r="F222">
        <v>1</v>
      </c>
      <c r="G222">
        <v>15514512</v>
      </c>
      <c r="H222">
        <v>1</v>
      </c>
      <c r="I222" t="s">
        <v>885</v>
      </c>
      <c r="J222" t="s">
        <v>3</v>
      </c>
      <c r="K222" t="s">
        <v>886</v>
      </c>
      <c r="L222">
        <v>1191</v>
      </c>
      <c r="N222">
        <v>1013</v>
      </c>
      <c r="O222" t="s">
        <v>887</v>
      </c>
      <c r="P222" t="s">
        <v>887</v>
      </c>
      <c r="Q222">
        <v>1</v>
      </c>
      <c r="X222">
        <v>0.9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1</v>
      </c>
      <c r="AF222" t="s">
        <v>3</v>
      </c>
      <c r="AG222">
        <v>0.9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ROW(Source!A432)</f>
        <v>432</v>
      </c>
      <c r="B223">
        <v>1472511210</v>
      </c>
      <c r="C223">
        <v>1472496697</v>
      </c>
      <c r="D223">
        <v>1441836235</v>
      </c>
      <c r="E223">
        <v>1</v>
      </c>
      <c r="F223">
        <v>1</v>
      </c>
      <c r="G223">
        <v>15514512</v>
      </c>
      <c r="H223">
        <v>3</v>
      </c>
      <c r="I223" t="s">
        <v>912</v>
      </c>
      <c r="J223" t="s">
        <v>913</v>
      </c>
      <c r="K223" t="s">
        <v>914</v>
      </c>
      <c r="L223">
        <v>1346</v>
      </c>
      <c r="N223">
        <v>1009</v>
      </c>
      <c r="O223" t="s">
        <v>898</v>
      </c>
      <c r="P223" t="s">
        <v>898</v>
      </c>
      <c r="Q223">
        <v>1</v>
      </c>
      <c r="X223">
        <v>0.01</v>
      </c>
      <c r="Y223">
        <v>31.49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3</v>
      </c>
      <c r="AG223">
        <v>0.01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ROW(Source!A433)</f>
        <v>433</v>
      </c>
      <c r="B224">
        <v>1472511228</v>
      </c>
      <c r="C224">
        <v>1472496716</v>
      </c>
      <c r="D224">
        <v>1441819193</v>
      </c>
      <c r="E224">
        <v>15514512</v>
      </c>
      <c r="F224">
        <v>1</v>
      </c>
      <c r="G224">
        <v>15514512</v>
      </c>
      <c r="H224">
        <v>1</v>
      </c>
      <c r="I224" t="s">
        <v>885</v>
      </c>
      <c r="J224" t="s">
        <v>3</v>
      </c>
      <c r="K224" t="s">
        <v>886</v>
      </c>
      <c r="L224">
        <v>1191</v>
      </c>
      <c r="N224">
        <v>1013</v>
      </c>
      <c r="O224" t="s">
        <v>887</v>
      </c>
      <c r="P224" t="s">
        <v>887</v>
      </c>
      <c r="Q224">
        <v>1</v>
      </c>
      <c r="X224">
        <v>0.31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1</v>
      </c>
      <c r="AF224" t="s">
        <v>28</v>
      </c>
      <c r="AG224">
        <v>0.62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ROW(Source!A433)</f>
        <v>433</v>
      </c>
      <c r="B225">
        <v>1472511229</v>
      </c>
      <c r="C225">
        <v>1472496716</v>
      </c>
      <c r="D225">
        <v>1441836187</v>
      </c>
      <c r="E225">
        <v>1</v>
      </c>
      <c r="F225">
        <v>1</v>
      </c>
      <c r="G225">
        <v>15514512</v>
      </c>
      <c r="H225">
        <v>3</v>
      </c>
      <c r="I225" t="s">
        <v>909</v>
      </c>
      <c r="J225" t="s">
        <v>910</v>
      </c>
      <c r="K225" t="s">
        <v>911</v>
      </c>
      <c r="L225">
        <v>1346</v>
      </c>
      <c r="N225">
        <v>1009</v>
      </c>
      <c r="O225" t="s">
        <v>898</v>
      </c>
      <c r="P225" t="s">
        <v>898</v>
      </c>
      <c r="Q225">
        <v>1</v>
      </c>
      <c r="X225">
        <v>8.0000000000000002E-3</v>
      </c>
      <c r="Y225">
        <v>424.66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28</v>
      </c>
      <c r="AG225">
        <v>1.6E-2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ROW(Source!A433)</f>
        <v>433</v>
      </c>
      <c r="B226">
        <v>1472511230</v>
      </c>
      <c r="C226">
        <v>1472496716</v>
      </c>
      <c r="D226">
        <v>1441836235</v>
      </c>
      <c r="E226">
        <v>1</v>
      </c>
      <c r="F226">
        <v>1</v>
      </c>
      <c r="G226">
        <v>15514512</v>
      </c>
      <c r="H226">
        <v>3</v>
      </c>
      <c r="I226" t="s">
        <v>912</v>
      </c>
      <c r="J226" t="s">
        <v>913</v>
      </c>
      <c r="K226" t="s">
        <v>914</v>
      </c>
      <c r="L226">
        <v>1346</v>
      </c>
      <c r="N226">
        <v>1009</v>
      </c>
      <c r="O226" t="s">
        <v>898</v>
      </c>
      <c r="P226" t="s">
        <v>898</v>
      </c>
      <c r="Q226">
        <v>1</v>
      </c>
      <c r="X226">
        <v>0.5</v>
      </c>
      <c r="Y226">
        <v>31.49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28</v>
      </c>
      <c r="AG226">
        <v>1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ROW(Source!A434)</f>
        <v>434</v>
      </c>
      <c r="B227">
        <v>1472511256</v>
      </c>
      <c r="C227">
        <v>1472496763</v>
      </c>
      <c r="D227">
        <v>1441819193</v>
      </c>
      <c r="E227">
        <v>15514512</v>
      </c>
      <c r="F227">
        <v>1</v>
      </c>
      <c r="G227">
        <v>15514512</v>
      </c>
      <c r="H227">
        <v>1</v>
      </c>
      <c r="I227" t="s">
        <v>885</v>
      </c>
      <c r="J227" t="s">
        <v>3</v>
      </c>
      <c r="K227" t="s">
        <v>886</v>
      </c>
      <c r="L227">
        <v>1191</v>
      </c>
      <c r="N227">
        <v>1013</v>
      </c>
      <c r="O227" t="s">
        <v>887</v>
      </c>
      <c r="P227" t="s">
        <v>887</v>
      </c>
      <c r="Q227">
        <v>1</v>
      </c>
      <c r="X227">
        <v>0.9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1</v>
      </c>
      <c r="AF227" t="s">
        <v>106</v>
      </c>
      <c r="AG227">
        <v>3.6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ROW(Source!A435)</f>
        <v>435</v>
      </c>
      <c r="B228">
        <v>1472511277</v>
      </c>
      <c r="C228">
        <v>1472496776</v>
      </c>
      <c r="D228">
        <v>1441819193</v>
      </c>
      <c r="E228">
        <v>15514512</v>
      </c>
      <c r="F228">
        <v>1</v>
      </c>
      <c r="G228">
        <v>15514512</v>
      </c>
      <c r="H228">
        <v>1</v>
      </c>
      <c r="I228" t="s">
        <v>885</v>
      </c>
      <c r="J228" t="s">
        <v>3</v>
      </c>
      <c r="K228" t="s">
        <v>886</v>
      </c>
      <c r="L228">
        <v>1191</v>
      </c>
      <c r="N228">
        <v>1013</v>
      </c>
      <c r="O228" t="s">
        <v>887</v>
      </c>
      <c r="P228" t="s">
        <v>887</v>
      </c>
      <c r="Q228">
        <v>1</v>
      </c>
      <c r="X228">
        <v>2.64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1</v>
      </c>
      <c r="AF228" t="s">
        <v>106</v>
      </c>
      <c r="AG228">
        <v>10.56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ROW(Source!A436)</f>
        <v>436</v>
      </c>
      <c r="B229">
        <v>1472511290</v>
      </c>
      <c r="C229">
        <v>1472496780</v>
      </c>
      <c r="D229">
        <v>1441819193</v>
      </c>
      <c r="E229">
        <v>15514512</v>
      </c>
      <c r="F229">
        <v>1</v>
      </c>
      <c r="G229">
        <v>15514512</v>
      </c>
      <c r="H229">
        <v>1</v>
      </c>
      <c r="I229" t="s">
        <v>885</v>
      </c>
      <c r="J229" t="s">
        <v>3</v>
      </c>
      <c r="K229" t="s">
        <v>886</v>
      </c>
      <c r="L229">
        <v>1191</v>
      </c>
      <c r="N229">
        <v>1013</v>
      </c>
      <c r="O229" t="s">
        <v>887</v>
      </c>
      <c r="P229" t="s">
        <v>887</v>
      </c>
      <c r="Q229">
        <v>1</v>
      </c>
      <c r="X229">
        <v>0.78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1</v>
      </c>
      <c r="AF229" t="s">
        <v>106</v>
      </c>
      <c r="AG229">
        <v>3.12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ROW(Source!A437)</f>
        <v>437</v>
      </c>
      <c r="B230">
        <v>1472511309</v>
      </c>
      <c r="C230">
        <v>1472496784</v>
      </c>
      <c r="D230">
        <v>1441819193</v>
      </c>
      <c r="E230">
        <v>15514512</v>
      </c>
      <c r="F230">
        <v>1</v>
      </c>
      <c r="G230">
        <v>15514512</v>
      </c>
      <c r="H230">
        <v>1</v>
      </c>
      <c r="I230" t="s">
        <v>885</v>
      </c>
      <c r="J230" t="s">
        <v>3</v>
      </c>
      <c r="K230" t="s">
        <v>886</v>
      </c>
      <c r="L230">
        <v>1191</v>
      </c>
      <c r="N230">
        <v>1013</v>
      </c>
      <c r="O230" t="s">
        <v>887</v>
      </c>
      <c r="P230" t="s">
        <v>887</v>
      </c>
      <c r="Q230">
        <v>1</v>
      </c>
      <c r="X230">
        <v>2.2400000000000002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1</v>
      </c>
      <c r="AF230" t="s">
        <v>106</v>
      </c>
      <c r="AG230">
        <v>8.9600000000000009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ROW(Source!A438)</f>
        <v>438</v>
      </c>
      <c r="B231">
        <v>1472511337</v>
      </c>
      <c r="C231">
        <v>1472496790</v>
      </c>
      <c r="D231">
        <v>1441819193</v>
      </c>
      <c r="E231">
        <v>15514512</v>
      </c>
      <c r="F231">
        <v>1</v>
      </c>
      <c r="G231">
        <v>15514512</v>
      </c>
      <c r="H231">
        <v>1</v>
      </c>
      <c r="I231" t="s">
        <v>885</v>
      </c>
      <c r="J231" t="s">
        <v>3</v>
      </c>
      <c r="K231" t="s">
        <v>886</v>
      </c>
      <c r="L231">
        <v>1191</v>
      </c>
      <c r="N231">
        <v>1013</v>
      </c>
      <c r="O231" t="s">
        <v>887</v>
      </c>
      <c r="P231" t="s">
        <v>887</v>
      </c>
      <c r="Q231">
        <v>1</v>
      </c>
      <c r="X231">
        <v>10.64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1</v>
      </c>
      <c r="AF231" t="s">
        <v>3</v>
      </c>
      <c r="AG231">
        <v>10.64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ROW(Source!A438)</f>
        <v>438</v>
      </c>
      <c r="B232">
        <v>1472511338</v>
      </c>
      <c r="C232">
        <v>1472496790</v>
      </c>
      <c r="D232">
        <v>1441833890</v>
      </c>
      <c r="E232">
        <v>1</v>
      </c>
      <c r="F232">
        <v>1</v>
      </c>
      <c r="G232">
        <v>15514512</v>
      </c>
      <c r="H232">
        <v>2</v>
      </c>
      <c r="I232" t="s">
        <v>959</v>
      </c>
      <c r="J232" t="s">
        <v>960</v>
      </c>
      <c r="K232" t="s">
        <v>961</v>
      </c>
      <c r="L232">
        <v>1368</v>
      </c>
      <c r="N232">
        <v>1011</v>
      </c>
      <c r="O232" t="s">
        <v>895</v>
      </c>
      <c r="P232" t="s">
        <v>895</v>
      </c>
      <c r="Q232">
        <v>1</v>
      </c>
      <c r="X232">
        <v>1.5</v>
      </c>
      <c r="Y232">
        <v>0</v>
      </c>
      <c r="Z232">
        <v>33.799999999999997</v>
      </c>
      <c r="AA232">
        <v>0.54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1.5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ROW(Source!A438)</f>
        <v>438</v>
      </c>
      <c r="B233">
        <v>1472511339</v>
      </c>
      <c r="C233">
        <v>1472496790</v>
      </c>
      <c r="D233">
        <v>1441836514</v>
      </c>
      <c r="E233">
        <v>1</v>
      </c>
      <c r="F233">
        <v>1</v>
      </c>
      <c r="G233">
        <v>15514512</v>
      </c>
      <c r="H233">
        <v>3</v>
      </c>
      <c r="I233" t="s">
        <v>888</v>
      </c>
      <c r="J233" t="s">
        <v>889</v>
      </c>
      <c r="K233" t="s">
        <v>890</v>
      </c>
      <c r="L233">
        <v>1339</v>
      </c>
      <c r="N233">
        <v>1007</v>
      </c>
      <c r="O233" t="s">
        <v>891</v>
      </c>
      <c r="P233" t="s">
        <v>891</v>
      </c>
      <c r="Q233">
        <v>1</v>
      </c>
      <c r="X233">
        <v>1</v>
      </c>
      <c r="Y233">
        <v>54.81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1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ROW(Source!A438)</f>
        <v>438</v>
      </c>
      <c r="B234">
        <v>1472511340</v>
      </c>
      <c r="C234">
        <v>1472496790</v>
      </c>
      <c r="D234">
        <v>1441836517</v>
      </c>
      <c r="E234">
        <v>1</v>
      </c>
      <c r="F234">
        <v>1</v>
      </c>
      <c r="G234">
        <v>15514512</v>
      </c>
      <c r="H234">
        <v>3</v>
      </c>
      <c r="I234" t="s">
        <v>962</v>
      </c>
      <c r="J234" t="s">
        <v>963</v>
      </c>
      <c r="K234" t="s">
        <v>964</v>
      </c>
      <c r="L234">
        <v>1346</v>
      </c>
      <c r="N234">
        <v>1009</v>
      </c>
      <c r="O234" t="s">
        <v>898</v>
      </c>
      <c r="P234" t="s">
        <v>898</v>
      </c>
      <c r="Q234">
        <v>1</v>
      </c>
      <c r="X234">
        <v>0.02</v>
      </c>
      <c r="Y234">
        <v>451.28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0.02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ROW(Source!A438)</f>
        <v>438</v>
      </c>
      <c r="B235">
        <v>1472511343</v>
      </c>
      <c r="C235">
        <v>1472496790</v>
      </c>
      <c r="D235">
        <v>1441821379</v>
      </c>
      <c r="E235">
        <v>15514512</v>
      </c>
      <c r="F235">
        <v>1</v>
      </c>
      <c r="G235">
        <v>15514512</v>
      </c>
      <c r="H235">
        <v>3</v>
      </c>
      <c r="I235" t="s">
        <v>965</v>
      </c>
      <c r="J235" t="s">
        <v>3</v>
      </c>
      <c r="K235" t="s">
        <v>966</v>
      </c>
      <c r="L235">
        <v>1346</v>
      </c>
      <c r="N235">
        <v>1009</v>
      </c>
      <c r="O235" t="s">
        <v>898</v>
      </c>
      <c r="P235" t="s">
        <v>898</v>
      </c>
      <c r="Q235">
        <v>1</v>
      </c>
      <c r="X235">
        <v>0.05</v>
      </c>
      <c r="Y235">
        <v>89.933959999999999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3</v>
      </c>
      <c r="AG235">
        <v>0.05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ROW(Source!A438)</f>
        <v>438</v>
      </c>
      <c r="B236">
        <v>1472511342</v>
      </c>
      <c r="C236">
        <v>1472496790</v>
      </c>
      <c r="D236">
        <v>1441834875</v>
      </c>
      <c r="E236">
        <v>1</v>
      </c>
      <c r="F236">
        <v>1</v>
      </c>
      <c r="G236">
        <v>15514512</v>
      </c>
      <c r="H236">
        <v>3</v>
      </c>
      <c r="I236" t="s">
        <v>967</v>
      </c>
      <c r="J236" t="s">
        <v>968</v>
      </c>
      <c r="K236" t="s">
        <v>969</v>
      </c>
      <c r="L236">
        <v>1346</v>
      </c>
      <c r="N236">
        <v>1009</v>
      </c>
      <c r="O236" t="s">
        <v>898</v>
      </c>
      <c r="P236" t="s">
        <v>898</v>
      </c>
      <c r="Q236">
        <v>1</v>
      </c>
      <c r="X236">
        <v>0.02</v>
      </c>
      <c r="Y236">
        <v>94.64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0.02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ROW(Source!A439)</f>
        <v>439</v>
      </c>
      <c r="B237">
        <v>1472511353</v>
      </c>
      <c r="C237">
        <v>1472496798</v>
      </c>
      <c r="D237">
        <v>1441819193</v>
      </c>
      <c r="E237">
        <v>15514512</v>
      </c>
      <c r="F237">
        <v>1</v>
      </c>
      <c r="G237">
        <v>15514512</v>
      </c>
      <c r="H237">
        <v>1</v>
      </c>
      <c r="I237" t="s">
        <v>885</v>
      </c>
      <c r="J237" t="s">
        <v>3</v>
      </c>
      <c r="K237" t="s">
        <v>886</v>
      </c>
      <c r="L237">
        <v>1191</v>
      </c>
      <c r="N237">
        <v>1013</v>
      </c>
      <c r="O237" t="s">
        <v>887</v>
      </c>
      <c r="P237" t="s">
        <v>887</v>
      </c>
      <c r="Q237">
        <v>1</v>
      </c>
      <c r="X237">
        <v>10.64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1</v>
      </c>
      <c r="AF237" t="s">
        <v>3</v>
      </c>
      <c r="AG237">
        <v>10.64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ROW(Source!A439)</f>
        <v>439</v>
      </c>
      <c r="B238">
        <v>1472511354</v>
      </c>
      <c r="C238">
        <v>1472496798</v>
      </c>
      <c r="D238">
        <v>1441833890</v>
      </c>
      <c r="E238">
        <v>1</v>
      </c>
      <c r="F238">
        <v>1</v>
      </c>
      <c r="G238">
        <v>15514512</v>
      </c>
      <c r="H238">
        <v>2</v>
      </c>
      <c r="I238" t="s">
        <v>959</v>
      </c>
      <c r="J238" t="s">
        <v>960</v>
      </c>
      <c r="K238" t="s">
        <v>961</v>
      </c>
      <c r="L238">
        <v>1368</v>
      </c>
      <c r="N238">
        <v>1011</v>
      </c>
      <c r="O238" t="s">
        <v>895</v>
      </c>
      <c r="P238" t="s">
        <v>895</v>
      </c>
      <c r="Q238">
        <v>1</v>
      </c>
      <c r="X238">
        <v>1.5</v>
      </c>
      <c r="Y238">
        <v>0</v>
      </c>
      <c r="Z238">
        <v>33.799999999999997</v>
      </c>
      <c r="AA238">
        <v>0.54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1.5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ROW(Source!A439)</f>
        <v>439</v>
      </c>
      <c r="B239">
        <v>1472511355</v>
      </c>
      <c r="C239">
        <v>1472496798</v>
      </c>
      <c r="D239">
        <v>1441836514</v>
      </c>
      <c r="E239">
        <v>1</v>
      </c>
      <c r="F239">
        <v>1</v>
      </c>
      <c r="G239">
        <v>15514512</v>
      </c>
      <c r="H239">
        <v>3</v>
      </c>
      <c r="I239" t="s">
        <v>888</v>
      </c>
      <c r="J239" t="s">
        <v>889</v>
      </c>
      <c r="K239" t="s">
        <v>890</v>
      </c>
      <c r="L239">
        <v>1339</v>
      </c>
      <c r="N239">
        <v>1007</v>
      </c>
      <c r="O239" t="s">
        <v>891</v>
      </c>
      <c r="P239" t="s">
        <v>891</v>
      </c>
      <c r="Q239">
        <v>1</v>
      </c>
      <c r="X239">
        <v>3.8</v>
      </c>
      <c r="Y239">
        <v>54.81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3.8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ROW(Source!A439)</f>
        <v>439</v>
      </c>
      <c r="B240">
        <v>1472511356</v>
      </c>
      <c r="C240">
        <v>1472496798</v>
      </c>
      <c r="D240">
        <v>1441836517</v>
      </c>
      <c r="E240">
        <v>1</v>
      </c>
      <c r="F240">
        <v>1</v>
      </c>
      <c r="G240">
        <v>15514512</v>
      </c>
      <c r="H240">
        <v>3</v>
      </c>
      <c r="I240" t="s">
        <v>962</v>
      </c>
      <c r="J240" t="s">
        <v>963</v>
      </c>
      <c r="K240" t="s">
        <v>964</v>
      </c>
      <c r="L240">
        <v>1346</v>
      </c>
      <c r="N240">
        <v>1009</v>
      </c>
      <c r="O240" t="s">
        <v>898</v>
      </c>
      <c r="P240" t="s">
        <v>898</v>
      </c>
      <c r="Q240">
        <v>1</v>
      </c>
      <c r="X240">
        <v>0.02</v>
      </c>
      <c r="Y240">
        <v>451.28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</v>
      </c>
      <c r="AG240">
        <v>0.02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ROW(Source!A439)</f>
        <v>439</v>
      </c>
      <c r="B241">
        <v>1472511358</v>
      </c>
      <c r="C241">
        <v>1472496798</v>
      </c>
      <c r="D241">
        <v>1441821379</v>
      </c>
      <c r="E241">
        <v>15514512</v>
      </c>
      <c r="F241">
        <v>1</v>
      </c>
      <c r="G241">
        <v>15514512</v>
      </c>
      <c r="H241">
        <v>3</v>
      </c>
      <c r="I241" t="s">
        <v>965</v>
      </c>
      <c r="J241" t="s">
        <v>3</v>
      </c>
      <c r="K241" t="s">
        <v>966</v>
      </c>
      <c r="L241">
        <v>1346</v>
      </c>
      <c r="N241">
        <v>1009</v>
      </c>
      <c r="O241" t="s">
        <v>898</v>
      </c>
      <c r="P241" t="s">
        <v>898</v>
      </c>
      <c r="Q241">
        <v>1</v>
      </c>
      <c r="X241">
        <v>0.05</v>
      </c>
      <c r="Y241">
        <v>89.933959999999999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0</v>
      </c>
      <c r="AF241" t="s">
        <v>3</v>
      </c>
      <c r="AG241">
        <v>0.05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ROW(Source!A439)</f>
        <v>439</v>
      </c>
      <c r="B242">
        <v>1472511357</v>
      </c>
      <c r="C242">
        <v>1472496798</v>
      </c>
      <c r="D242">
        <v>1441834875</v>
      </c>
      <c r="E242">
        <v>1</v>
      </c>
      <c r="F242">
        <v>1</v>
      </c>
      <c r="G242">
        <v>15514512</v>
      </c>
      <c r="H242">
        <v>3</v>
      </c>
      <c r="I242" t="s">
        <v>967</v>
      </c>
      <c r="J242" t="s">
        <v>968</v>
      </c>
      <c r="K242" t="s">
        <v>969</v>
      </c>
      <c r="L242">
        <v>1346</v>
      </c>
      <c r="N242">
        <v>1009</v>
      </c>
      <c r="O242" t="s">
        <v>898</v>
      </c>
      <c r="P242" t="s">
        <v>898</v>
      </c>
      <c r="Q242">
        <v>1</v>
      </c>
      <c r="X242">
        <v>0.02</v>
      </c>
      <c r="Y242">
        <v>94.64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3</v>
      </c>
      <c r="AG242">
        <v>0.02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ROW(Source!A440)</f>
        <v>440</v>
      </c>
      <c r="B243">
        <v>1472511366</v>
      </c>
      <c r="C243">
        <v>1472496807</v>
      </c>
      <c r="D243">
        <v>1441819193</v>
      </c>
      <c r="E243">
        <v>15514512</v>
      </c>
      <c r="F243">
        <v>1</v>
      </c>
      <c r="G243">
        <v>15514512</v>
      </c>
      <c r="H243">
        <v>1</v>
      </c>
      <c r="I243" t="s">
        <v>885</v>
      </c>
      <c r="J243" t="s">
        <v>3</v>
      </c>
      <c r="K243" t="s">
        <v>886</v>
      </c>
      <c r="L243">
        <v>1191</v>
      </c>
      <c r="N243">
        <v>1013</v>
      </c>
      <c r="O243" t="s">
        <v>887</v>
      </c>
      <c r="P243" t="s">
        <v>887</v>
      </c>
      <c r="Q243">
        <v>1</v>
      </c>
      <c r="X243">
        <v>10.64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1</v>
      </c>
      <c r="AF243" t="s">
        <v>3</v>
      </c>
      <c r="AG243">
        <v>10.64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ROW(Source!A440)</f>
        <v>440</v>
      </c>
      <c r="B244">
        <v>1472511367</v>
      </c>
      <c r="C244">
        <v>1472496807</v>
      </c>
      <c r="D244">
        <v>1441833890</v>
      </c>
      <c r="E244">
        <v>1</v>
      </c>
      <c r="F244">
        <v>1</v>
      </c>
      <c r="G244">
        <v>15514512</v>
      </c>
      <c r="H244">
        <v>2</v>
      </c>
      <c r="I244" t="s">
        <v>959</v>
      </c>
      <c r="J244" t="s">
        <v>960</v>
      </c>
      <c r="K244" t="s">
        <v>961</v>
      </c>
      <c r="L244">
        <v>1368</v>
      </c>
      <c r="N244">
        <v>1011</v>
      </c>
      <c r="O244" t="s">
        <v>895</v>
      </c>
      <c r="P244" t="s">
        <v>895</v>
      </c>
      <c r="Q244">
        <v>1</v>
      </c>
      <c r="X244">
        <v>1.5</v>
      </c>
      <c r="Y244">
        <v>0</v>
      </c>
      <c r="Z244">
        <v>33.799999999999997</v>
      </c>
      <c r="AA244">
        <v>0.54</v>
      </c>
      <c r="AB244">
        <v>0</v>
      </c>
      <c r="AC244">
        <v>0</v>
      </c>
      <c r="AD244">
        <v>1</v>
      </c>
      <c r="AE244">
        <v>0</v>
      </c>
      <c r="AF244" t="s">
        <v>3</v>
      </c>
      <c r="AG244">
        <v>1.5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ROW(Source!A440)</f>
        <v>440</v>
      </c>
      <c r="B245">
        <v>1472511368</v>
      </c>
      <c r="C245">
        <v>1472496807</v>
      </c>
      <c r="D245">
        <v>1441836514</v>
      </c>
      <c r="E245">
        <v>1</v>
      </c>
      <c r="F245">
        <v>1</v>
      </c>
      <c r="G245">
        <v>15514512</v>
      </c>
      <c r="H245">
        <v>3</v>
      </c>
      <c r="I245" t="s">
        <v>888</v>
      </c>
      <c r="J245" t="s">
        <v>889</v>
      </c>
      <c r="K245" t="s">
        <v>890</v>
      </c>
      <c r="L245">
        <v>1339</v>
      </c>
      <c r="N245">
        <v>1007</v>
      </c>
      <c r="O245" t="s">
        <v>891</v>
      </c>
      <c r="P245" t="s">
        <v>891</v>
      </c>
      <c r="Q245">
        <v>1</v>
      </c>
      <c r="X245">
        <v>16.3</v>
      </c>
      <c r="Y245">
        <v>54.81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3</v>
      </c>
      <c r="AG245">
        <v>16.3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ROW(Source!A440)</f>
        <v>440</v>
      </c>
      <c r="B246">
        <v>1472511369</v>
      </c>
      <c r="C246">
        <v>1472496807</v>
      </c>
      <c r="D246">
        <v>1441836517</v>
      </c>
      <c r="E246">
        <v>1</v>
      </c>
      <c r="F246">
        <v>1</v>
      </c>
      <c r="G246">
        <v>15514512</v>
      </c>
      <c r="H246">
        <v>3</v>
      </c>
      <c r="I246" t="s">
        <v>962</v>
      </c>
      <c r="J246" t="s">
        <v>963</v>
      </c>
      <c r="K246" t="s">
        <v>964</v>
      </c>
      <c r="L246">
        <v>1346</v>
      </c>
      <c r="N246">
        <v>1009</v>
      </c>
      <c r="O246" t="s">
        <v>898</v>
      </c>
      <c r="P246" t="s">
        <v>898</v>
      </c>
      <c r="Q246">
        <v>1</v>
      </c>
      <c r="X246">
        <v>0.02</v>
      </c>
      <c r="Y246">
        <v>451.28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0</v>
      </c>
      <c r="AF246" t="s">
        <v>3</v>
      </c>
      <c r="AG246">
        <v>0.02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ROW(Source!A440)</f>
        <v>440</v>
      </c>
      <c r="B247">
        <v>1472511371</v>
      </c>
      <c r="C247">
        <v>1472496807</v>
      </c>
      <c r="D247">
        <v>1441821379</v>
      </c>
      <c r="E247">
        <v>15514512</v>
      </c>
      <c r="F247">
        <v>1</v>
      </c>
      <c r="G247">
        <v>15514512</v>
      </c>
      <c r="H247">
        <v>3</v>
      </c>
      <c r="I247" t="s">
        <v>965</v>
      </c>
      <c r="J247" t="s">
        <v>3</v>
      </c>
      <c r="K247" t="s">
        <v>966</v>
      </c>
      <c r="L247">
        <v>1346</v>
      </c>
      <c r="N247">
        <v>1009</v>
      </c>
      <c r="O247" t="s">
        <v>898</v>
      </c>
      <c r="P247" t="s">
        <v>898</v>
      </c>
      <c r="Q247">
        <v>1</v>
      </c>
      <c r="X247">
        <v>0.05</v>
      </c>
      <c r="Y247">
        <v>89.933959999999999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3</v>
      </c>
      <c r="AG247">
        <v>0.05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ROW(Source!A440)</f>
        <v>440</v>
      </c>
      <c r="B248">
        <v>1472511370</v>
      </c>
      <c r="C248">
        <v>1472496807</v>
      </c>
      <c r="D248">
        <v>1441834875</v>
      </c>
      <c r="E248">
        <v>1</v>
      </c>
      <c r="F248">
        <v>1</v>
      </c>
      <c r="G248">
        <v>15514512</v>
      </c>
      <c r="H248">
        <v>3</v>
      </c>
      <c r="I248" t="s">
        <v>967</v>
      </c>
      <c r="J248" t="s">
        <v>968</v>
      </c>
      <c r="K248" t="s">
        <v>969</v>
      </c>
      <c r="L248">
        <v>1346</v>
      </c>
      <c r="N248">
        <v>1009</v>
      </c>
      <c r="O248" t="s">
        <v>898</v>
      </c>
      <c r="P248" t="s">
        <v>898</v>
      </c>
      <c r="Q248">
        <v>1</v>
      </c>
      <c r="X248">
        <v>0.02</v>
      </c>
      <c r="Y248">
        <v>94.64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3</v>
      </c>
      <c r="AG248">
        <v>0.02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ROW(Source!A441)</f>
        <v>441</v>
      </c>
      <c r="B249">
        <v>1472511381</v>
      </c>
      <c r="C249">
        <v>1472496819</v>
      </c>
      <c r="D249">
        <v>1441819193</v>
      </c>
      <c r="E249">
        <v>15514512</v>
      </c>
      <c r="F249">
        <v>1</v>
      </c>
      <c r="G249">
        <v>15514512</v>
      </c>
      <c r="H249">
        <v>1</v>
      </c>
      <c r="I249" t="s">
        <v>885</v>
      </c>
      <c r="J249" t="s">
        <v>3</v>
      </c>
      <c r="K249" t="s">
        <v>886</v>
      </c>
      <c r="L249">
        <v>1191</v>
      </c>
      <c r="N249">
        <v>1013</v>
      </c>
      <c r="O249" t="s">
        <v>887</v>
      </c>
      <c r="P249" t="s">
        <v>887</v>
      </c>
      <c r="Q249">
        <v>1</v>
      </c>
      <c r="X249">
        <v>2.42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1</v>
      </c>
      <c r="AF249" t="s">
        <v>3</v>
      </c>
      <c r="AG249">
        <v>2.42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ROW(Source!A441)</f>
        <v>441</v>
      </c>
      <c r="B250">
        <v>1472511382</v>
      </c>
      <c r="C250">
        <v>1472496819</v>
      </c>
      <c r="D250">
        <v>1441833845</v>
      </c>
      <c r="E250">
        <v>1</v>
      </c>
      <c r="F250">
        <v>1</v>
      </c>
      <c r="G250">
        <v>15514512</v>
      </c>
      <c r="H250">
        <v>2</v>
      </c>
      <c r="I250" t="s">
        <v>970</v>
      </c>
      <c r="J250" t="s">
        <v>971</v>
      </c>
      <c r="K250" t="s">
        <v>972</v>
      </c>
      <c r="L250">
        <v>1368</v>
      </c>
      <c r="N250">
        <v>1011</v>
      </c>
      <c r="O250" t="s">
        <v>895</v>
      </c>
      <c r="P250" t="s">
        <v>895</v>
      </c>
      <c r="Q250">
        <v>1</v>
      </c>
      <c r="X250">
        <v>0.61</v>
      </c>
      <c r="Y250">
        <v>0</v>
      </c>
      <c r="Z250">
        <v>17.95</v>
      </c>
      <c r="AA250">
        <v>0.05</v>
      </c>
      <c r="AB250">
        <v>0</v>
      </c>
      <c r="AC250">
        <v>0</v>
      </c>
      <c r="AD250">
        <v>1</v>
      </c>
      <c r="AE250">
        <v>0</v>
      </c>
      <c r="AF250" t="s">
        <v>3</v>
      </c>
      <c r="AG250">
        <v>0.61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ROW(Source!A441)</f>
        <v>441</v>
      </c>
      <c r="B251">
        <v>1472511383</v>
      </c>
      <c r="C251">
        <v>1472496819</v>
      </c>
      <c r="D251">
        <v>1441836514</v>
      </c>
      <c r="E251">
        <v>1</v>
      </c>
      <c r="F251">
        <v>1</v>
      </c>
      <c r="G251">
        <v>15514512</v>
      </c>
      <c r="H251">
        <v>3</v>
      </c>
      <c r="I251" t="s">
        <v>888</v>
      </c>
      <c r="J251" t="s">
        <v>889</v>
      </c>
      <c r="K251" t="s">
        <v>890</v>
      </c>
      <c r="L251">
        <v>1339</v>
      </c>
      <c r="N251">
        <v>1007</v>
      </c>
      <c r="O251" t="s">
        <v>891</v>
      </c>
      <c r="P251" t="s">
        <v>891</v>
      </c>
      <c r="Q251">
        <v>1</v>
      </c>
      <c r="X251">
        <v>1.03</v>
      </c>
      <c r="Y251">
        <v>54.81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3</v>
      </c>
      <c r="AG251">
        <v>1.03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ROW(Source!A442)</f>
        <v>442</v>
      </c>
      <c r="B252">
        <v>1472511397</v>
      </c>
      <c r="C252">
        <v>1472496841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885</v>
      </c>
      <c r="J252" t="s">
        <v>3</v>
      </c>
      <c r="K252" t="s">
        <v>886</v>
      </c>
      <c r="L252">
        <v>1191</v>
      </c>
      <c r="N252">
        <v>1013</v>
      </c>
      <c r="O252" t="s">
        <v>887</v>
      </c>
      <c r="P252" t="s">
        <v>887</v>
      </c>
      <c r="Q252">
        <v>1</v>
      </c>
      <c r="X252">
        <v>3.44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3</v>
      </c>
      <c r="AG252">
        <v>3.44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ROW(Source!A442)</f>
        <v>442</v>
      </c>
      <c r="B253">
        <v>1472511398</v>
      </c>
      <c r="C253">
        <v>1472496841</v>
      </c>
      <c r="D253">
        <v>1441833845</v>
      </c>
      <c r="E253">
        <v>1</v>
      </c>
      <c r="F253">
        <v>1</v>
      </c>
      <c r="G253">
        <v>15514512</v>
      </c>
      <c r="H253">
        <v>2</v>
      </c>
      <c r="I253" t="s">
        <v>970</v>
      </c>
      <c r="J253" t="s">
        <v>971</v>
      </c>
      <c r="K253" t="s">
        <v>972</v>
      </c>
      <c r="L253">
        <v>1368</v>
      </c>
      <c r="N253">
        <v>1011</v>
      </c>
      <c r="O253" t="s">
        <v>895</v>
      </c>
      <c r="P253" t="s">
        <v>895</v>
      </c>
      <c r="Q253">
        <v>1</v>
      </c>
      <c r="X253">
        <v>1.31</v>
      </c>
      <c r="Y253">
        <v>0</v>
      </c>
      <c r="Z253">
        <v>17.95</v>
      </c>
      <c r="AA253">
        <v>0.05</v>
      </c>
      <c r="AB253">
        <v>0</v>
      </c>
      <c r="AC253">
        <v>0</v>
      </c>
      <c r="AD253">
        <v>1</v>
      </c>
      <c r="AE253">
        <v>0</v>
      </c>
      <c r="AF253" t="s">
        <v>3</v>
      </c>
      <c r="AG253">
        <v>1.31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ROW(Source!A442)</f>
        <v>442</v>
      </c>
      <c r="B254">
        <v>1472511399</v>
      </c>
      <c r="C254">
        <v>1472496841</v>
      </c>
      <c r="D254">
        <v>1441836514</v>
      </c>
      <c r="E254">
        <v>1</v>
      </c>
      <c r="F254">
        <v>1</v>
      </c>
      <c r="G254">
        <v>15514512</v>
      </c>
      <c r="H254">
        <v>3</v>
      </c>
      <c r="I254" t="s">
        <v>888</v>
      </c>
      <c r="J254" t="s">
        <v>889</v>
      </c>
      <c r="K254" t="s">
        <v>890</v>
      </c>
      <c r="L254">
        <v>1339</v>
      </c>
      <c r="N254">
        <v>1007</v>
      </c>
      <c r="O254" t="s">
        <v>891</v>
      </c>
      <c r="P254" t="s">
        <v>891</v>
      </c>
      <c r="Q254">
        <v>1</v>
      </c>
      <c r="X254">
        <v>3.7</v>
      </c>
      <c r="Y254">
        <v>54.81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3</v>
      </c>
      <c r="AG254">
        <v>3.7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ROW(Source!A443)</f>
        <v>443</v>
      </c>
      <c r="B255">
        <v>1472511405</v>
      </c>
      <c r="C255">
        <v>1472496853</v>
      </c>
      <c r="D255">
        <v>1441819193</v>
      </c>
      <c r="E255">
        <v>15514512</v>
      </c>
      <c r="F255">
        <v>1</v>
      </c>
      <c r="G255">
        <v>15514512</v>
      </c>
      <c r="H255">
        <v>1</v>
      </c>
      <c r="I255" t="s">
        <v>885</v>
      </c>
      <c r="J255" t="s">
        <v>3</v>
      </c>
      <c r="K255" t="s">
        <v>886</v>
      </c>
      <c r="L255">
        <v>1191</v>
      </c>
      <c r="N255">
        <v>1013</v>
      </c>
      <c r="O255" t="s">
        <v>887</v>
      </c>
      <c r="P255" t="s">
        <v>887</v>
      </c>
      <c r="Q255">
        <v>1</v>
      </c>
      <c r="X255">
        <v>3.44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1</v>
      </c>
      <c r="AF255" t="s">
        <v>3</v>
      </c>
      <c r="AG255">
        <v>3.44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ROW(Source!A443)</f>
        <v>443</v>
      </c>
      <c r="B256">
        <v>1472511406</v>
      </c>
      <c r="C256">
        <v>1472496853</v>
      </c>
      <c r="D256">
        <v>1441833845</v>
      </c>
      <c r="E256">
        <v>1</v>
      </c>
      <c r="F256">
        <v>1</v>
      </c>
      <c r="G256">
        <v>15514512</v>
      </c>
      <c r="H256">
        <v>2</v>
      </c>
      <c r="I256" t="s">
        <v>970</v>
      </c>
      <c r="J256" t="s">
        <v>971</v>
      </c>
      <c r="K256" t="s">
        <v>972</v>
      </c>
      <c r="L256">
        <v>1368</v>
      </c>
      <c r="N256">
        <v>1011</v>
      </c>
      <c r="O256" t="s">
        <v>895</v>
      </c>
      <c r="P256" t="s">
        <v>895</v>
      </c>
      <c r="Q256">
        <v>1</v>
      </c>
      <c r="X256">
        <v>1.31</v>
      </c>
      <c r="Y256">
        <v>0</v>
      </c>
      <c r="Z256">
        <v>17.95</v>
      </c>
      <c r="AA256">
        <v>0.05</v>
      </c>
      <c r="AB256">
        <v>0</v>
      </c>
      <c r="AC256">
        <v>0</v>
      </c>
      <c r="AD256">
        <v>1</v>
      </c>
      <c r="AE256">
        <v>0</v>
      </c>
      <c r="AF256" t="s">
        <v>3</v>
      </c>
      <c r="AG256">
        <v>1.31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ROW(Source!A443)</f>
        <v>443</v>
      </c>
      <c r="B257">
        <v>1472511407</v>
      </c>
      <c r="C257">
        <v>1472496853</v>
      </c>
      <c r="D257">
        <v>1441836514</v>
      </c>
      <c r="E257">
        <v>1</v>
      </c>
      <c r="F257">
        <v>1</v>
      </c>
      <c r="G257">
        <v>15514512</v>
      </c>
      <c r="H257">
        <v>3</v>
      </c>
      <c r="I257" t="s">
        <v>888</v>
      </c>
      <c r="J257" t="s">
        <v>889</v>
      </c>
      <c r="K257" t="s">
        <v>890</v>
      </c>
      <c r="L257">
        <v>1339</v>
      </c>
      <c r="N257">
        <v>1007</v>
      </c>
      <c r="O257" t="s">
        <v>891</v>
      </c>
      <c r="P257" t="s">
        <v>891</v>
      </c>
      <c r="Q257">
        <v>1</v>
      </c>
      <c r="X257">
        <v>3.7</v>
      </c>
      <c r="Y257">
        <v>54.81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</v>
      </c>
      <c r="AG257">
        <v>3.7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ROW(Source!A513)</f>
        <v>513</v>
      </c>
      <c r="B258">
        <v>1472511436</v>
      </c>
      <c r="C258">
        <v>1472496875</v>
      </c>
      <c r="D258">
        <v>1441819193</v>
      </c>
      <c r="E258">
        <v>15514512</v>
      </c>
      <c r="F258">
        <v>1</v>
      </c>
      <c r="G258">
        <v>15514512</v>
      </c>
      <c r="H258">
        <v>1</v>
      </c>
      <c r="I258" t="s">
        <v>885</v>
      </c>
      <c r="J258" t="s">
        <v>3</v>
      </c>
      <c r="K258" t="s">
        <v>886</v>
      </c>
      <c r="L258">
        <v>1191</v>
      </c>
      <c r="N258">
        <v>1013</v>
      </c>
      <c r="O258" t="s">
        <v>887</v>
      </c>
      <c r="P258" t="s">
        <v>887</v>
      </c>
      <c r="Q258">
        <v>1</v>
      </c>
      <c r="X258">
        <v>84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1</v>
      </c>
      <c r="AF258" t="s">
        <v>388</v>
      </c>
      <c r="AG258">
        <v>56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ROW(Source!A513)</f>
        <v>513</v>
      </c>
      <c r="B259">
        <v>1472511437</v>
      </c>
      <c r="C259">
        <v>1472496875</v>
      </c>
      <c r="D259">
        <v>1441835475</v>
      </c>
      <c r="E259">
        <v>1</v>
      </c>
      <c r="F259">
        <v>1</v>
      </c>
      <c r="G259">
        <v>15514512</v>
      </c>
      <c r="H259">
        <v>3</v>
      </c>
      <c r="I259" t="s">
        <v>978</v>
      </c>
      <c r="J259" t="s">
        <v>979</v>
      </c>
      <c r="K259" t="s">
        <v>980</v>
      </c>
      <c r="L259">
        <v>1348</v>
      </c>
      <c r="N259">
        <v>1009</v>
      </c>
      <c r="O259" t="s">
        <v>905</v>
      </c>
      <c r="P259" t="s">
        <v>905</v>
      </c>
      <c r="Q259">
        <v>1000</v>
      </c>
      <c r="X259">
        <v>8.0000000000000004E-4</v>
      </c>
      <c r="Y259">
        <v>155908.07999999999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388</v>
      </c>
      <c r="AG259">
        <v>5.3333333333333336E-4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ROW(Source!A513)</f>
        <v>513</v>
      </c>
      <c r="B260">
        <v>1472511438</v>
      </c>
      <c r="C260">
        <v>1472496875</v>
      </c>
      <c r="D260">
        <v>1441835549</v>
      </c>
      <c r="E260">
        <v>1</v>
      </c>
      <c r="F260">
        <v>1</v>
      </c>
      <c r="G260">
        <v>15514512</v>
      </c>
      <c r="H260">
        <v>3</v>
      </c>
      <c r="I260" t="s">
        <v>981</v>
      </c>
      <c r="J260" t="s">
        <v>982</v>
      </c>
      <c r="K260" t="s">
        <v>983</v>
      </c>
      <c r="L260">
        <v>1348</v>
      </c>
      <c r="N260">
        <v>1009</v>
      </c>
      <c r="O260" t="s">
        <v>905</v>
      </c>
      <c r="P260" t="s">
        <v>905</v>
      </c>
      <c r="Q260">
        <v>1000</v>
      </c>
      <c r="X260">
        <v>1E-4</v>
      </c>
      <c r="Y260">
        <v>194655.19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388</v>
      </c>
      <c r="AG260">
        <v>6.666666666666667E-5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ROW(Source!A513)</f>
        <v>513</v>
      </c>
      <c r="B261">
        <v>1472511440</v>
      </c>
      <c r="C261">
        <v>1472496875</v>
      </c>
      <c r="D261">
        <v>1441836325</v>
      </c>
      <c r="E261">
        <v>1</v>
      </c>
      <c r="F261">
        <v>1</v>
      </c>
      <c r="G261">
        <v>15514512</v>
      </c>
      <c r="H261">
        <v>3</v>
      </c>
      <c r="I261" t="s">
        <v>984</v>
      </c>
      <c r="J261" t="s">
        <v>985</v>
      </c>
      <c r="K261" t="s">
        <v>986</v>
      </c>
      <c r="L261">
        <v>1348</v>
      </c>
      <c r="N261">
        <v>1009</v>
      </c>
      <c r="O261" t="s">
        <v>905</v>
      </c>
      <c r="P261" t="s">
        <v>905</v>
      </c>
      <c r="Q261">
        <v>1000</v>
      </c>
      <c r="X261">
        <v>8.0000000000000004E-4</v>
      </c>
      <c r="Y261">
        <v>108798.39999999999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388</v>
      </c>
      <c r="AG261">
        <v>5.3333333333333336E-4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ROW(Source!A513)</f>
        <v>513</v>
      </c>
      <c r="B262">
        <v>1472511441</v>
      </c>
      <c r="C262">
        <v>1472496875</v>
      </c>
      <c r="D262">
        <v>1441838531</v>
      </c>
      <c r="E262">
        <v>1</v>
      </c>
      <c r="F262">
        <v>1</v>
      </c>
      <c r="G262">
        <v>15514512</v>
      </c>
      <c r="H262">
        <v>3</v>
      </c>
      <c r="I262" t="s">
        <v>987</v>
      </c>
      <c r="J262" t="s">
        <v>988</v>
      </c>
      <c r="K262" t="s">
        <v>989</v>
      </c>
      <c r="L262">
        <v>1348</v>
      </c>
      <c r="N262">
        <v>1009</v>
      </c>
      <c r="O262" t="s">
        <v>905</v>
      </c>
      <c r="P262" t="s">
        <v>905</v>
      </c>
      <c r="Q262">
        <v>1000</v>
      </c>
      <c r="X262">
        <v>6.9999999999999999E-4</v>
      </c>
      <c r="Y262">
        <v>370783.55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388</v>
      </c>
      <c r="AG262">
        <v>4.6666666666666666E-4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ROW(Source!A513)</f>
        <v>513</v>
      </c>
      <c r="B263">
        <v>1472511443</v>
      </c>
      <c r="C263">
        <v>1472496875</v>
      </c>
      <c r="D263">
        <v>1441838759</v>
      </c>
      <c r="E263">
        <v>1</v>
      </c>
      <c r="F263">
        <v>1</v>
      </c>
      <c r="G263">
        <v>15514512</v>
      </c>
      <c r="H263">
        <v>3</v>
      </c>
      <c r="I263" t="s">
        <v>990</v>
      </c>
      <c r="J263" t="s">
        <v>991</v>
      </c>
      <c r="K263" t="s">
        <v>992</v>
      </c>
      <c r="L263">
        <v>1348</v>
      </c>
      <c r="N263">
        <v>1009</v>
      </c>
      <c r="O263" t="s">
        <v>905</v>
      </c>
      <c r="P263" t="s">
        <v>905</v>
      </c>
      <c r="Q263">
        <v>1000</v>
      </c>
      <c r="X263">
        <v>6.9999999999999999E-4</v>
      </c>
      <c r="Y263">
        <v>1590701.16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0</v>
      </c>
      <c r="AF263" t="s">
        <v>388</v>
      </c>
      <c r="AG263">
        <v>4.6666666666666666E-4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ROW(Source!A513)</f>
        <v>513</v>
      </c>
      <c r="B264">
        <v>1472511444</v>
      </c>
      <c r="C264">
        <v>1472496875</v>
      </c>
      <c r="D264">
        <v>1441834635</v>
      </c>
      <c r="E264">
        <v>1</v>
      </c>
      <c r="F264">
        <v>1</v>
      </c>
      <c r="G264">
        <v>15514512</v>
      </c>
      <c r="H264">
        <v>3</v>
      </c>
      <c r="I264" t="s">
        <v>993</v>
      </c>
      <c r="J264" t="s">
        <v>994</v>
      </c>
      <c r="K264" t="s">
        <v>995</v>
      </c>
      <c r="L264">
        <v>1339</v>
      </c>
      <c r="N264">
        <v>1007</v>
      </c>
      <c r="O264" t="s">
        <v>891</v>
      </c>
      <c r="P264" t="s">
        <v>891</v>
      </c>
      <c r="Q264">
        <v>1</v>
      </c>
      <c r="X264">
        <v>1.8</v>
      </c>
      <c r="Y264">
        <v>103.4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0</v>
      </c>
      <c r="AF264" t="s">
        <v>388</v>
      </c>
      <c r="AG264">
        <v>1.2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ROW(Source!A513)</f>
        <v>513</v>
      </c>
      <c r="B265">
        <v>1472511446</v>
      </c>
      <c r="C265">
        <v>1472496875</v>
      </c>
      <c r="D265">
        <v>1441834627</v>
      </c>
      <c r="E265">
        <v>1</v>
      </c>
      <c r="F265">
        <v>1</v>
      </c>
      <c r="G265">
        <v>15514512</v>
      </c>
      <c r="H265">
        <v>3</v>
      </c>
      <c r="I265" t="s">
        <v>996</v>
      </c>
      <c r="J265" t="s">
        <v>997</v>
      </c>
      <c r="K265" t="s">
        <v>998</v>
      </c>
      <c r="L265">
        <v>1339</v>
      </c>
      <c r="N265">
        <v>1007</v>
      </c>
      <c r="O265" t="s">
        <v>891</v>
      </c>
      <c r="P265" t="s">
        <v>891</v>
      </c>
      <c r="Q265">
        <v>1</v>
      </c>
      <c r="X265">
        <v>0.9</v>
      </c>
      <c r="Y265">
        <v>875.46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388</v>
      </c>
      <c r="AG265">
        <v>0.6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ROW(Source!A513)</f>
        <v>513</v>
      </c>
      <c r="B266">
        <v>1472511447</v>
      </c>
      <c r="C266">
        <v>1472496875</v>
      </c>
      <c r="D266">
        <v>1441834671</v>
      </c>
      <c r="E266">
        <v>1</v>
      </c>
      <c r="F266">
        <v>1</v>
      </c>
      <c r="G266">
        <v>15514512</v>
      </c>
      <c r="H266">
        <v>3</v>
      </c>
      <c r="I266" t="s">
        <v>999</v>
      </c>
      <c r="J266" t="s">
        <v>1000</v>
      </c>
      <c r="K266" t="s">
        <v>1001</v>
      </c>
      <c r="L266">
        <v>1348</v>
      </c>
      <c r="N266">
        <v>1009</v>
      </c>
      <c r="O266" t="s">
        <v>905</v>
      </c>
      <c r="P266" t="s">
        <v>905</v>
      </c>
      <c r="Q266">
        <v>1000</v>
      </c>
      <c r="X266">
        <v>5.9999999999999995E-4</v>
      </c>
      <c r="Y266">
        <v>184462.17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388</v>
      </c>
      <c r="AG266">
        <v>3.9999999999999996E-4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ROW(Source!A513)</f>
        <v>513</v>
      </c>
      <c r="B267">
        <v>1472511448</v>
      </c>
      <c r="C267">
        <v>1472496875</v>
      </c>
      <c r="D267">
        <v>1441834634</v>
      </c>
      <c r="E267">
        <v>1</v>
      </c>
      <c r="F267">
        <v>1</v>
      </c>
      <c r="G267">
        <v>15514512</v>
      </c>
      <c r="H267">
        <v>3</v>
      </c>
      <c r="I267" t="s">
        <v>1002</v>
      </c>
      <c r="J267" t="s">
        <v>1003</v>
      </c>
      <c r="K267" t="s">
        <v>1004</v>
      </c>
      <c r="L267">
        <v>1348</v>
      </c>
      <c r="N267">
        <v>1009</v>
      </c>
      <c r="O267" t="s">
        <v>905</v>
      </c>
      <c r="P267" t="s">
        <v>905</v>
      </c>
      <c r="Q267">
        <v>1000</v>
      </c>
      <c r="X267">
        <v>1E-3</v>
      </c>
      <c r="Y267">
        <v>88053.759999999995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388</v>
      </c>
      <c r="AG267">
        <v>6.6666666666666664E-4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ROW(Source!A513)</f>
        <v>513</v>
      </c>
      <c r="B268">
        <v>1472511450</v>
      </c>
      <c r="C268">
        <v>1472496875</v>
      </c>
      <c r="D268">
        <v>1441834836</v>
      </c>
      <c r="E268">
        <v>1</v>
      </c>
      <c r="F268">
        <v>1</v>
      </c>
      <c r="G268">
        <v>15514512</v>
      </c>
      <c r="H268">
        <v>3</v>
      </c>
      <c r="I268" t="s">
        <v>1005</v>
      </c>
      <c r="J268" t="s">
        <v>1006</v>
      </c>
      <c r="K268" t="s">
        <v>1007</v>
      </c>
      <c r="L268">
        <v>1348</v>
      </c>
      <c r="N268">
        <v>1009</v>
      </c>
      <c r="O268" t="s">
        <v>905</v>
      </c>
      <c r="P268" t="s">
        <v>905</v>
      </c>
      <c r="Q268">
        <v>1000</v>
      </c>
      <c r="X268">
        <v>2.16E-3</v>
      </c>
      <c r="Y268">
        <v>93194.67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388</v>
      </c>
      <c r="AG268">
        <v>1.4400000000000001E-3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ROW(Source!A513)</f>
        <v>513</v>
      </c>
      <c r="B269">
        <v>1472511451</v>
      </c>
      <c r="C269">
        <v>1472496875</v>
      </c>
      <c r="D269">
        <v>1441834853</v>
      </c>
      <c r="E269">
        <v>1</v>
      </c>
      <c r="F269">
        <v>1</v>
      </c>
      <c r="G269">
        <v>15514512</v>
      </c>
      <c r="H269">
        <v>3</v>
      </c>
      <c r="I269" t="s">
        <v>1008</v>
      </c>
      <c r="J269" t="s">
        <v>1009</v>
      </c>
      <c r="K269" t="s">
        <v>1010</v>
      </c>
      <c r="L269">
        <v>1348</v>
      </c>
      <c r="N269">
        <v>1009</v>
      </c>
      <c r="O269" t="s">
        <v>905</v>
      </c>
      <c r="P269" t="s">
        <v>905</v>
      </c>
      <c r="Q269">
        <v>1000</v>
      </c>
      <c r="X269">
        <v>8.0000000000000004E-4</v>
      </c>
      <c r="Y269">
        <v>78065.73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388</v>
      </c>
      <c r="AG269">
        <v>5.3333333333333336E-4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ROW(Source!A513)</f>
        <v>513</v>
      </c>
      <c r="B270">
        <v>1472511454</v>
      </c>
      <c r="C270">
        <v>1472496875</v>
      </c>
      <c r="D270">
        <v>1441822273</v>
      </c>
      <c r="E270">
        <v>15514512</v>
      </c>
      <c r="F270">
        <v>1</v>
      </c>
      <c r="G270">
        <v>15514512</v>
      </c>
      <c r="H270">
        <v>3</v>
      </c>
      <c r="I270" t="s">
        <v>967</v>
      </c>
      <c r="J270" t="s">
        <v>3</v>
      </c>
      <c r="K270" t="s">
        <v>969</v>
      </c>
      <c r="L270">
        <v>1348</v>
      </c>
      <c r="N270">
        <v>1009</v>
      </c>
      <c r="O270" t="s">
        <v>905</v>
      </c>
      <c r="P270" t="s">
        <v>905</v>
      </c>
      <c r="Q270">
        <v>1000</v>
      </c>
      <c r="X270">
        <v>2.4000000000000001E-4</v>
      </c>
      <c r="Y270">
        <v>94640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388</v>
      </c>
      <c r="AG270">
        <v>1.6000000000000001E-4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ROW(Source!A513)</f>
        <v>513</v>
      </c>
      <c r="B271">
        <v>1472511453</v>
      </c>
      <c r="C271">
        <v>1472496875</v>
      </c>
      <c r="D271">
        <v>1441850453</v>
      </c>
      <c r="E271">
        <v>1</v>
      </c>
      <c r="F271">
        <v>1</v>
      </c>
      <c r="G271">
        <v>15514512</v>
      </c>
      <c r="H271">
        <v>3</v>
      </c>
      <c r="I271" t="s">
        <v>935</v>
      </c>
      <c r="J271" t="s">
        <v>1011</v>
      </c>
      <c r="K271" t="s">
        <v>936</v>
      </c>
      <c r="L271">
        <v>1348</v>
      </c>
      <c r="N271">
        <v>1009</v>
      </c>
      <c r="O271" t="s">
        <v>905</v>
      </c>
      <c r="P271" t="s">
        <v>905</v>
      </c>
      <c r="Q271">
        <v>1000</v>
      </c>
      <c r="X271">
        <v>8.9999999999999998E-4</v>
      </c>
      <c r="Y271">
        <v>178433.97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388</v>
      </c>
      <c r="AG271">
        <v>5.9999999999999995E-4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ROW(Source!A514)</f>
        <v>514</v>
      </c>
      <c r="B272">
        <v>1472511471</v>
      </c>
      <c r="C272">
        <v>1472496964</v>
      </c>
      <c r="D272">
        <v>1441819193</v>
      </c>
      <c r="E272">
        <v>15514512</v>
      </c>
      <c r="F272">
        <v>1</v>
      </c>
      <c r="G272">
        <v>15514512</v>
      </c>
      <c r="H272">
        <v>1</v>
      </c>
      <c r="I272" t="s">
        <v>885</v>
      </c>
      <c r="J272" t="s">
        <v>3</v>
      </c>
      <c r="K272" t="s">
        <v>886</v>
      </c>
      <c r="L272">
        <v>1191</v>
      </c>
      <c r="N272">
        <v>1013</v>
      </c>
      <c r="O272" t="s">
        <v>887</v>
      </c>
      <c r="P272" t="s">
        <v>887</v>
      </c>
      <c r="Q272">
        <v>1</v>
      </c>
      <c r="X272">
        <v>7.12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1</v>
      </c>
      <c r="AF272" t="s">
        <v>3</v>
      </c>
      <c r="AG272">
        <v>7.12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ROW(Source!A514)</f>
        <v>514</v>
      </c>
      <c r="B273">
        <v>1472511472</v>
      </c>
      <c r="C273">
        <v>1472496964</v>
      </c>
      <c r="D273">
        <v>1441833954</v>
      </c>
      <c r="E273">
        <v>1</v>
      </c>
      <c r="F273">
        <v>1</v>
      </c>
      <c r="G273">
        <v>15514512</v>
      </c>
      <c r="H273">
        <v>2</v>
      </c>
      <c r="I273" t="s">
        <v>940</v>
      </c>
      <c r="J273" t="s">
        <v>941</v>
      </c>
      <c r="K273" t="s">
        <v>942</v>
      </c>
      <c r="L273">
        <v>1368</v>
      </c>
      <c r="N273">
        <v>1011</v>
      </c>
      <c r="O273" t="s">
        <v>895</v>
      </c>
      <c r="P273" t="s">
        <v>895</v>
      </c>
      <c r="Q273">
        <v>1</v>
      </c>
      <c r="X273">
        <v>0.15</v>
      </c>
      <c r="Y273">
        <v>0</v>
      </c>
      <c r="Z273">
        <v>59.51</v>
      </c>
      <c r="AA273">
        <v>0.82</v>
      </c>
      <c r="AB273">
        <v>0</v>
      </c>
      <c r="AC273">
        <v>0</v>
      </c>
      <c r="AD273">
        <v>1</v>
      </c>
      <c r="AE273">
        <v>0</v>
      </c>
      <c r="AF273" t="s">
        <v>3</v>
      </c>
      <c r="AG273">
        <v>0.15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ROW(Source!A514)</f>
        <v>514</v>
      </c>
      <c r="B274">
        <v>1472511473</v>
      </c>
      <c r="C274">
        <v>1472496964</v>
      </c>
      <c r="D274">
        <v>1441836235</v>
      </c>
      <c r="E274">
        <v>1</v>
      </c>
      <c r="F274">
        <v>1</v>
      </c>
      <c r="G274">
        <v>15514512</v>
      </c>
      <c r="H274">
        <v>3</v>
      </c>
      <c r="I274" t="s">
        <v>912</v>
      </c>
      <c r="J274" t="s">
        <v>913</v>
      </c>
      <c r="K274" t="s">
        <v>914</v>
      </c>
      <c r="L274">
        <v>1346</v>
      </c>
      <c r="N274">
        <v>1009</v>
      </c>
      <c r="O274" t="s">
        <v>898</v>
      </c>
      <c r="P274" t="s">
        <v>898</v>
      </c>
      <c r="Q274">
        <v>1</v>
      </c>
      <c r="X274">
        <v>0.36</v>
      </c>
      <c r="Y274">
        <v>31.49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0</v>
      </c>
      <c r="AF274" t="s">
        <v>3</v>
      </c>
      <c r="AG274">
        <v>0.36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ROW(Source!A514)</f>
        <v>514</v>
      </c>
      <c r="B275">
        <v>1472511474</v>
      </c>
      <c r="C275">
        <v>1472496964</v>
      </c>
      <c r="D275">
        <v>1441821379</v>
      </c>
      <c r="E275">
        <v>15514512</v>
      </c>
      <c r="F275">
        <v>1</v>
      </c>
      <c r="G275">
        <v>15514512</v>
      </c>
      <c r="H275">
        <v>3</v>
      </c>
      <c r="I275" t="s">
        <v>965</v>
      </c>
      <c r="J275" t="s">
        <v>3</v>
      </c>
      <c r="K275" t="s">
        <v>966</v>
      </c>
      <c r="L275">
        <v>1346</v>
      </c>
      <c r="N275">
        <v>1009</v>
      </c>
      <c r="O275" t="s">
        <v>898</v>
      </c>
      <c r="P275" t="s">
        <v>898</v>
      </c>
      <c r="Q275">
        <v>1</v>
      </c>
      <c r="X275">
        <v>2.4E-2</v>
      </c>
      <c r="Y275">
        <v>89.933959999999999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0</v>
      </c>
      <c r="AF275" t="s">
        <v>3</v>
      </c>
      <c r="AG275">
        <v>2.4E-2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ROW(Source!A515)</f>
        <v>515</v>
      </c>
      <c r="B276">
        <v>1472511519</v>
      </c>
      <c r="C276">
        <v>1472496996</v>
      </c>
      <c r="D276">
        <v>1441819193</v>
      </c>
      <c r="E276">
        <v>15514512</v>
      </c>
      <c r="F276">
        <v>1</v>
      </c>
      <c r="G276">
        <v>15514512</v>
      </c>
      <c r="H276">
        <v>1</v>
      </c>
      <c r="I276" t="s">
        <v>885</v>
      </c>
      <c r="J276" t="s">
        <v>3</v>
      </c>
      <c r="K276" t="s">
        <v>886</v>
      </c>
      <c r="L276">
        <v>1191</v>
      </c>
      <c r="N276">
        <v>1013</v>
      </c>
      <c r="O276" t="s">
        <v>887</v>
      </c>
      <c r="P276" t="s">
        <v>887</v>
      </c>
      <c r="Q276">
        <v>1</v>
      </c>
      <c r="X276">
        <v>3.14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1</v>
      </c>
      <c r="AF276" t="s">
        <v>28</v>
      </c>
      <c r="AG276">
        <v>6.28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ROW(Source!A515)</f>
        <v>515</v>
      </c>
      <c r="B277">
        <v>1472511520</v>
      </c>
      <c r="C277">
        <v>1472496996</v>
      </c>
      <c r="D277">
        <v>1441833954</v>
      </c>
      <c r="E277">
        <v>1</v>
      </c>
      <c r="F277">
        <v>1</v>
      </c>
      <c r="G277">
        <v>15514512</v>
      </c>
      <c r="H277">
        <v>2</v>
      </c>
      <c r="I277" t="s">
        <v>940</v>
      </c>
      <c r="J277" t="s">
        <v>941</v>
      </c>
      <c r="K277" t="s">
        <v>942</v>
      </c>
      <c r="L277">
        <v>1368</v>
      </c>
      <c r="N277">
        <v>1011</v>
      </c>
      <c r="O277" t="s">
        <v>895</v>
      </c>
      <c r="P277" t="s">
        <v>895</v>
      </c>
      <c r="Q277">
        <v>1</v>
      </c>
      <c r="X277">
        <v>0.03</v>
      </c>
      <c r="Y277">
        <v>0</v>
      </c>
      <c r="Z277">
        <v>59.51</v>
      </c>
      <c r="AA277">
        <v>0.82</v>
      </c>
      <c r="AB277">
        <v>0</v>
      </c>
      <c r="AC277">
        <v>0</v>
      </c>
      <c r="AD277">
        <v>1</v>
      </c>
      <c r="AE277">
        <v>0</v>
      </c>
      <c r="AF277" t="s">
        <v>28</v>
      </c>
      <c r="AG277">
        <v>0.06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ROW(Source!A515)</f>
        <v>515</v>
      </c>
      <c r="B278">
        <v>1472511521</v>
      </c>
      <c r="C278">
        <v>1472496996</v>
      </c>
      <c r="D278">
        <v>1441836235</v>
      </c>
      <c r="E278">
        <v>1</v>
      </c>
      <c r="F278">
        <v>1</v>
      </c>
      <c r="G278">
        <v>15514512</v>
      </c>
      <c r="H278">
        <v>3</v>
      </c>
      <c r="I278" t="s">
        <v>912</v>
      </c>
      <c r="J278" t="s">
        <v>913</v>
      </c>
      <c r="K278" t="s">
        <v>914</v>
      </c>
      <c r="L278">
        <v>1346</v>
      </c>
      <c r="N278">
        <v>1009</v>
      </c>
      <c r="O278" t="s">
        <v>898</v>
      </c>
      <c r="P278" t="s">
        <v>898</v>
      </c>
      <c r="Q278">
        <v>1</v>
      </c>
      <c r="X278">
        <v>0.32</v>
      </c>
      <c r="Y278">
        <v>31.49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28</v>
      </c>
      <c r="AG278">
        <v>0.64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ROW(Source!A516)</f>
        <v>516</v>
      </c>
      <c r="B279">
        <v>1472511526</v>
      </c>
      <c r="C279">
        <v>1472497007</v>
      </c>
      <c r="D279">
        <v>1441819193</v>
      </c>
      <c r="E279">
        <v>15514512</v>
      </c>
      <c r="F279">
        <v>1</v>
      </c>
      <c r="G279">
        <v>15514512</v>
      </c>
      <c r="H279">
        <v>1</v>
      </c>
      <c r="I279" t="s">
        <v>885</v>
      </c>
      <c r="J279" t="s">
        <v>3</v>
      </c>
      <c r="K279" t="s">
        <v>886</v>
      </c>
      <c r="L279">
        <v>1191</v>
      </c>
      <c r="N279">
        <v>1013</v>
      </c>
      <c r="O279" t="s">
        <v>887</v>
      </c>
      <c r="P279" t="s">
        <v>887</v>
      </c>
      <c r="Q279">
        <v>1</v>
      </c>
      <c r="X279">
        <v>1.56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1</v>
      </c>
      <c r="AF279" t="s">
        <v>28</v>
      </c>
      <c r="AG279">
        <v>3.12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ROW(Source!A516)</f>
        <v>516</v>
      </c>
      <c r="B280">
        <v>1472511527</v>
      </c>
      <c r="C280">
        <v>1472497007</v>
      </c>
      <c r="D280">
        <v>1441833954</v>
      </c>
      <c r="E280">
        <v>1</v>
      </c>
      <c r="F280">
        <v>1</v>
      </c>
      <c r="G280">
        <v>15514512</v>
      </c>
      <c r="H280">
        <v>2</v>
      </c>
      <c r="I280" t="s">
        <v>940</v>
      </c>
      <c r="J280" t="s">
        <v>941</v>
      </c>
      <c r="K280" t="s">
        <v>942</v>
      </c>
      <c r="L280">
        <v>1368</v>
      </c>
      <c r="N280">
        <v>1011</v>
      </c>
      <c r="O280" t="s">
        <v>895</v>
      </c>
      <c r="P280" t="s">
        <v>895</v>
      </c>
      <c r="Q280">
        <v>1</v>
      </c>
      <c r="X280">
        <v>0.03</v>
      </c>
      <c r="Y280">
        <v>0</v>
      </c>
      <c r="Z280">
        <v>59.51</v>
      </c>
      <c r="AA280">
        <v>0.82</v>
      </c>
      <c r="AB280">
        <v>0</v>
      </c>
      <c r="AC280">
        <v>0</v>
      </c>
      <c r="AD280">
        <v>1</v>
      </c>
      <c r="AE280">
        <v>0</v>
      </c>
      <c r="AF280" t="s">
        <v>28</v>
      </c>
      <c r="AG280">
        <v>0.06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ROW(Source!A516)</f>
        <v>516</v>
      </c>
      <c r="B281">
        <v>1472511528</v>
      </c>
      <c r="C281">
        <v>1472497007</v>
      </c>
      <c r="D281">
        <v>1441836235</v>
      </c>
      <c r="E281">
        <v>1</v>
      </c>
      <c r="F281">
        <v>1</v>
      </c>
      <c r="G281">
        <v>15514512</v>
      </c>
      <c r="H281">
        <v>3</v>
      </c>
      <c r="I281" t="s">
        <v>912</v>
      </c>
      <c r="J281" t="s">
        <v>913</v>
      </c>
      <c r="K281" t="s">
        <v>914</v>
      </c>
      <c r="L281">
        <v>1346</v>
      </c>
      <c r="N281">
        <v>1009</v>
      </c>
      <c r="O281" t="s">
        <v>898</v>
      </c>
      <c r="P281" t="s">
        <v>898</v>
      </c>
      <c r="Q281">
        <v>1</v>
      </c>
      <c r="X281">
        <v>0.02</v>
      </c>
      <c r="Y281">
        <v>31.49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28</v>
      </c>
      <c r="AG281">
        <v>0.04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ROW(Source!A517)</f>
        <v>517</v>
      </c>
      <c r="B282">
        <v>1472511568</v>
      </c>
      <c r="C282">
        <v>1472497018</v>
      </c>
      <c r="D282">
        <v>1441819193</v>
      </c>
      <c r="E282">
        <v>15514512</v>
      </c>
      <c r="F282">
        <v>1</v>
      </c>
      <c r="G282">
        <v>15514512</v>
      </c>
      <c r="H282">
        <v>1</v>
      </c>
      <c r="I282" t="s">
        <v>885</v>
      </c>
      <c r="J282" t="s">
        <v>3</v>
      </c>
      <c r="K282" t="s">
        <v>886</v>
      </c>
      <c r="L282">
        <v>1191</v>
      </c>
      <c r="N282">
        <v>1013</v>
      </c>
      <c r="O282" t="s">
        <v>887</v>
      </c>
      <c r="P282" t="s">
        <v>887</v>
      </c>
      <c r="Q282">
        <v>1</v>
      </c>
      <c r="X282">
        <v>92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1</v>
      </c>
      <c r="AF282" t="s">
        <v>388</v>
      </c>
      <c r="AG282">
        <v>61.333333333333336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ROW(Source!A517)</f>
        <v>517</v>
      </c>
      <c r="B283">
        <v>1472511569</v>
      </c>
      <c r="C283">
        <v>1472497018</v>
      </c>
      <c r="D283">
        <v>1441835475</v>
      </c>
      <c r="E283">
        <v>1</v>
      </c>
      <c r="F283">
        <v>1</v>
      </c>
      <c r="G283">
        <v>15514512</v>
      </c>
      <c r="H283">
        <v>3</v>
      </c>
      <c r="I283" t="s">
        <v>978</v>
      </c>
      <c r="J283" t="s">
        <v>979</v>
      </c>
      <c r="K283" t="s">
        <v>980</v>
      </c>
      <c r="L283">
        <v>1348</v>
      </c>
      <c r="N283">
        <v>1009</v>
      </c>
      <c r="O283" t="s">
        <v>905</v>
      </c>
      <c r="P283" t="s">
        <v>905</v>
      </c>
      <c r="Q283">
        <v>1000</v>
      </c>
      <c r="X283">
        <v>1.2999999999999999E-3</v>
      </c>
      <c r="Y283">
        <v>155908.07999999999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388</v>
      </c>
      <c r="AG283">
        <v>8.6666666666666663E-4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ROW(Source!A517)</f>
        <v>517</v>
      </c>
      <c r="B284">
        <v>1472511571</v>
      </c>
      <c r="C284">
        <v>1472497018</v>
      </c>
      <c r="D284">
        <v>1441835549</v>
      </c>
      <c r="E284">
        <v>1</v>
      </c>
      <c r="F284">
        <v>1</v>
      </c>
      <c r="G284">
        <v>15514512</v>
      </c>
      <c r="H284">
        <v>3</v>
      </c>
      <c r="I284" t="s">
        <v>981</v>
      </c>
      <c r="J284" t="s">
        <v>982</v>
      </c>
      <c r="K284" t="s">
        <v>983</v>
      </c>
      <c r="L284">
        <v>1348</v>
      </c>
      <c r="N284">
        <v>1009</v>
      </c>
      <c r="O284" t="s">
        <v>905</v>
      </c>
      <c r="P284" t="s">
        <v>905</v>
      </c>
      <c r="Q284">
        <v>1000</v>
      </c>
      <c r="X284">
        <v>2.0000000000000001E-4</v>
      </c>
      <c r="Y284">
        <v>194655.19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388</v>
      </c>
      <c r="AG284">
        <v>1.3333333333333334E-4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ROW(Source!A517)</f>
        <v>517</v>
      </c>
      <c r="B285">
        <v>1472511572</v>
      </c>
      <c r="C285">
        <v>1472497018</v>
      </c>
      <c r="D285">
        <v>1441836325</v>
      </c>
      <c r="E285">
        <v>1</v>
      </c>
      <c r="F285">
        <v>1</v>
      </c>
      <c r="G285">
        <v>15514512</v>
      </c>
      <c r="H285">
        <v>3</v>
      </c>
      <c r="I285" t="s">
        <v>984</v>
      </c>
      <c r="J285" t="s">
        <v>985</v>
      </c>
      <c r="K285" t="s">
        <v>986</v>
      </c>
      <c r="L285">
        <v>1348</v>
      </c>
      <c r="N285">
        <v>1009</v>
      </c>
      <c r="O285" t="s">
        <v>905</v>
      </c>
      <c r="P285" t="s">
        <v>905</v>
      </c>
      <c r="Q285">
        <v>1000</v>
      </c>
      <c r="X285">
        <v>1.1000000000000001E-3</v>
      </c>
      <c r="Y285">
        <v>108798.39999999999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0</v>
      </c>
      <c r="AF285" t="s">
        <v>388</v>
      </c>
      <c r="AG285">
        <v>7.3333333333333334E-4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ROW(Source!A517)</f>
        <v>517</v>
      </c>
      <c r="B286">
        <v>1472511573</v>
      </c>
      <c r="C286">
        <v>1472497018</v>
      </c>
      <c r="D286">
        <v>1441838531</v>
      </c>
      <c r="E286">
        <v>1</v>
      </c>
      <c r="F286">
        <v>1</v>
      </c>
      <c r="G286">
        <v>15514512</v>
      </c>
      <c r="H286">
        <v>3</v>
      </c>
      <c r="I286" t="s">
        <v>987</v>
      </c>
      <c r="J286" t="s">
        <v>988</v>
      </c>
      <c r="K286" t="s">
        <v>989</v>
      </c>
      <c r="L286">
        <v>1348</v>
      </c>
      <c r="N286">
        <v>1009</v>
      </c>
      <c r="O286" t="s">
        <v>905</v>
      </c>
      <c r="P286" t="s">
        <v>905</v>
      </c>
      <c r="Q286">
        <v>1000</v>
      </c>
      <c r="X286">
        <v>6.9999999999999999E-4</v>
      </c>
      <c r="Y286">
        <v>370783.55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388</v>
      </c>
      <c r="AG286">
        <v>4.6666666666666666E-4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ROW(Source!A517)</f>
        <v>517</v>
      </c>
      <c r="B287">
        <v>1472511574</v>
      </c>
      <c r="C287">
        <v>1472497018</v>
      </c>
      <c r="D287">
        <v>1441838759</v>
      </c>
      <c r="E287">
        <v>1</v>
      </c>
      <c r="F287">
        <v>1</v>
      </c>
      <c r="G287">
        <v>15514512</v>
      </c>
      <c r="H287">
        <v>3</v>
      </c>
      <c r="I287" t="s">
        <v>990</v>
      </c>
      <c r="J287" t="s">
        <v>991</v>
      </c>
      <c r="K287" t="s">
        <v>992</v>
      </c>
      <c r="L287">
        <v>1348</v>
      </c>
      <c r="N287">
        <v>1009</v>
      </c>
      <c r="O287" t="s">
        <v>905</v>
      </c>
      <c r="P287" t="s">
        <v>905</v>
      </c>
      <c r="Q287">
        <v>1000</v>
      </c>
      <c r="X287">
        <v>6.9999999999999999E-4</v>
      </c>
      <c r="Y287">
        <v>1590701.16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388</v>
      </c>
      <c r="AG287">
        <v>4.6666666666666666E-4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ROW(Source!A517)</f>
        <v>517</v>
      </c>
      <c r="B288">
        <v>1472511575</v>
      </c>
      <c r="C288">
        <v>1472497018</v>
      </c>
      <c r="D288">
        <v>1441834635</v>
      </c>
      <c r="E288">
        <v>1</v>
      </c>
      <c r="F288">
        <v>1</v>
      </c>
      <c r="G288">
        <v>15514512</v>
      </c>
      <c r="H288">
        <v>3</v>
      </c>
      <c r="I288" t="s">
        <v>993</v>
      </c>
      <c r="J288" t="s">
        <v>994</v>
      </c>
      <c r="K288" t="s">
        <v>995</v>
      </c>
      <c r="L288">
        <v>1339</v>
      </c>
      <c r="N288">
        <v>1007</v>
      </c>
      <c r="O288" t="s">
        <v>891</v>
      </c>
      <c r="P288" t="s">
        <v>891</v>
      </c>
      <c r="Q288">
        <v>1</v>
      </c>
      <c r="X288">
        <v>1.9</v>
      </c>
      <c r="Y288">
        <v>103.4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0</v>
      </c>
      <c r="AF288" t="s">
        <v>388</v>
      </c>
      <c r="AG288">
        <v>1.2666666666666666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ROW(Source!A517)</f>
        <v>517</v>
      </c>
      <c r="B289">
        <v>1472511576</v>
      </c>
      <c r="C289">
        <v>1472497018</v>
      </c>
      <c r="D289">
        <v>1441834627</v>
      </c>
      <c r="E289">
        <v>1</v>
      </c>
      <c r="F289">
        <v>1</v>
      </c>
      <c r="G289">
        <v>15514512</v>
      </c>
      <c r="H289">
        <v>3</v>
      </c>
      <c r="I289" t="s">
        <v>996</v>
      </c>
      <c r="J289" t="s">
        <v>997</v>
      </c>
      <c r="K289" t="s">
        <v>998</v>
      </c>
      <c r="L289">
        <v>1339</v>
      </c>
      <c r="N289">
        <v>1007</v>
      </c>
      <c r="O289" t="s">
        <v>891</v>
      </c>
      <c r="P289" t="s">
        <v>891</v>
      </c>
      <c r="Q289">
        <v>1</v>
      </c>
      <c r="X289">
        <v>0.9</v>
      </c>
      <c r="Y289">
        <v>875.46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0</v>
      </c>
      <c r="AF289" t="s">
        <v>388</v>
      </c>
      <c r="AG289">
        <v>0.6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ROW(Source!A517)</f>
        <v>517</v>
      </c>
      <c r="B290">
        <v>1472511578</v>
      </c>
      <c r="C290">
        <v>1472497018</v>
      </c>
      <c r="D290">
        <v>1441834671</v>
      </c>
      <c r="E290">
        <v>1</v>
      </c>
      <c r="F290">
        <v>1</v>
      </c>
      <c r="G290">
        <v>15514512</v>
      </c>
      <c r="H290">
        <v>3</v>
      </c>
      <c r="I290" t="s">
        <v>999</v>
      </c>
      <c r="J290" t="s">
        <v>1000</v>
      </c>
      <c r="K290" t="s">
        <v>1001</v>
      </c>
      <c r="L290">
        <v>1348</v>
      </c>
      <c r="N290">
        <v>1009</v>
      </c>
      <c r="O290" t="s">
        <v>905</v>
      </c>
      <c r="P290" t="s">
        <v>905</v>
      </c>
      <c r="Q290">
        <v>1000</v>
      </c>
      <c r="X290">
        <v>8.0000000000000004E-4</v>
      </c>
      <c r="Y290">
        <v>184462.17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388</v>
      </c>
      <c r="AG290">
        <v>5.3333333333333336E-4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ROW(Source!A517)</f>
        <v>517</v>
      </c>
      <c r="B291">
        <v>1472511579</v>
      </c>
      <c r="C291">
        <v>1472497018</v>
      </c>
      <c r="D291">
        <v>1441834634</v>
      </c>
      <c r="E291">
        <v>1</v>
      </c>
      <c r="F291">
        <v>1</v>
      </c>
      <c r="G291">
        <v>15514512</v>
      </c>
      <c r="H291">
        <v>3</v>
      </c>
      <c r="I291" t="s">
        <v>1002</v>
      </c>
      <c r="J291" t="s">
        <v>1003</v>
      </c>
      <c r="K291" t="s">
        <v>1004</v>
      </c>
      <c r="L291">
        <v>1348</v>
      </c>
      <c r="N291">
        <v>1009</v>
      </c>
      <c r="O291" t="s">
        <v>905</v>
      </c>
      <c r="P291" t="s">
        <v>905</v>
      </c>
      <c r="Q291">
        <v>1000</v>
      </c>
      <c r="X291">
        <v>1E-3</v>
      </c>
      <c r="Y291">
        <v>88053.759999999995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0</v>
      </c>
      <c r="AF291" t="s">
        <v>388</v>
      </c>
      <c r="AG291">
        <v>6.6666666666666664E-4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ROW(Source!A517)</f>
        <v>517</v>
      </c>
      <c r="B292">
        <v>1472511580</v>
      </c>
      <c r="C292">
        <v>1472497018</v>
      </c>
      <c r="D292">
        <v>1441834836</v>
      </c>
      <c r="E292">
        <v>1</v>
      </c>
      <c r="F292">
        <v>1</v>
      </c>
      <c r="G292">
        <v>15514512</v>
      </c>
      <c r="H292">
        <v>3</v>
      </c>
      <c r="I292" t="s">
        <v>1005</v>
      </c>
      <c r="J292" t="s">
        <v>1006</v>
      </c>
      <c r="K292" t="s">
        <v>1007</v>
      </c>
      <c r="L292">
        <v>1348</v>
      </c>
      <c r="N292">
        <v>1009</v>
      </c>
      <c r="O292" t="s">
        <v>905</v>
      </c>
      <c r="P292" t="s">
        <v>905</v>
      </c>
      <c r="Q292">
        <v>1000</v>
      </c>
      <c r="X292">
        <v>3.5100000000000001E-3</v>
      </c>
      <c r="Y292">
        <v>93194.67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388</v>
      </c>
      <c r="AG292">
        <v>2.3400000000000001E-3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ROW(Source!A517)</f>
        <v>517</v>
      </c>
      <c r="B293">
        <v>1472511581</v>
      </c>
      <c r="C293">
        <v>1472497018</v>
      </c>
      <c r="D293">
        <v>1441834853</v>
      </c>
      <c r="E293">
        <v>1</v>
      </c>
      <c r="F293">
        <v>1</v>
      </c>
      <c r="G293">
        <v>15514512</v>
      </c>
      <c r="H293">
        <v>3</v>
      </c>
      <c r="I293" t="s">
        <v>1008</v>
      </c>
      <c r="J293" t="s">
        <v>1009</v>
      </c>
      <c r="K293" t="s">
        <v>1010</v>
      </c>
      <c r="L293">
        <v>1348</v>
      </c>
      <c r="N293">
        <v>1009</v>
      </c>
      <c r="O293" t="s">
        <v>905</v>
      </c>
      <c r="P293" t="s">
        <v>905</v>
      </c>
      <c r="Q293">
        <v>1000</v>
      </c>
      <c r="X293">
        <v>1.1000000000000001E-3</v>
      </c>
      <c r="Y293">
        <v>78065.73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388</v>
      </c>
      <c r="AG293">
        <v>7.3333333333333334E-4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ROW(Source!A517)</f>
        <v>517</v>
      </c>
      <c r="B294">
        <v>1472511584</v>
      </c>
      <c r="C294">
        <v>1472497018</v>
      </c>
      <c r="D294">
        <v>1441822273</v>
      </c>
      <c r="E294">
        <v>15514512</v>
      </c>
      <c r="F294">
        <v>1</v>
      </c>
      <c r="G294">
        <v>15514512</v>
      </c>
      <c r="H294">
        <v>3</v>
      </c>
      <c r="I294" t="s">
        <v>967</v>
      </c>
      <c r="J294" t="s">
        <v>3</v>
      </c>
      <c r="K294" t="s">
        <v>969</v>
      </c>
      <c r="L294">
        <v>1348</v>
      </c>
      <c r="N294">
        <v>1009</v>
      </c>
      <c r="O294" t="s">
        <v>905</v>
      </c>
      <c r="P294" t="s">
        <v>905</v>
      </c>
      <c r="Q294">
        <v>1000</v>
      </c>
      <c r="X294">
        <v>3.8999999999999999E-4</v>
      </c>
      <c r="Y294">
        <v>94640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0</v>
      </c>
      <c r="AF294" t="s">
        <v>388</v>
      </c>
      <c r="AG294">
        <v>2.5999999999999998E-4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ROW(Source!A517)</f>
        <v>517</v>
      </c>
      <c r="B295">
        <v>1472511583</v>
      </c>
      <c r="C295">
        <v>1472497018</v>
      </c>
      <c r="D295">
        <v>1441850453</v>
      </c>
      <c r="E295">
        <v>1</v>
      </c>
      <c r="F295">
        <v>1</v>
      </c>
      <c r="G295">
        <v>15514512</v>
      </c>
      <c r="H295">
        <v>3</v>
      </c>
      <c r="I295" t="s">
        <v>935</v>
      </c>
      <c r="J295" t="s">
        <v>1011</v>
      </c>
      <c r="K295" t="s">
        <v>936</v>
      </c>
      <c r="L295">
        <v>1348</v>
      </c>
      <c r="N295">
        <v>1009</v>
      </c>
      <c r="O295" t="s">
        <v>905</v>
      </c>
      <c r="P295" t="s">
        <v>905</v>
      </c>
      <c r="Q295">
        <v>1000</v>
      </c>
      <c r="X295">
        <v>1.1999999999999999E-3</v>
      </c>
      <c r="Y295">
        <v>178433.97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0</v>
      </c>
      <c r="AF295" t="s">
        <v>388</v>
      </c>
      <c r="AG295">
        <v>7.9999999999999993E-4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ROW(Source!A518)</f>
        <v>518</v>
      </c>
      <c r="B296">
        <v>1472511613</v>
      </c>
      <c r="C296">
        <v>1472497079</v>
      </c>
      <c r="D296">
        <v>1441819193</v>
      </c>
      <c r="E296">
        <v>15514512</v>
      </c>
      <c r="F296">
        <v>1</v>
      </c>
      <c r="G296">
        <v>15514512</v>
      </c>
      <c r="H296">
        <v>1</v>
      </c>
      <c r="I296" t="s">
        <v>885</v>
      </c>
      <c r="J296" t="s">
        <v>3</v>
      </c>
      <c r="K296" t="s">
        <v>886</v>
      </c>
      <c r="L296">
        <v>1191</v>
      </c>
      <c r="N296">
        <v>1013</v>
      </c>
      <c r="O296" t="s">
        <v>887</v>
      </c>
      <c r="P296" t="s">
        <v>887</v>
      </c>
      <c r="Q296">
        <v>1</v>
      </c>
      <c r="X296">
        <v>9.5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1</v>
      </c>
      <c r="AF296" t="s">
        <v>3</v>
      </c>
      <c r="AG296">
        <v>9.5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ROW(Source!A518)</f>
        <v>518</v>
      </c>
      <c r="B297">
        <v>1472511614</v>
      </c>
      <c r="C297">
        <v>1472497079</v>
      </c>
      <c r="D297">
        <v>1441833954</v>
      </c>
      <c r="E297">
        <v>1</v>
      </c>
      <c r="F297">
        <v>1</v>
      </c>
      <c r="G297">
        <v>15514512</v>
      </c>
      <c r="H297">
        <v>2</v>
      </c>
      <c r="I297" t="s">
        <v>940</v>
      </c>
      <c r="J297" t="s">
        <v>941</v>
      </c>
      <c r="K297" t="s">
        <v>942</v>
      </c>
      <c r="L297">
        <v>1368</v>
      </c>
      <c r="N297">
        <v>1011</v>
      </c>
      <c r="O297" t="s">
        <v>895</v>
      </c>
      <c r="P297" t="s">
        <v>895</v>
      </c>
      <c r="Q297">
        <v>1</v>
      </c>
      <c r="X297">
        <v>0.27</v>
      </c>
      <c r="Y297">
        <v>0</v>
      </c>
      <c r="Z297">
        <v>59.51</v>
      </c>
      <c r="AA297">
        <v>0.82</v>
      </c>
      <c r="AB297">
        <v>0</v>
      </c>
      <c r="AC297">
        <v>0</v>
      </c>
      <c r="AD297">
        <v>1</v>
      </c>
      <c r="AE297">
        <v>0</v>
      </c>
      <c r="AF297" t="s">
        <v>3</v>
      </c>
      <c r="AG297">
        <v>0.27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ROW(Source!A518)</f>
        <v>518</v>
      </c>
      <c r="B298">
        <v>1472511615</v>
      </c>
      <c r="C298">
        <v>1472497079</v>
      </c>
      <c r="D298">
        <v>1441836235</v>
      </c>
      <c r="E298">
        <v>1</v>
      </c>
      <c r="F298">
        <v>1</v>
      </c>
      <c r="G298">
        <v>15514512</v>
      </c>
      <c r="H298">
        <v>3</v>
      </c>
      <c r="I298" t="s">
        <v>912</v>
      </c>
      <c r="J298" t="s">
        <v>913</v>
      </c>
      <c r="K298" t="s">
        <v>914</v>
      </c>
      <c r="L298">
        <v>1346</v>
      </c>
      <c r="N298">
        <v>1009</v>
      </c>
      <c r="O298" t="s">
        <v>898</v>
      </c>
      <c r="P298" t="s">
        <v>898</v>
      </c>
      <c r="Q298">
        <v>1</v>
      </c>
      <c r="X298">
        <v>0.59</v>
      </c>
      <c r="Y298">
        <v>31.49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0</v>
      </c>
      <c r="AF298" t="s">
        <v>3</v>
      </c>
      <c r="AG298">
        <v>0.59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ROW(Source!A518)</f>
        <v>518</v>
      </c>
      <c r="B299">
        <v>1472511616</v>
      </c>
      <c r="C299">
        <v>1472497079</v>
      </c>
      <c r="D299">
        <v>1441821379</v>
      </c>
      <c r="E299">
        <v>15514512</v>
      </c>
      <c r="F299">
        <v>1</v>
      </c>
      <c r="G299">
        <v>15514512</v>
      </c>
      <c r="H299">
        <v>3</v>
      </c>
      <c r="I299" t="s">
        <v>965</v>
      </c>
      <c r="J299" t="s">
        <v>3</v>
      </c>
      <c r="K299" t="s">
        <v>966</v>
      </c>
      <c r="L299">
        <v>1346</v>
      </c>
      <c r="N299">
        <v>1009</v>
      </c>
      <c r="O299" t="s">
        <v>898</v>
      </c>
      <c r="P299" t="s">
        <v>898</v>
      </c>
      <c r="Q299">
        <v>1</v>
      </c>
      <c r="X299">
        <v>4.2999999999999997E-2</v>
      </c>
      <c r="Y299">
        <v>89.933959999999999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3</v>
      </c>
      <c r="AG299">
        <v>4.2999999999999997E-2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ROW(Source!A519)</f>
        <v>519</v>
      </c>
      <c r="B300">
        <v>1472511636</v>
      </c>
      <c r="C300">
        <v>1472497100</v>
      </c>
      <c r="D300">
        <v>1441819193</v>
      </c>
      <c r="E300">
        <v>15514512</v>
      </c>
      <c r="F300">
        <v>1</v>
      </c>
      <c r="G300">
        <v>15514512</v>
      </c>
      <c r="H300">
        <v>1</v>
      </c>
      <c r="I300" t="s">
        <v>885</v>
      </c>
      <c r="J300" t="s">
        <v>3</v>
      </c>
      <c r="K300" t="s">
        <v>886</v>
      </c>
      <c r="L300">
        <v>1191</v>
      </c>
      <c r="N300">
        <v>1013</v>
      </c>
      <c r="O300" t="s">
        <v>887</v>
      </c>
      <c r="P300" t="s">
        <v>887</v>
      </c>
      <c r="Q300">
        <v>1</v>
      </c>
      <c r="X300">
        <v>3.78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28</v>
      </c>
      <c r="AG300">
        <v>7.56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ROW(Source!A519)</f>
        <v>519</v>
      </c>
      <c r="B301">
        <v>1472511638</v>
      </c>
      <c r="C301">
        <v>1472497100</v>
      </c>
      <c r="D301">
        <v>1441833954</v>
      </c>
      <c r="E301">
        <v>1</v>
      </c>
      <c r="F301">
        <v>1</v>
      </c>
      <c r="G301">
        <v>15514512</v>
      </c>
      <c r="H301">
        <v>2</v>
      </c>
      <c r="I301" t="s">
        <v>940</v>
      </c>
      <c r="J301" t="s">
        <v>941</v>
      </c>
      <c r="K301" t="s">
        <v>942</v>
      </c>
      <c r="L301">
        <v>1368</v>
      </c>
      <c r="N301">
        <v>1011</v>
      </c>
      <c r="O301" t="s">
        <v>895</v>
      </c>
      <c r="P301" t="s">
        <v>895</v>
      </c>
      <c r="Q301">
        <v>1</v>
      </c>
      <c r="X301">
        <v>0.05</v>
      </c>
      <c r="Y301">
        <v>0</v>
      </c>
      <c r="Z301">
        <v>59.51</v>
      </c>
      <c r="AA301">
        <v>0.82</v>
      </c>
      <c r="AB301">
        <v>0</v>
      </c>
      <c r="AC301">
        <v>0</v>
      </c>
      <c r="AD301">
        <v>1</v>
      </c>
      <c r="AE301">
        <v>0</v>
      </c>
      <c r="AF301" t="s">
        <v>28</v>
      </c>
      <c r="AG301">
        <v>0.1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ROW(Source!A519)</f>
        <v>519</v>
      </c>
      <c r="B302">
        <v>1472511639</v>
      </c>
      <c r="C302">
        <v>1472497100</v>
      </c>
      <c r="D302">
        <v>1441836235</v>
      </c>
      <c r="E302">
        <v>1</v>
      </c>
      <c r="F302">
        <v>1</v>
      </c>
      <c r="G302">
        <v>15514512</v>
      </c>
      <c r="H302">
        <v>3</v>
      </c>
      <c r="I302" t="s">
        <v>912</v>
      </c>
      <c r="J302" t="s">
        <v>913</v>
      </c>
      <c r="K302" t="s">
        <v>914</v>
      </c>
      <c r="L302">
        <v>1346</v>
      </c>
      <c r="N302">
        <v>1009</v>
      </c>
      <c r="O302" t="s">
        <v>898</v>
      </c>
      <c r="P302" t="s">
        <v>898</v>
      </c>
      <c r="Q302">
        <v>1</v>
      </c>
      <c r="X302">
        <v>0.56999999999999995</v>
      </c>
      <c r="Y302">
        <v>31.49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0</v>
      </c>
      <c r="AF302" t="s">
        <v>28</v>
      </c>
      <c r="AG302">
        <v>1.1399999999999999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ROW(Source!A520)</f>
        <v>520</v>
      </c>
      <c r="B303">
        <v>1472511652</v>
      </c>
      <c r="C303">
        <v>1472497134</v>
      </c>
      <c r="D303">
        <v>1441819193</v>
      </c>
      <c r="E303">
        <v>15514512</v>
      </c>
      <c r="F303">
        <v>1</v>
      </c>
      <c r="G303">
        <v>15514512</v>
      </c>
      <c r="H303">
        <v>1</v>
      </c>
      <c r="I303" t="s">
        <v>885</v>
      </c>
      <c r="J303" t="s">
        <v>3</v>
      </c>
      <c r="K303" t="s">
        <v>886</v>
      </c>
      <c r="L303">
        <v>1191</v>
      </c>
      <c r="N303">
        <v>1013</v>
      </c>
      <c r="O303" t="s">
        <v>887</v>
      </c>
      <c r="P303" t="s">
        <v>887</v>
      </c>
      <c r="Q303">
        <v>1</v>
      </c>
      <c r="X303">
        <v>1.96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1</v>
      </c>
      <c r="AF303" t="s">
        <v>28</v>
      </c>
      <c r="AG303">
        <v>3.92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ROW(Source!A520)</f>
        <v>520</v>
      </c>
      <c r="B304">
        <v>1472511654</v>
      </c>
      <c r="C304">
        <v>1472497134</v>
      </c>
      <c r="D304">
        <v>1441833954</v>
      </c>
      <c r="E304">
        <v>1</v>
      </c>
      <c r="F304">
        <v>1</v>
      </c>
      <c r="G304">
        <v>15514512</v>
      </c>
      <c r="H304">
        <v>2</v>
      </c>
      <c r="I304" t="s">
        <v>940</v>
      </c>
      <c r="J304" t="s">
        <v>941</v>
      </c>
      <c r="K304" t="s">
        <v>942</v>
      </c>
      <c r="L304">
        <v>1368</v>
      </c>
      <c r="N304">
        <v>1011</v>
      </c>
      <c r="O304" t="s">
        <v>895</v>
      </c>
      <c r="P304" t="s">
        <v>895</v>
      </c>
      <c r="Q304">
        <v>1</v>
      </c>
      <c r="X304">
        <v>0.05</v>
      </c>
      <c r="Y304">
        <v>0</v>
      </c>
      <c r="Z304">
        <v>59.51</v>
      </c>
      <c r="AA304">
        <v>0.82</v>
      </c>
      <c r="AB304">
        <v>0</v>
      </c>
      <c r="AC304">
        <v>0</v>
      </c>
      <c r="AD304">
        <v>1</v>
      </c>
      <c r="AE304">
        <v>0</v>
      </c>
      <c r="AF304" t="s">
        <v>28</v>
      </c>
      <c r="AG304">
        <v>0.1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ROW(Source!A520)</f>
        <v>520</v>
      </c>
      <c r="B305">
        <v>1472511655</v>
      </c>
      <c r="C305">
        <v>1472497134</v>
      </c>
      <c r="D305">
        <v>1441836235</v>
      </c>
      <c r="E305">
        <v>1</v>
      </c>
      <c r="F305">
        <v>1</v>
      </c>
      <c r="G305">
        <v>15514512</v>
      </c>
      <c r="H305">
        <v>3</v>
      </c>
      <c r="I305" t="s">
        <v>912</v>
      </c>
      <c r="J305" t="s">
        <v>913</v>
      </c>
      <c r="K305" t="s">
        <v>914</v>
      </c>
      <c r="L305">
        <v>1346</v>
      </c>
      <c r="N305">
        <v>1009</v>
      </c>
      <c r="O305" t="s">
        <v>898</v>
      </c>
      <c r="P305" t="s">
        <v>898</v>
      </c>
      <c r="Q305">
        <v>1</v>
      </c>
      <c r="X305">
        <v>0.03</v>
      </c>
      <c r="Y305">
        <v>31.49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0</v>
      </c>
      <c r="AF305" t="s">
        <v>28</v>
      </c>
      <c r="AG305">
        <v>0.06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ROW(Source!A521)</f>
        <v>521</v>
      </c>
      <c r="B306">
        <v>1472511681</v>
      </c>
      <c r="C306">
        <v>1472497144</v>
      </c>
      <c r="D306">
        <v>1441819193</v>
      </c>
      <c r="E306">
        <v>15514512</v>
      </c>
      <c r="F306">
        <v>1</v>
      </c>
      <c r="G306">
        <v>15514512</v>
      </c>
      <c r="H306">
        <v>1</v>
      </c>
      <c r="I306" t="s">
        <v>885</v>
      </c>
      <c r="J306" t="s">
        <v>3</v>
      </c>
      <c r="K306" t="s">
        <v>886</v>
      </c>
      <c r="L306">
        <v>1191</v>
      </c>
      <c r="N306">
        <v>1013</v>
      </c>
      <c r="O306" t="s">
        <v>887</v>
      </c>
      <c r="P306" t="s">
        <v>887</v>
      </c>
      <c r="Q306">
        <v>1</v>
      </c>
      <c r="X306">
        <v>135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1</v>
      </c>
      <c r="AF306" t="s">
        <v>388</v>
      </c>
      <c r="AG306">
        <v>90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ROW(Source!A521)</f>
        <v>521</v>
      </c>
      <c r="B307">
        <v>1472511682</v>
      </c>
      <c r="C307">
        <v>1472497144</v>
      </c>
      <c r="D307">
        <v>1441835475</v>
      </c>
      <c r="E307">
        <v>1</v>
      </c>
      <c r="F307">
        <v>1</v>
      </c>
      <c r="G307">
        <v>15514512</v>
      </c>
      <c r="H307">
        <v>3</v>
      </c>
      <c r="I307" t="s">
        <v>978</v>
      </c>
      <c r="J307" t="s">
        <v>979</v>
      </c>
      <c r="K307" t="s">
        <v>980</v>
      </c>
      <c r="L307">
        <v>1348</v>
      </c>
      <c r="N307">
        <v>1009</v>
      </c>
      <c r="O307" t="s">
        <v>905</v>
      </c>
      <c r="P307" t="s">
        <v>905</v>
      </c>
      <c r="Q307">
        <v>1000</v>
      </c>
      <c r="X307">
        <v>1.5E-3</v>
      </c>
      <c r="Y307">
        <v>155908.07999999999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0</v>
      </c>
      <c r="AF307" t="s">
        <v>388</v>
      </c>
      <c r="AG307">
        <v>1E-3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ROW(Source!A521)</f>
        <v>521</v>
      </c>
      <c r="B308">
        <v>1472511683</v>
      </c>
      <c r="C308">
        <v>1472497144</v>
      </c>
      <c r="D308">
        <v>1441835549</v>
      </c>
      <c r="E308">
        <v>1</v>
      </c>
      <c r="F308">
        <v>1</v>
      </c>
      <c r="G308">
        <v>15514512</v>
      </c>
      <c r="H308">
        <v>3</v>
      </c>
      <c r="I308" t="s">
        <v>981</v>
      </c>
      <c r="J308" t="s">
        <v>982</v>
      </c>
      <c r="K308" t="s">
        <v>983</v>
      </c>
      <c r="L308">
        <v>1348</v>
      </c>
      <c r="N308">
        <v>1009</v>
      </c>
      <c r="O308" t="s">
        <v>905</v>
      </c>
      <c r="P308" t="s">
        <v>905</v>
      </c>
      <c r="Q308">
        <v>1000</v>
      </c>
      <c r="X308">
        <v>2.9999999999999997E-4</v>
      </c>
      <c r="Y308">
        <v>194655.19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0</v>
      </c>
      <c r="AF308" t="s">
        <v>388</v>
      </c>
      <c r="AG308">
        <v>1.9999999999999998E-4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ROW(Source!A521)</f>
        <v>521</v>
      </c>
      <c r="B309">
        <v>1472511684</v>
      </c>
      <c r="C309">
        <v>1472497144</v>
      </c>
      <c r="D309">
        <v>1441836325</v>
      </c>
      <c r="E309">
        <v>1</v>
      </c>
      <c r="F309">
        <v>1</v>
      </c>
      <c r="G309">
        <v>15514512</v>
      </c>
      <c r="H309">
        <v>3</v>
      </c>
      <c r="I309" t="s">
        <v>984</v>
      </c>
      <c r="J309" t="s">
        <v>985</v>
      </c>
      <c r="K309" t="s">
        <v>986</v>
      </c>
      <c r="L309">
        <v>1348</v>
      </c>
      <c r="N309">
        <v>1009</v>
      </c>
      <c r="O309" t="s">
        <v>905</v>
      </c>
      <c r="P309" t="s">
        <v>905</v>
      </c>
      <c r="Q309">
        <v>1000</v>
      </c>
      <c r="X309">
        <v>1.1000000000000001E-3</v>
      </c>
      <c r="Y309">
        <v>108798.39999999999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388</v>
      </c>
      <c r="AG309">
        <v>7.3333333333333334E-4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ROW(Source!A521)</f>
        <v>521</v>
      </c>
      <c r="B310">
        <v>1472511685</v>
      </c>
      <c r="C310">
        <v>1472497144</v>
      </c>
      <c r="D310">
        <v>1441838531</v>
      </c>
      <c r="E310">
        <v>1</v>
      </c>
      <c r="F310">
        <v>1</v>
      </c>
      <c r="G310">
        <v>15514512</v>
      </c>
      <c r="H310">
        <v>3</v>
      </c>
      <c r="I310" t="s">
        <v>987</v>
      </c>
      <c r="J310" t="s">
        <v>988</v>
      </c>
      <c r="K310" t="s">
        <v>989</v>
      </c>
      <c r="L310">
        <v>1348</v>
      </c>
      <c r="N310">
        <v>1009</v>
      </c>
      <c r="O310" t="s">
        <v>905</v>
      </c>
      <c r="P310" t="s">
        <v>905</v>
      </c>
      <c r="Q310">
        <v>1000</v>
      </c>
      <c r="X310">
        <v>1.1000000000000001E-3</v>
      </c>
      <c r="Y310">
        <v>370783.55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388</v>
      </c>
      <c r="AG310">
        <v>7.3333333333333334E-4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ROW(Source!A521)</f>
        <v>521</v>
      </c>
      <c r="B311">
        <v>1472511686</v>
      </c>
      <c r="C311">
        <v>1472497144</v>
      </c>
      <c r="D311">
        <v>1441838759</v>
      </c>
      <c r="E311">
        <v>1</v>
      </c>
      <c r="F311">
        <v>1</v>
      </c>
      <c r="G311">
        <v>15514512</v>
      </c>
      <c r="H311">
        <v>3</v>
      </c>
      <c r="I311" t="s">
        <v>990</v>
      </c>
      <c r="J311" t="s">
        <v>991</v>
      </c>
      <c r="K311" t="s">
        <v>992</v>
      </c>
      <c r="L311">
        <v>1348</v>
      </c>
      <c r="N311">
        <v>1009</v>
      </c>
      <c r="O311" t="s">
        <v>905</v>
      </c>
      <c r="P311" t="s">
        <v>905</v>
      </c>
      <c r="Q311">
        <v>1000</v>
      </c>
      <c r="X311">
        <v>1.5E-3</v>
      </c>
      <c r="Y311">
        <v>1590701.16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0</v>
      </c>
      <c r="AF311" t="s">
        <v>388</v>
      </c>
      <c r="AG311">
        <v>1E-3</v>
      </c>
      <c r="AH311">
        <v>3</v>
      </c>
      <c r="AI311">
        <v>-1</v>
      </c>
      <c r="AJ311" t="s">
        <v>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ROW(Source!A521)</f>
        <v>521</v>
      </c>
      <c r="B312">
        <v>1472511687</v>
      </c>
      <c r="C312">
        <v>1472497144</v>
      </c>
      <c r="D312">
        <v>1441834635</v>
      </c>
      <c r="E312">
        <v>1</v>
      </c>
      <c r="F312">
        <v>1</v>
      </c>
      <c r="G312">
        <v>15514512</v>
      </c>
      <c r="H312">
        <v>3</v>
      </c>
      <c r="I312" t="s">
        <v>993</v>
      </c>
      <c r="J312" t="s">
        <v>994</v>
      </c>
      <c r="K312" t="s">
        <v>995</v>
      </c>
      <c r="L312">
        <v>1339</v>
      </c>
      <c r="N312">
        <v>1007</v>
      </c>
      <c r="O312" t="s">
        <v>891</v>
      </c>
      <c r="P312" t="s">
        <v>891</v>
      </c>
      <c r="Q312">
        <v>1</v>
      </c>
      <c r="X312">
        <v>2.4</v>
      </c>
      <c r="Y312">
        <v>103.4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0</v>
      </c>
      <c r="AF312" t="s">
        <v>388</v>
      </c>
      <c r="AG312">
        <v>1.5999999999999999</v>
      </c>
      <c r="AH312">
        <v>3</v>
      </c>
      <c r="AI312">
        <v>-1</v>
      </c>
      <c r="AJ312" t="s">
        <v>3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ROW(Source!A521)</f>
        <v>521</v>
      </c>
      <c r="B313">
        <v>1472511688</v>
      </c>
      <c r="C313">
        <v>1472497144</v>
      </c>
      <c r="D313">
        <v>1441834627</v>
      </c>
      <c r="E313">
        <v>1</v>
      </c>
      <c r="F313">
        <v>1</v>
      </c>
      <c r="G313">
        <v>15514512</v>
      </c>
      <c r="H313">
        <v>3</v>
      </c>
      <c r="I313" t="s">
        <v>996</v>
      </c>
      <c r="J313" t="s">
        <v>997</v>
      </c>
      <c r="K313" t="s">
        <v>998</v>
      </c>
      <c r="L313">
        <v>1339</v>
      </c>
      <c r="N313">
        <v>1007</v>
      </c>
      <c r="O313" t="s">
        <v>891</v>
      </c>
      <c r="P313" t="s">
        <v>891</v>
      </c>
      <c r="Q313">
        <v>1</v>
      </c>
      <c r="X313">
        <v>1.2</v>
      </c>
      <c r="Y313">
        <v>875.46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388</v>
      </c>
      <c r="AG313">
        <v>0.79999999999999993</v>
      </c>
      <c r="AH313">
        <v>3</v>
      </c>
      <c r="AI313">
        <v>-1</v>
      </c>
      <c r="AJ313" t="s">
        <v>3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ROW(Source!A521)</f>
        <v>521</v>
      </c>
      <c r="B314">
        <v>1472511689</v>
      </c>
      <c r="C314">
        <v>1472497144</v>
      </c>
      <c r="D314">
        <v>1441834671</v>
      </c>
      <c r="E314">
        <v>1</v>
      </c>
      <c r="F314">
        <v>1</v>
      </c>
      <c r="G314">
        <v>15514512</v>
      </c>
      <c r="H314">
        <v>3</v>
      </c>
      <c r="I314" t="s">
        <v>999</v>
      </c>
      <c r="J314" t="s">
        <v>1000</v>
      </c>
      <c r="K314" t="s">
        <v>1001</v>
      </c>
      <c r="L314">
        <v>1348</v>
      </c>
      <c r="N314">
        <v>1009</v>
      </c>
      <c r="O314" t="s">
        <v>905</v>
      </c>
      <c r="P314" t="s">
        <v>905</v>
      </c>
      <c r="Q314">
        <v>1000</v>
      </c>
      <c r="X314">
        <v>1.4E-3</v>
      </c>
      <c r="Y314">
        <v>184462.17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0</v>
      </c>
      <c r="AF314" t="s">
        <v>388</v>
      </c>
      <c r="AG314">
        <v>9.3333333333333332E-4</v>
      </c>
      <c r="AH314">
        <v>3</v>
      </c>
      <c r="AI314">
        <v>-1</v>
      </c>
      <c r="AJ314" t="s">
        <v>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ROW(Source!A521)</f>
        <v>521</v>
      </c>
      <c r="B315">
        <v>1472511690</v>
      </c>
      <c r="C315">
        <v>1472497144</v>
      </c>
      <c r="D315">
        <v>1441834634</v>
      </c>
      <c r="E315">
        <v>1</v>
      </c>
      <c r="F315">
        <v>1</v>
      </c>
      <c r="G315">
        <v>15514512</v>
      </c>
      <c r="H315">
        <v>3</v>
      </c>
      <c r="I315" t="s">
        <v>1002</v>
      </c>
      <c r="J315" t="s">
        <v>1003</v>
      </c>
      <c r="K315" t="s">
        <v>1004</v>
      </c>
      <c r="L315">
        <v>1348</v>
      </c>
      <c r="N315">
        <v>1009</v>
      </c>
      <c r="O315" t="s">
        <v>905</v>
      </c>
      <c r="P315" t="s">
        <v>905</v>
      </c>
      <c r="Q315">
        <v>1000</v>
      </c>
      <c r="X315">
        <v>1E-3</v>
      </c>
      <c r="Y315">
        <v>88053.759999999995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388</v>
      </c>
      <c r="AG315">
        <v>6.6666666666666664E-4</v>
      </c>
      <c r="AH315">
        <v>3</v>
      </c>
      <c r="AI315">
        <v>-1</v>
      </c>
      <c r="AJ315" t="s">
        <v>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ROW(Source!A521)</f>
        <v>521</v>
      </c>
      <c r="B316">
        <v>1472511691</v>
      </c>
      <c r="C316">
        <v>1472497144</v>
      </c>
      <c r="D316">
        <v>1441834836</v>
      </c>
      <c r="E316">
        <v>1</v>
      </c>
      <c r="F316">
        <v>1</v>
      </c>
      <c r="G316">
        <v>15514512</v>
      </c>
      <c r="H316">
        <v>3</v>
      </c>
      <c r="I316" t="s">
        <v>1005</v>
      </c>
      <c r="J316" t="s">
        <v>1006</v>
      </c>
      <c r="K316" t="s">
        <v>1007</v>
      </c>
      <c r="L316">
        <v>1348</v>
      </c>
      <c r="N316">
        <v>1009</v>
      </c>
      <c r="O316" t="s">
        <v>905</v>
      </c>
      <c r="P316" t="s">
        <v>905</v>
      </c>
      <c r="Q316">
        <v>1000</v>
      </c>
      <c r="X316">
        <v>6.3099999999999996E-3</v>
      </c>
      <c r="Y316">
        <v>93194.67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388</v>
      </c>
      <c r="AG316">
        <v>4.2066666666666667E-3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ROW(Source!A521)</f>
        <v>521</v>
      </c>
      <c r="B317">
        <v>1472511692</v>
      </c>
      <c r="C317">
        <v>1472497144</v>
      </c>
      <c r="D317">
        <v>1441834853</v>
      </c>
      <c r="E317">
        <v>1</v>
      </c>
      <c r="F317">
        <v>1</v>
      </c>
      <c r="G317">
        <v>15514512</v>
      </c>
      <c r="H317">
        <v>3</v>
      </c>
      <c r="I317" t="s">
        <v>1008</v>
      </c>
      <c r="J317" t="s">
        <v>1009</v>
      </c>
      <c r="K317" t="s">
        <v>1010</v>
      </c>
      <c r="L317">
        <v>1348</v>
      </c>
      <c r="N317">
        <v>1009</v>
      </c>
      <c r="O317" t="s">
        <v>905</v>
      </c>
      <c r="P317" t="s">
        <v>905</v>
      </c>
      <c r="Q317">
        <v>1000</v>
      </c>
      <c r="X317">
        <v>2.3E-3</v>
      </c>
      <c r="Y317">
        <v>78065.73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0</v>
      </c>
      <c r="AF317" t="s">
        <v>388</v>
      </c>
      <c r="AG317">
        <v>1.5333333333333334E-3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ROW(Source!A521)</f>
        <v>521</v>
      </c>
      <c r="B318">
        <v>1472511694</v>
      </c>
      <c r="C318">
        <v>1472497144</v>
      </c>
      <c r="D318">
        <v>1441822273</v>
      </c>
      <c r="E318">
        <v>15514512</v>
      </c>
      <c r="F318">
        <v>1</v>
      </c>
      <c r="G318">
        <v>15514512</v>
      </c>
      <c r="H318">
        <v>3</v>
      </c>
      <c r="I318" t="s">
        <v>967</v>
      </c>
      <c r="J318" t="s">
        <v>3</v>
      </c>
      <c r="K318" t="s">
        <v>969</v>
      </c>
      <c r="L318">
        <v>1348</v>
      </c>
      <c r="N318">
        <v>1009</v>
      </c>
      <c r="O318" t="s">
        <v>905</v>
      </c>
      <c r="P318" t="s">
        <v>905</v>
      </c>
      <c r="Q318">
        <v>1000</v>
      </c>
      <c r="X318">
        <v>6.8999999999999997E-4</v>
      </c>
      <c r="Y318">
        <v>94640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0</v>
      </c>
      <c r="AF318" t="s">
        <v>388</v>
      </c>
      <c r="AG318">
        <v>4.5999999999999996E-4</v>
      </c>
      <c r="AH318">
        <v>3</v>
      </c>
      <c r="AI318">
        <v>-1</v>
      </c>
      <c r="AJ318" t="s">
        <v>3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ROW(Source!A521)</f>
        <v>521</v>
      </c>
      <c r="B319">
        <v>1472511693</v>
      </c>
      <c r="C319">
        <v>1472497144</v>
      </c>
      <c r="D319">
        <v>1441850453</v>
      </c>
      <c r="E319">
        <v>1</v>
      </c>
      <c r="F319">
        <v>1</v>
      </c>
      <c r="G319">
        <v>15514512</v>
      </c>
      <c r="H319">
        <v>3</v>
      </c>
      <c r="I319" t="s">
        <v>935</v>
      </c>
      <c r="J319" t="s">
        <v>1011</v>
      </c>
      <c r="K319" t="s">
        <v>936</v>
      </c>
      <c r="L319">
        <v>1348</v>
      </c>
      <c r="N319">
        <v>1009</v>
      </c>
      <c r="O319" t="s">
        <v>905</v>
      </c>
      <c r="P319" t="s">
        <v>905</v>
      </c>
      <c r="Q319">
        <v>1000</v>
      </c>
      <c r="X319">
        <v>1.4E-3</v>
      </c>
      <c r="Y319">
        <v>178433.97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0</v>
      </c>
      <c r="AF319" t="s">
        <v>388</v>
      </c>
      <c r="AG319">
        <v>9.3333333333333332E-4</v>
      </c>
      <c r="AH319">
        <v>3</v>
      </c>
      <c r="AI319">
        <v>-1</v>
      </c>
      <c r="AJ319" t="s">
        <v>3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ROW(Source!A522)</f>
        <v>522</v>
      </c>
      <c r="B320">
        <v>1472511715</v>
      </c>
      <c r="C320">
        <v>1472497209</v>
      </c>
      <c r="D320">
        <v>1441819193</v>
      </c>
      <c r="E320">
        <v>15514512</v>
      </c>
      <c r="F320">
        <v>1</v>
      </c>
      <c r="G320">
        <v>15514512</v>
      </c>
      <c r="H320">
        <v>1</v>
      </c>
      <c r="I320" t="s">
        <v>885</v>
      </c>
      <c r="J320" t="s">
        <v>3</v>
      </c>
      <c r="K320" t="s">
        <v>886</v>
      </c>
      <c r="L320">
        <v>1191</v>
      </c>
      <c r="N320">
        <v>1013</v>
      </c>
      <c r="O320" t="s">
        <v>887</v>
      </c>
      <c r="P320" t="s">
        <v>887</v>
      </c>
      <c r="Q320">
        <v>1</v>
      </c>
      <c r="X320">
        <v>20.84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1</v>
      </c>
      <c r="AF320" t="s">
        <v>3</v>
      </c>
      <c r="AG320">
        <v>20.84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ROW(Source!A522)</f>
        <v>522</v>
      </c>
      <c r="B321">
        <v>1472511716</v>
      </c>
      <c r="C321">
        <v>1472497209</v>
      </c>
      <c r="D321">
        <v>1441833954</v>
      </c>
      <c r="E321">
        <v>1</v>
      </c>
      <c r="F321">
        <v>1</v>
      </c>
      <c r="G321">
        <v>15514512</v>
      </c>
      <c r="H321">
        <v>2</v>
      </c>
      <c r="I321" t="s">
        <v>940</v>
      </c>
      <c r="J321" t="s">
        <v>941</v>
      </c>
      <c r="K321" t="s">
        <v>942</v>
      </c>
      <c r="L321">
        <v>1368</v>
      </c>
      <c r="N321">
        <v>1011</v>
      </c>
      <c r="O321" t="s">
        <v>895</v>
      </c>
      <c r="P321" t="s">
        <v>895</v>
      </c>
      <c r="Q321">
        <v>1</v>
      </c>
      <c r="X321">
        <v>0.83</v>
      </c>
      <c r="Y321">
        <v>0</v>
      </c>
      <c r="Z321">
        <v>59.51</v>
      </c>
      <c r="AA321">
        <v>0.82</v>
      </c>
      <c r="AB321">
        <v>0</v>
      </c>
      <c r="AC321">
        <v>0</v>
      </c>
      <c r="AD321">
        <v>1</v>
      </c>
      <c r="AE321">
        <v>0</v>
      </c>
      <c r="AF321" t="s">
        <v>3</v>
      </c>
      <c r="AG321">
        <v>0.83</v>
      </c>
      <c r="AH321">
        <v>3</v>
      </c>
      <c r="AI321">
        <v>-1</v>
      </c>
      <c r="AJ321" t="s">
        <v>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ROW(Source!A522)</f>
        <v>522</v>
      </c>
      <c r="B322">
        <v>1472511717</v>
      </c>
      <c r="C322">
        <v>1472497209</v>
      </c>
      <c r="D322">
        <v>1441836235</v>
      </c>
      <c r="E322">
        <v>1</v>
      </c>
      <c r="F322">
        <v>1</v>
      </c>
      <c r="G322">
        <v>15514512</v>
      </c>
      <c r="H322">
        <v>3</v>
      </c>
      <c r="I322" t="s">
        <v>912</v>
      </c>
      <c r="J322" t="s">
        <v>913</v>
      </c>
      <c r="K322" t="s">
        <v>914</v>
      </c>
      <c r="L322">
        <v>1346</v>
      </c>
      <c r="N322">
        <v>1009</v>
      </c>
      <c r="O322" t="s">
        <v>898</v>
      </c>
      <c r="P322" t="s">
        <v>898</v>
      </c>
      <c r="Q322">
        <v>1</v>
      </c>
      <c r="X322">
        <v>1.42</v>
      </c>
      <c r="Y322">
        <v>31.49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0</v>
      </c>
      <c r="AF322" t="s">
        <v>3</v>
      </c>
      <c r="AG322">
        <v>1.42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ROW(Source!A522)</f>
        <v>522</v>
      </c>
      <c r="B323">
        <v>1472511718</v>
      </c>
      <c r="C323">
        <v>1472497209</v>
      </c>
      <c r="D323">
        <v>1441821379</v>
      </c>
      <c r="E323">
        <v>15514512</v>
      </c>
      <c r="F323">
        <v>1</v>
      </c>
      <c r="G323">
        <v>15514512</v>
      </c>
      <c r="H323">
        <v>3</v>
      </c>
      <c r="I323" t="s">
        <v>965</v>
      </c>
      <c r="J323" t="s">
        <v>3</v>
      </c>
      <c r="K323" t="s">
        <v>966</v>
      </c>
      <c r="L323">
        <v>1346</v>
      </c>
      <c r="N323">
        <v>1009</v>
      </c>
      <c r="O323" t="s">
        <v>898</v>
      </c>
      <c r="P323" t="s">
        <v>898</v>
      </c>
      <c r="Q323">
        <v>1</v>
      </c>
      <c r="X323">
        <v>0.13</v>
      </c>
      <c r="Y323">
        <v>89.933959999999999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0</v>
      </c>
      <c r="AF323" t="s">
        <v>3</v>
      </c>
      <c r="AG323">
        <v>0.13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ROW(Source!A523)</f>
        <v>523</v>
      </c>
      <c r="B324">
        <v>1472511740</v>
      </c>
      <c r="C324">
        <v>1472497229</v>
      </c>
      <c r="D324">
        <v>1441819193</v>
      </c>
      <c r="E324">
        <v>15514512</v>
      </c>
      <c r="F324">
        <v>1</v>
      </c>
      <c r="G324">
        <v>15514512</v>
      </c>
      <c r="H324">
        <v>1</v>
      </c>
      <c r="I324" t="s">
        <v>885</v>
      </c>
      <c r="J324" t="s">
        <v>3</v>
      </c>
      <c r="K324" t="s">
        <v>886</v>
      </c>
      <c r="L324">
        <v>1191</v>
      </c>
      <c r="N324">
        <v>1013</v>
      </c>
      <c r="O324" t="s">
        <v>887</v>
      </c>
      <c r="P324" t="s">
        <v>887</v>
      </c>
      <c r="Q324">
        <v>1</v>
      </c>
      <c r="X324">
        <v>6.8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1</v>
      </c>
      <c r="AF324" t="s">
        <v>28</v>
      </c>
      <c r="AG324">
        <v>13.6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ROW(Source!A523)</f>
        <v>523</v>
      </c>
      <c r="B325">
        <v>1472511741</v>
      </c>
      <c r="C325">
        <v>1472497229</v>
      </c>
      <c r="D325">
        <v>1441833954</v>
      </c>
      <c r="E325">
        <v>1</v>
      </c>
      <c r="F325">
        <v>1</v>
      </c>
      <c r="G325">
        <v>15514512</v>
      </c>
      <c r="H325">
        <v>2</v>
      </c>
      <c r="I325" t="s">
        <v>940</v>
      </c>
      <c r="J325" t="s">
        <v>941</v>
      </c>
      <c r="K325" t="s">
        <v>942</v>
      </c>
      <c r="L325">
        <v>1368</v>
      </c>
      <c r="N325">
        <v>1011</v>
      </c>
      <c r="O325" t="s">
        <v>895</v>
      </c>
      <c r="P325" t="s">
        <v>895</v>
      </c>
      <c r="Q325">
        <v>1</v>
      </c>
      <c r="X325">
        <v>0.16</v>
      </c>
      <c r="Y325">
        <v>0</v>
      </c>
      <c r="Z325">
        <v>59.51</v>
      </c>
      <c r="AA325">
        <v>0.82</v>
      </c>
      <c r="AB325">
        <v>0</v>
      </c>
      <c r="AC325">
        <v>0</v>
      </c>
      <c r="AD325">
        <v>1</v>
      </c>
      <c r="AE325">
        <v>0</v>
      </c>
      <c r="AF325" t="s">
        <v>28</v>
      </c>
      <c r="AG325">
        <v>0.32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ROW(Source!A523)</f>
        <v>523</v>
      </c>
      <c r="B326">
        <v>1472511742</v>
      </c>
      <c r="C326">
        <v>1472497229</v>
      </c>
      <c r="D326">
        <v>1441836235</v>
      </c>
      <c r="E326">
        <v>1</v>
      </c>
      <c r="F326">
        <v>1</v>
      </c>
      <c r="G326">
        <v>15514512</v>
      </c>
      <c r="H326">
        <v>3</v>
      </c>
      <c r="I326" t="s">
        <v>912</v>
      </c>
      <c r="J326" t="s">
        <v>913</v>
      </c>
      <c r="K326" t="s">
        <v>914</v>
      </c>
      <c r="L326">
        <v>1346</v>
      </c>
      <c r="N326">
        <v>1009</v>
      </c>
      <c r="O326" t="s">
        <v>898</v>
      </c>
      <c r="P326" t="s">
        <v>898</v>
      </c>
      <c r="Q326">
        <v>1</v>
      </c>
      <c r="X326">
        <v>1.34</v>
      </c>
      <c r="Y326">
        <v>31.49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0</v>
      </c>
      <c r="AF326" t="s">
        <v>28</v>
      </c>
      <c r="AG326">
        <v>2.68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ROW(Source!A524)</f>
        <v>524</v>
      </c>
      <c r="B327">
        <v>1472511748</v>
      </c>
      <c r="C327">
        <v>1472497242</v>
      </c>
      <c r="D327">
        <v>1441819193</v>
      </c>
      <c r="E327">
        <v>15514512</v>
      </c>
      <c r="F327">
        <v>1</v>
      </c>
      <c r="G327">
        <v>15514512</v>
      </c>
      <c r="H327">
        <v>1</v>
      </c>
      <c r="I327" t="s">
        <v>885</v>
      </c>
      <c r="J327" t="s">
        <v>3</v>
      </c>
      <c r="K327" t="s">
        <v>886</v>
      </c>
      <c r="L327">
        <v>1191</v>
      </c>
      <c r="N327">
        <v>1013</v>
      </c>
      <c r="O327" t="s">
        <v>887</v>
      </c>
      <c r="P327" t="s">
        <v>887</v>
      </c>
      <c r="Q327">
        <v>1</v>
      </c>
      <c r="X327">
        <v>3.9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1</v>
      </c>
      <c r="AF327" t="s">
        <v>28</v>
      </c>
      <c r="AG327">
        <v>7.8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ROW(Source!A524)</f>
        <v>524</v>
      </c>
      <c r="B328">
        <v>1472511749</v>
      </c>
      <c r="C328">
        <v>1472497242</v>
      </c>
      <c r="D328">
        <v>1441833954</v>
      </c>
      <c r="E328">
        <v>1</v>
      </c>
      <c r="F328">
        <v>1</v>
      </c>
      <c r="G328">
        <v>15514512</v>
      </c>
      <c r="H328">
        <v>2</v>
      </c>
      <c r="I328" t="s">
        <v>940</v>
      </c>
      <c r="J328" t="s">
        <v>941</v>
      </c>
      <c r="K328" t="s">
        <v>942</v>
      </c>
      <c r="L328">
        <v>1368</v>
      </c>
      <c r="N328">
        <v>1011</v>
      </c>
      <c r="O328" t="s">
        <v>895</v>
      </c>
      <c r="P328" t="s">
        <v>895</v>
      </c>
      <c r="Q328">
        <v>1</v>
      </c>
      <c r="X328">
        <v>0.16</v>
      </c>
      <c r="Y328">
        <v>0</v>
      </c>
      <c r="Z328">
        <v>59.51</v>
      </c>
      <c r="AA328">
        <v>0.82</v>
      </c>
      <c r="AB328">
        <v>0</v>
      </c>
      <c r="AC328">
        <v>0</v>
      </c>
      <c r="AD328">
        <v>1</v>
      </c>
      <c r="AE328">
        <v>0</v>
      </c>
      <c r="AF328" t="s">
        <v>28</v>
      </c>
      <c r="AG328">
        <v>0.32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ROW(Source!A524)</f>
        <v>524</v>
      </c>
      <c r="B329">
        <v>1472511750</v>
      </c>
      <c r="C329">
        <v>1472497242</v>
      </c>
      <c r="D329">
        <v>1441836235</v>
      </c>
      <c r="E329">
        <v>1</v>
      </c>
      <c r="F329">
        <v>1</v>
      </c>
      <c r="G329">
        <v>15514512</v>
      </c>
      <c r="H329">
        <v>3</v>
      </c>
      <c r="I329" t="s">
        <v>912</v>
      </c>
      <c r="J329" t="s">
        <v>913</v>
      </c>
      <c r="K329" t="s">
        <v>914</v>
      </c>
      <c r="L329">
        <v>1346</v>
      </c>
      <c r="N329">
        <v>1009</v>
      </c>
      <c r="O329" t="s">
        <v>898</v>
      </c>
      <c r="P329" t="s">
        <v>898</v>
      </c>
      <c r="Q329">
        <v>1</v>
      </c>
      <c r="X329">
        <v>0.09</v>
      </c>
      <c r="Y329">
        <v>31.49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0</v>
      </c>
      <c r="AF329" t="s">
        <v>28</v>
      </c>
      <c r="AG329">
        <v>0.18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ROW(Source!A525)</f>
        <v>525</v>
      </c>
      <c r="B330">
        <v>1472511785</v>
      </c>
      <c r="C330">
        <v>1472497257</v>
      </c>
      <c r="D330">
        <v>1441819193</v>
      </c>
      <c r="E330">
        <v>15514512</v>
      </c>
      <c r="F330">
        <v>1</v>
      </c>
      <c r="G330">
        <v>15514512</v>
      </c>
      <c r="H330">
        <v>1</v>
      </c>
      <c r="I330" t="s">
        <v>885</v>
      </c>
      <c r="J330" t="s">
        <v>3</v>
      </c>
      <c r="K330" t="s">
        <v>886</v>
      </c>
      <c r="L330">
        <v>1191</v>
      </c>
      <c r="N330">
        <v>1013</v>
      </c>
      <c r="O330" t="s">
        <v>887</v>
      </c>
      <c r="P330" t="s">
        <v>887</v>
      </c>
      <c r="Q330">
        <v>1</v>
      </c>
      <c r="X330">
        <v>9.6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1</v>
      </c>
      <c r="AF330" t="s">
        <v>3</v>
      </c>
      <c r="AG330">
        <v>9.6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ROW(Source!A525)</f>
        <v>525</v>
      </c>
      <c r="B331">
        <v>1472511786</v>
      </c>
      <c r="C331">
        <v>1472497257</v>
      </c>
      <c r="D331">
        <v>1441834142</v>
      </c>
      <c r="E331">
        <v>1</v>
      </c>
      <c r="F331">
        <v>1</v>
      </c>
      <c r="G331">
        <v>15514512</v>
      </c>
      <c r="H331">
        <v>2</v>
      </c>
      <c r="I331" t="s">
        <v>1012</v>
      </c>
      <c r="J331" t="s">
        <v>1013</v>
      </c>
      <c r="K331" t="s">
        <v>1014</v>
      </c>
      <c r="L331">
        <v>1368</v>
      </c>
      <c r="N331">
        <v>1011</v>
      </c>
      <c r="O331" t="s">
        <v>895</v>
      </c>
      <c r="P331" t="s">
        <v>895</v>
      </c>
      <c r="Q331">
        <v>1</v>
      </c>
      <c r="X331">
        <v>2.23</v>
      </c>
      <c r="Y331">
        <v>0</v>
      </c>
      <c r="Z331">
        <v>10.14</v>
      </c>
      <c r="AA331">
        <v>0.31</v>
      </c>
      <c r="AB331">
        <v>0</v>
      </c>
      <c r="AC331">
        <v>0</v>
      </c>
      <c r="AD331">
        <v>1</v>
      </c>
      <c r="AE331">
        <v>0</v>
      </c>
      <c r="AF331" t="s">
        <v>3</v>
      </c>
      <c r="AG331">
        <v>2.23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ROW(Source!A525)</f>
        <v>525</v>
      </c>
      <c r="B332">
        <v>1472511787</v>
      </c>
      <c r="C332">
        <v>1472497257</v>
      </c>
      <c r="D332">
        <v>1441834258</v>
      </c>
      <c r="E332">
        <v>1</v>
      </c>
      <c r="F332">
        <v>1</v>
      </c>
      <c r="G332">
        <v>15514512</v>
      </c>
      <c r="H332">
        <v>2</v>
      </c>
      <c r="I332" t="s">
        <v>892</v>
      </c>
      <c r="J332" t="s">
        <v>893</v>
      </c>
      <c r="K332" t="s">
        <v>894</v>
      </c>
      <c r="L332">
        <v>1368</v>
      </c>
      <c r="N332">
        <v>1011</v>
      </c>
      <c r="O332" t="s">
        <v>895</v>
      </c>
      <c r="P332" t="s">
        <v>895</v>
      </c>
      <c r="Q332">
        <v>1</v>
      </c>
      <c r="X332">
        <v>2.4500000000000002</v>
      </c>
      <c r="Y332">
        <v>0</v>
      </c>
      <c r="Z332">
        <v>1303.01</v>
      </c>
      <c r="AA332">
        <v>826.2</v>
      </c>
      <c r="AB332">
        <v>0</v>
      </c>
      <c r="AC332">
        <v>0</v>
      </c>
      <c r="AD332">
        <v>1</v>
      </c>
      <c r="AE332">
        <v>0</v>
      </c>
      <c r="AF332" t="s">
        <v>3</v>
      </c>
      <c r="AG332">
        <v>2.4500000000000002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ROW(Source!A525)</f>
        <v>525</v>
      </c>
      <c r="B333">
        <v>1472511788</v>
      </c>
      <c r="C333">
        <v>1472497257</v>
      </c>
      <c r="D333">
        <v>1441836395</v>
      </c>
      <c r="E333">
        <v>1</v>
      </c>
      <c r="F333">
        <v>1</v>
      </c>
      <c r="G333">
        <v>15514512</v>
      </c>
      <c r="H333">
        <v>3</v>
      </c>
      <c r="I333" t="s">
        <v>1015</v>
      </c>
      <c r="J333" t="s">
        <v>1016</v>
      </c>
      <c r="K333" t="s">
        <v>1017</v>
      </c>
      <c r="L333">
        <v>1346</v>
      </c>
      <c r="N333">
        <v>1009</v>
      </c>
      <c r="O333" t="s">
        <v>898</v>
      </c>
      <c r="P333" t="s">
        <v>898</v>
      </c>
      <c r="Q333">
        <v>1</v>
      </c>
      <c r="X333">
        <v>0.32</v>
      </c>
      <c r="Y333">
        <v>1021.71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0</v>
      </c>
      <c r="AF333" t="s">
        <v>3</v>
      </c>
      <c r="AG333">
        <v>0.32</v>
      </c>
      <c r="AH333">
        <v>3</v>
      </c>
      <c r="AI333">
        <v>-1</v>
      </c>
      <c r="AJ333" t="s">
        <v>3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ROW(Source!A526)</f>
        <v>526</v>
      </c>
      <c r="B334">
        <v>1472511794</v>
      </c>
      <c r="C334">
        <v>1472497283</v>
      </c>
      <c r="D334">
        <v>1441819193</v>
      </c>
      <c r="E334">
        <v>15514512</v>
      </c>
      <c r="F334">
        <v>1</v>
      </c>
      <c r="G334">
        <v>15514512</v>
      </c>
      <c r="H334">
        <v>1</v>
      </c>
      <c r="I334" t="s">
        <v>885</v>
      </c>
      <c r="J334" t="s">
        <v>3</v>
      </c>
      <c r="K334" t="s">
        <v>886</v>
      </c>
      <c r="L334">
        <v>1191</v>
      </c>
      <c r="N334">
        <v>1013</v>
      </c>
      <c r="O334" t="s">
        <v>887</v>
      </c>
      <c r="P334" t="s">
        <v>887</v>
      </c>
      <c r="Q334">
        <v>1</v>
      </c>
      <c r="X334">
        <v>10.5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1</v>
      </c>
      <c r="AF334" t="s">
        <v>3</v>
      </c>
      <c r="AG334">
        <v>10.5</v>
      </c>
      <c r="AH334">
        <v>3</v>
      </c>
      <c r="AI334">
        <v>-1</v>
      </c>
      <c r="AJ334" t="s">
        <v>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ROW(Source!A526)</f>
        <v>526</v>
      </c>
      <c r="B335">
        <v>1472511795</v>
      </c>
      <c r="C335">
        <v>1472497283</v>
      </c>
      <c r="D335">
        <v>1441834142</v>
      </c>
      <c r="E335">
        <v>1</v>
      </c>
      <c r="F335">
        <v>1</v>
      </c>
      <c r="G335">
        <v>15514512</v>
      </c>
      <c r="H335">
        <v>2</v>
      </c>
      <c r="I335" t="s">
        <v>1012</v>
      </c>
      <c r="J335" t="s">
        <v>1013</v>
      </c>
      <c r="K335" t="s">
        <v>1014</v>
      </c>
      <c r="L335">
        <v>1368</v>
      </c>
      <c r="N335">
        <v>1011</v>
      </c>
      <c r="O335" t="s">
        <v>895</v>
      </c>
      <c r="P335" t="s">
        <v>895</v>
      </c>
      <c r="Q335">
        <v>1</v>
      </c>
      <c r="X335">
        <v>2.27</v>
      </c>
      <c r="Y335">
        <v>0</v>
      </c>
      <c r="Z335">
        <v>10.14</v>
      </c>
      <c r="AA335">
        <v>0.31</v>
      </c>
      <c r="AB335">
        <v>0</v>
      </c>
      <c r="AC335">
        <v>0</v>
      </c>
      <c r="AD335">
        <v>1</v>
      </c>
      <c r="AE335">
        <v>0</v>
      </c>
      <c r="AF335" t="s">
        <v>3</v>
      </c>
      <c r="AG335">
        <v>2.27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ROW(Source!A526)</f>
        <v>526</v>
      </c>
      <c r="B336">
        <v>1472511796</v>
      </c>
      <c r="C336">
        <v>1472497283</v>
      </c>
      <c r="D336">
        <v>1441834258</v>
      </c>
      <c r="E336">
        <v>1</v>
      </c>
      <c r="F336">
        <v>1</v>
      </c>
      <c r="G336">
        <v>15514512</v>
      </c>
      <c r="H336">
        <v>2</v>
      </c>
      <c r="I336" t="s">
        <v>892</v>
      </c>
      <c r="J336" t="s">
        <v>893</v>
      </c>
      <c r="K336" t="s">
        <v>894</v>
      </c>
      <c r="L336">
        <v>1368</v>
      </c>
      <c r="N336">
        <v>1011</v>
      </c>
      <c r="O336" t="s">
        <v>895</v>
      </c>
      <c r="P336" t="s">
        <v>895</v>
      </c>
      <c r="Q336">
        <v>1</v>
      </c>
      <c r="X336">
        <v>2.68</v>
      </c>
      <c r="Y336">
        <v>0</v>
      </c>
      <c r="Z336">
        <v>1303.01</v>
      </c>
      <c r="AA336">
        <v>826.2</v>
      </c>
      <c r="AB336">
        <v>0</v>
      </c>
      <c r="AC336">
        <v>0</v>
      </c>
      <c r="AD336">
        <v>1</v>
      </c>
      <c r="AE336">
        <v>0</v>
      </c>
      <c r="AF336" t="s">
        <v>3</v>
      </c>
      <c r="AG336">
        <v>2.68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ROW(Source!A526)</f>
        <v>526</v>
      </c>
      <c r="B337">
        <v>1472511797</v>
      </c>
      <c r="C337">
        <v>1472497283</v>
      </c>
      <c r="D337">
        <v>1441836395</v>
      </c>
      <c r="E337">
        <v>1</v>
      </c>
      <c r="F337">
        <v>1</v>
      </c>
      <c r="G337">
        <v>15514512</v>
      </c>
      <c r="H337">
        <v>3</v>
      </c>
      <c r="I337" t="s">
        <v>1015</v>
      </c>
      <c r="J337" t="s">
        <v>1016</v>
      </c>
      <c r="K337" t="s">
        <v>1017</v>
      </c>
      <c r="L337">
        <v>1346</v>
      </c>
      <c r="N337">
        <v>1009</v>
      </c>
      <c r="O337" t="s">
        <v>898</v>
      </c>
      <c r="P337" t="s">
        <v>898</v>
      </c>
      <c r="Q337">
        <v>1</v>
      </c>
      <c r="X337">
        <v>0.57999999999999996</v>
      </c>
      <c r="Y337">
        <v>1021.71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0</v>
      </c>
      <c r="AF337" t="s">
        <v>3</v>
      </c>
      <c r="AG337">
        <v>0.57999999999999996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ROW(Source!A527)</f>
        <v>527</v>
      </c>
      <c r="B338">
        <v>1472511828</v>
      </c>
      <c r="C338">
        <v>1472497297</v>
      </c>
      <c r="D338">
        <v>1441819193</v>
      </c>
      <c r="E338">
        <v>15514512</v>
      </c>
      <c r="F338">
        <v>1</v>
      </c>
      <c r="G338">
        <v>15514512</v>
      </c>
      <c r="H338">
        <v>1</v>
      </c>
      <c r="I338" t="s">
        <v>885</v>
      </c>
      <c r="J338" t="s">
        <v>3</v>
      </c>
      <c r="K338" t="s">
        <v>886</v>
      </c>
      <c r="L338">
        <v>1191</v>
      </c>
      <c r="N338">
        <v>1013</v>
      </c>
      <c r="O338" t="s">
        <v>887</v>
      </c>
      <c r="P338" t="s">
        <v>887</v>
      </c>
      <c r="Q338">
        <v>1</v>
      </c>
      <c r="X338">
        <v>9.6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1</v>
      </c>
      <c r="AF338" t="s">
        <v>3</v>
      </c>
      <c r="AG338">
        <v>9.6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ROW(Source!A527)</f>
        <v>527</v>
      </c>
      <c r="B339">
        <v>1472511829</v>
      </c>
      <c r="C339">
        <v>1472497297</v>
      </c>
      <c r="D339">
        <v>1441834142</v>
      </c>
      <c r="E339">
        <v>1</v>
      </c>
      <c r="F339">
        <v>1</v>
      </c>
      <c r="G339">
        <v>15514512</v>
      </c>
      <c r="H339">
        <v>2</v>
      </c>
      <c r="I339" t="s">
        <v>1012</v>
      </c>
      <c r="J339" t="s">
        <v>1013</v>
      </c>
      <c r="K339" t="s">
        <v>1014</v>
      </c>
      <c r="L339">
        <v>1368</v>
      </c>
      <c r="N339">
        <v>1011</v>
      </c>
      <c r="O339" t="s">
        <v>895</v>
      </c>
      <c r="P339" t="s">
        <v>895</v>
      </c>
      <c r="Q339">
        <v>1</v>
      </c>
      <c r="X339">
        <v>2.23</v>
      </c>
      <c r="Y339">
        <v>0</v>
      </c>
      <c r="Z339">
        <v>10.14</v>
      </c>
      <c r="AA339">
        <v>0.31</v>
      </c>
      <c r="AB339">
        <v>0</v>
      </c>
      <c r="AC339">
        <v>0</v>
      </c>
      <c r="AD339">
        <v>1</v>
      </c>
      <c r="AE339">
        <v>0</v>
      </c>
      <c r="AF339" t="s">
        <v>3</v>
      </c>
      <c r="AG339">
        <v>2.23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ROW(Source!A527)</f>
        <v>527</v>
      </c>
      <c r="B340">
        <v>1472511830</v>
      </c>
      <c r="C340">
        <v>1472497297</v>
      </c>
      <c r="D340">
        <v>1441834258</v>
      </c>
      <c r="E340">
        <v>1</v>
      </c>
      <c r="F340">
        <v>1</v>
      </c>
      <c r="G340">
        <v>15514512</v>
      </c>
      <c r="H340">
        <v>2</v>
      </c>
      <c r="I340" t="s">
        <v>892</v>
      </c>
      <c r="J340" t="s">
        <v>893</v>
      </c>
      <c r="K340" t="s">
        <v>894</v>
      </c>
      <c r="L340">
        <v>1368</v>
      </c>
      <c r="N340">
        <v>1011</v>
      </c>
      <c r="O340" t="s">
        <v>895</v>
      </c>
      <c r="P340" t="s">
        <v>895</v>
      </c>
      <c r="Q340">
        <v>1</v>
      </c>
      <c r="X340">
        <v>2.4500000000000002</v>
      </c>
      <c r="Y340">
        <v>0</v>
      </c>
      <c r="Z340">
        <v>1303.01</v>
      </c>
      <c r="AA340">
        <v>826.2</v>
      </c>
      <c r="AB340">
        <v>0</v>
      </c>
      <c r="AC340">
        <v>0</v>
      </c>
      <c r="AD340">
        <v>1</v>
      </c>
      <c r="AE340">
        <v>0</v>
      </c>
      <c r="AF340" t="s">
        <v>3</v>
      </c>
      <c r="AG340">
        <v>2.4500000000000002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ROW(Source!A527)</f>
        <v>527</v>
      </c>
      <c r="B341">
        <v>1472511831</v>
      </c>
      <c r="C341">
        <v>1472497297</v>
      </c>
      <c r="D341">
        <v>1441836395</v>
      </c>
      <c r="E341">
        <v>1</v>
      </c>
      <c r="F341">
        <v>1</v>
      </c>
      <c r="G341">
        <v>15514512</v>
      </c>
      <c r="H341">
        <v>3</v>
      </c>
      <c r="I341" t="s">
        <v>1015</v>
      </c>
      <c r="J341" t="s">
        <v>1016</v>
      </c>
      <c r="K341" t="s">
        <v>1017</v>
      </c>
      <c r="L341">
        <v>1346</v>
      </c>
      <c r="N341">
        <v>1009</v>
      </c>
      <c r="O341" t="s">
        <v>898</v>
      </c>
      <c r="P341" t="s">
        <v>898</v>
      </c>
      <c r="Q341">
        <v>1</v>
      </c>
      <c r="X341">
        <v>0.32</v>
      </c>
      <c r="Y341">
        <v>1021.71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0</v>
      </c>
      <c r="AF341" t="s">
        <v>3</v>
      </c>
      <c r="AG341">
        <v>0.32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ROW(Source!A528)</f>
        <v>528</v>
      </c>
      <c r="B342">
        <v>1472511839</v>
      </c>
      <c r="C342">
        <v>1472497334</v>
      </c>
      <c r="D342">
        <v>1441819193</v>
      </c>
      <c r="E342">
        <v>15514512</v>
      </c>
      <c r="F342">
        <v>1</v>
      </c>
      <c r="G342">
        <v>15514512</v>
      </c>
      <c r="H342">
        <v>1</v>
      </c>
      <c r="I342" t="s">
        <v>885</v>
      </c>
      <c r="J342" t="s">
        <v>3</v>
      </c>
      <c r="K342" t="s">
        <v>886</v>
      </c>
      <c r="L342">
        <v>1191</v>
      </c>
      <c r="N342">
        <v>1013</v>
      </c>
      <c r="O342" t="s">
        <v>887</v>
      </c>
      <c r="P342" t="s">
        <v>887</v>
      </c>
      <c r="Q342">
        <v>1</v>
      </c>
      <c r="X342">
        <v>158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1</v>
      </c>
      <c r="AF342" t="s">
        <v>388</v>
      </c>
      <c r="AG342">
        <v>105.33333333333333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ROW(Source!A528)</f>
        <v>528</v>
      </c>
      <c r="B343">
        <v>1472511840</v>
      </c>
      <c r="C343">
        <v>1472497334</v>
      </c>
      <c r="D343">
        <v>1441835475</v>
      </c>
      <c r="E343">
        <v>1</v>
      </c>
      <c r="F343">
        <v>1</v>
      </c>
      <c r="G343">
        <v>15514512</v>
      </c>
      <c r="H343">
        <v>3</v>
      </c>
      <c r="I343" t="s">
        <v>978</v>
      </c>
      <c r="J343" t="s">
        <v>979</v>
      </c>
      <c r="K343" t="s">
        <v>980</v>
      </c>
      <c r="L343">
        <v>1348</v>
      </c>
      <c r="N343">
        <v>1009</v>
      </c>
      <c r="O343" t="s">
        <v>905</v>
      </c>
      <c r="P343" t="s">
        <v>905</v>
      </c>
      <c r="Q343">
        <v>1000</v>
      </c>
      <c r="X343">
        <v>4.5999999999999999E-3</v>
      </c>
      <c r="Y343">
        <v>155908.07999999999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0</v>
      </c>
      <c r="AF343" t="s">
        <v>388</v>
      </c>
      <c r="AG343">
        <v>3.0666666666666668E-3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ROW(Source!A528)</f>
        <v>528</v>
      </c>
      <c r="B344">
        <v>1472511841</v>
      </c>
      <c r="C344">
        <v>1472497334</v>
      </c>
      <c r="D344">
        <v>1441835549</v>
      </c>
      <c r="E344">
        <v>1</v>
      </c>
      <c r="F344">
        <v>1</v>
      </c>
      <c r="G344">
        <v>15514512</v>
      </c>
      <c r="H344">
        <v>3</v>
      </c>
      <c r="I344" t="s">
        <v>981</v>
      </c>
      <c r="J344" t="s">
        <v>982</v>
      </c>
      <c r="K344" t="s">
        <v>983</v>
      </c>
      <c r="L344">
        <v>1348</v>
      </c>
      <c r="N344">
        <v>1009</v>
      </c>
      <c r="O344" t="s">
        <v>905</v>
      </c>
      <c r="P344" t="s">
        <v>905</v>
      </c>
      <c r="Q344">
        <v>1000</v>
      </c>
      <c r="X344">
        <v>5.0000000000000001E-4</v>
      </c>
      <c r="Y344">
        <v>194655.19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0</v>
      </c>
      <c r="AF344" t="s">
        <v>388</v>
      </c>
      <c r="AG344">
        <v>3.3333333333333332E-4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ROW(Source!A528)</f>
        <v>528</v>
      </c>
      <c r="B345">
        <v>1472511842</v>
      </c>
      <c r="C345">
        <v>1472497334</v>
      </c>
      <c r="D345">
        <v>1441838531</v>
      </c>
      <c r="E345">
        <v>1</v>
      </c>
      <c r="F345">
        <v>1</v>
      </c>
      <c r="G345">
        <v>15514512</v>
      </c>
      <c r="H345">
        <v>3</v>
      </c>
      <c r="I345" t="s">
        <v>987</v>
      </c>
      <c r="J345" t="s">
        <v>988</v>
      </c>
      <c r="K345" t="s">
        <v>989</v>
      </c>
      <c r="L345">
        <v>1348</v>
      </c>
      <c r="N345">
        <v>1009</v>
      </c>
      <c r="O345" t="s">
        <v>905</v>
      </c>
      <c r="P345" t="s">
        <v>905</v>
      </c>
      <c r="Q345">
        <v>1000</v>
      </c>
      <c r="X345">
        <v>4.8999999999999998E-3</v>
      </c>
      <c r="Y345">
        <v>370783.55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0</v>
      </c>
      <c r="AF345" t="s">
        <v>388</v>
      </c>
      <c r="AG345">
        <v>3.2666666666666664E-3</v>
      </c>
      <c r="AH345">
        <v>3</v>
      </c>
      <c r="AI345">
        <v>-1</v>
      </c>
      <c r="AJ345" t="s">
        <v>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ROW(Source!A528)</f>
        <v>528</v>
      </c>
      <c r="B346">
        <v>1472511843</v>
      </c>
      <c r="C346">
        <v>1472497334</v>
      </c>
      <c r="D346">
        <v>1441834635</v>
      </c>
      <c r="E346">
        <v>1</v>
      </c>
      <c r="F346">
        <v>1</v>
      </c>
      <c r="G346">
        <v>15514512</v>
      </c>
      <c r="H346">
        <v>3</v>
      </c>
      <c r="I346" t="s">
        <v>993</v>
      </c>
      <c r="J346" t="s">
        <v>994</v>
      </c>
      <c r="K346" t="s">
        <v>995</v>
      </c>
      <c r="L346">
        <v>1339</v>
      </c>
      <c r="N346">
        <v>1007</v>
      </c>
      <c r="O346" t="s">
        <v>891</v>
      </c>
      <c r="P346" t="s">
        <v>891</v>
      </c>
      <c r="Q346">
        <v>1</v>
      </c>
      <c r="X346">
        <v>1.4</v>
      </c>
      <c r="Y346">
        <v>103.4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388</v>
      </c>
      <c r="AG346">
        <v>0.93333333333333324</v>
      </c>
      <c r="AH346">
        <v>3</v>
      </c>
      <c r="AI346">
        <v>-1</v>
      </c>
      <c r="AJ346" t="s">
        <v>3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ROW(Source!A528)</f>
        <v>528</v>
      </c>
      <c r="B347">
        <v>1472511844</v>
      </c>
      <c r="C347">
        <v>1472497334</v>
      </c>
      <c r="D347">
        <v>1441834627</v>
      </c>
      <c r="E347">
        <v>1</v>
      </c>
      <c r="F347">
        <v>1</v>
      </c>
      <c r="G347">
        <v>15514512</v>
      </c>
      <c r="H347">
        <v>3</v>
      </c>
      <c r="I347" t="s">
        <v>996</v>
      </c>
      <c r="J347" t="s">
        <v>997</v>
      </c>
      <c r="K347" t="s">
        <v>998</v>
      </c>
      <c r="L347">
        <v>1339</v>
      </c>
      <c r="N347">
        <v>1007</v>
      </c>
      <c r="O347" t="s">
        <v>891</v>
      </c>
      <c r="P347" t="s">
        <v>891</v>
      </c>
      <c r="Q347">
        <v>1</v>
      </c>
      <c r="X347">
        <v>0.6</v>
      </c>
      <c r="Y347">
        <v>875.46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0</v>
      </c>
      <c r="AF347" t="s">
        <v>388</v>
      </c>
      <c r="AG347">
        <v>0.39999999999999997</v>
      </c>
      <c r="AH347">
        <v>3</v>
      </c>
      <c r="AI347">
        <v>-1</v>
      </c>
      <c r="AJ347" t="s">
        <v>3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ROW(Source!A528)</f>
        <v>528</v>
      </c>
      <c r="B348">
        <v>1472511845</v>
      </c>
      <c r="C348">
        <v>1472497334</v>
      </c>
      <c r="D348">
        <v>1441834671</v>
      </c>
      <c r="E348">
        <v>1</v>
      </c>
      <c r="F348">
        <v>1</v>
      </c>
      <c r="G348">
        <v>15514512</v>
      </c>
      <c r="H348">
        <v>3</v>
      </c>
      <c r="I348" t="s">
        <v>999</v>
      </c>
      <c r="J348" t="s">
        <v>1000</v>
      </c>
      <c r="K348" t="s">
        <v>1001</v>
      </c>
      <c r="L348">
        <v>1348</v>
      </c>
      <c r="N348">
        <v>1009</v>
      </c>
      <c r="O348" t="s">
        <v>905</v>
      </c>
      <c r="P348" t="s">
        <v>905</v>
      </c>
      <c r="Q348">
        <v>1000</v>
      </c>
      <c r="X348">
        <v>5.0000000000000001E-4</v>
      </c>
      <c r="Y348">
        <v>184462.17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388</v>
      </c>
      <c r="AG348">
        <v>3.3333333333333332E-4</v>
      </c>
      <c r="AH348">
        <v>3</v>
      </c>
      <c r="AI348">
        <v>-1</v>
      </c>
      <c r="AJ348" t="s">
        <v>3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ROW(Source!A528)</f>
        <v>528</v>
      </c>
      <c r="B349">
        <v>1472511846</v>
      </c>
      <c r="C349">
        <v>1472497334</v>
      </c>
      <c r="D349">
        <v>1441834634</v>
      </c>
      <c r="E349">
        <v>1</v>
      </c>
      <c r="F349">
        <v>1</v>
      </c>
      <c r="G349">
        <v>15514512</v>
      </c>
      <c r="H349">
        <v>3</v>
      </c>
      <c r="I349" t="s">
        <v>1002</v>
      </c>
      <c r="J349" t="s">
        <v>1003</v>
      </c>
      <c r="K349" t="s">
        <v>1004</v>
      </c>
      <c r="L349">
        <v>1348</v>
      </c>
      <c r="N349">
        <v>1009</v>
      </c>
      <c r="O349" t="s">
        <v>905</v>
      </c>
      <c r="P349" t="s">
        <v>905</v>
      </c>
      <c r="Q349">
        <v>1000</v>
      </c>
      <c r="X349">
        <v>1.8E-3</v>
      </c>
      <c r="Y349">
        <v>88053.759999999995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0</v>
      </c>
      <c r="AF349" t="s">
        <v>388</v>
      </c>
      <c r="AG349">
        <v>1.1999999999999999E-3</v>
      </c>
      <c r="AH349">
        <v>3</v>
      </c>
      <c r="AI349">
        <v>-1</v>
      </c>
      <c r="AJ349" t="s">
        <v>3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ROW(Source!A528)</f>
        <v>528</v>
      </c>
      <c r="B350">
        <v>1472511847</v>
      </c>
      <c r="C350">
        <v>1472497334</v>
      </c>
      <c r="D350">
        <v>1441834836</v>
      </c>
      <c r="E350">
        <v>1</v>
      </c>
      <c r="F350">
        <v>1</v>
      </c>
      <c r="G350">
        <v>15514512</v>
      </c>
      <c r="H350">
        <v>3</v>
      </c>
      <c r="I350" t="s">
        <v>1005</v>
      </c>
      <c r="J350" t="s">
        <v>1006</v>
      </c>
      <c r="K350" t="s">
        <v>1007</v>
      </c>
      <c r="L350">
        <v>1348</v>
      </c>
      <c r="N350">
        <v>1009</v>
      </c>
      <c r="O350" t="s">
        <v>905</v>
      </c>
      <c r="P350" t="s">
        <v>905</v>
      </c>
      <c r="Q350">
        <v>1000</v>
      </c>
      <c r="X350">
        <v>5.6800000000000002E-3</v>
      </c>
      <c r="Y350">
        <v>93194.67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388</v>
      </c>
      <c r="AG350">
        <v>3.7866666666666669E-3</v>
      </c>
      <c r="AH350">
        <v>3</v>
      </c>
      <c r="AI350">
        <v>-1</v>
      </c>
      <c r="AJ350" t="s">
        <v>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ROW(Source!A528)</f>
        <v>528</v>
      </c>
      <c r="B351">
        <v>1472511848</v>
      </c>
      <c r="C351">
        <v>1472497334</v>
      </c>
      <c r="D351">
        <v>1441822273</v>
      </c>
      <c r="E351">
        <v>15514512</v>
      </c>
      <c r="F351">
        <v>1</v>
      </c>
      <c r="G351">
        <v>15514512</v>
      </c>
      <c r="H351">
        <v>3</v>
      </c>
      <c r="I351" t="s">
        <v>967</v>
      </c>
      <c r="J351" t="s">
        <v>3</v>
      </c>
      <c r="K351" t="s">
        <v>969</v>
      </c>
      <c r="L351">
        <v>1348</v>
      </c>
      <c r="N351">
        <v>1009</v>
      </c>
      <c r="O351" t="s">
        <v>905</v>
      </c>
      <c r="P351" t="s">
        <v>905</v>
      </c>
      <c r="Q351">
        <v>1000</v>
      </c>
      <c r="X351">
        <v>6.2E-4</v>
      </c>
      <c r="Y351">
        <v>94640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0</v>
      </c>
      <c r="AF351" t="s">
        <v>388</v>
      </c>
      <c r="AG351">
        <v>4.1333333333333332E-4</v>
      </c>
      <c r="AH351">
        <v>3</v>
      </c>
      <c r="AI351">
        <v>-1</v>
      </c>
      <c r="AJ351" t="s">
        <v>3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ROW(Source!A529)</f>
        <v>529</v>
      </c>
      <c r="B352">
        <v>1472511883</v>
      </c>
      <c r="C352">
        <v>1472497379</v>
      </c>
      <c r="D352">
        <v>1441819193</v>
      </c>
      <c r="E352">
        <v>15514512</v>
      </c>
      <c r="F352">
        <v>1</v>
      </c>
      <c r="G352">
        <v>15514512</v>
      </c>
      <c r="H352">
        <v>1</v>
      </c>
      <c r="I352" t="s">
        <v>885</v>
      </c>
      <c r="J352" t="s">
        <v>3</v>
      </c>
      <c r="K352" t="s">
        <v>886</v>
      </c>
      <c r="L352">
        <v>1191</v>
      </c>
      <c r="N352">
        <v>1013</v>
      </c>
      <c r="O352" t="s">
        <v>887</v>
      </c>
      <c r="P352" t="s">
        <v>887</v>
      </c>
      <c r="Q352">
        <v>1</v>
      </c>
      <c r="X352">
        <v>6.8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1</v>
      </c>
      <c r="AF352" t="s">
        <v>28</v>
      </c>
      <c r="AG352">
        <v>13.6</v>
      </c>
      <c r="AH352">
        <v>3</v>
      </c>
      <c r="AI352">
        <v>-1</v>
      </c>
      <c r="AJ352" t="s">
        <v>3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ROW(Source!A529)</f>
        <v>529</v>
      </c>
      <c r="B353">
        <v>1472511884</v>
      </c>
      <c r="C353">
        <v>1472497379</v>
      </c>
      <c r="D353">
        <v>1441834258</v>
      </c>
      <c r="E353">
        <v>1</v>
      </c>
      <c r="F353">
        <v>1</v>
      </c>
      <c r="G353">
        <v>15514512</v>
      </c>
      <c r="H353">
        <v>2</v>
      </c>
      <c r="I353" t="s">
        <v>892</v>
      </c>
      <c r="J353" t="s">
        <v>893</v>
      </c>
      <c r="K353" t="s">
        <v>894</v>
      </c>
      <c r="L353">
        <v>1368</v>
      </c>
      <c r="N353">
        <v>1011</v>
      </c>
      <c r="O353" t="s">
        <v>895</v>
      </c>
      <c r="P353" t="s">
        <v>895</v>
      </c>
      <c r="Q353">
        <v>1</v>
      </c>
      <c r="X353">
        <v>0.42</v>
      </c>
      <c r="Y353">
        <v>0</v>
      </c>
      <c r="Z353">
        <v>1303.01</v>
      </c>
      <c r="AA353">
        <v>826.2</v>
      </c>
      <c r="AB353">
        <v>0</v>
      </c>
      <c r="AC353">
        <v>0</v>
      </c>
      <c r="AD353">
        <v>1</v>
      </c>
      <c r="AE353">
        <v>0</v>
      </c>
      <c r="AF353" t="s">
        <v>28</v>
      </c>
      <c r="AG353">
        <v>0.84</v>
      </c>
      <c r="AH353">
        <v>3</v>
      </c>
      <c r="AI353">
        <v>-1</v>
      </c>
      <c r="AJ353" t="s">
        <v>3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ROW(Source!A529)</f>
        <v>529</v>
      </c>
      <c r="B354">
        <v>1472511885</v>
      </c>
      <c r="C354">
        <v>1472497379</v>
      </c>
      <c r="D354">
        <v>1441836235</v>
      </c>
      <c r="E354">
        <v>1</v>
      </c>
      <c r="F354">
        <v>1</v>
      </c>
      <c r="G354">
        <v>15514512</v>
      </c>
      <c r="H354">
        <v>3</v>
      </c>
      <c r="I354" t="s">
        <v>912</v>
      </c>
      <c r="J354" t="s">
        <v>913</v>
      </c>
      <c r="K354" t="s">
        <v>914</v>
      </c>
      <c r="L354">
        <v>1346</v>
      </c>
      <c r="N354">
        <v>1009</v>
      </c>
      <c r="O354" t="s">
        <v>898</v>
      </c>
      <c r="P354" t="s">
        <v>898</v>
      </c>
      <c r="Q354">
        <v>1</v>
      </c>
      <c r="X354">
        <v>1</v>
      </c>
      <c r="Y354">
        <v>31.49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0</v>
      </c>
      <c r="AF354" t="s">
        <v>28</v>
      </c>
      <c r="AG354">
        <v>2</v>
      </c>
      <c r="AH354">
        <v>3</v>
      </c>
      <c r="AI354">
        <v>-1</v>
      </c>
      <c r="AJ354" t="s">
        <v>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ROW(Source!A529)</f>
        <v>529</v>
      </c>
      <c r="B355">
        <v>1472511887</v>
      </c>
      <c r="C355">
        <v>1472497379</v>
      </c>
      <c r="D355">
        <v>1441834666</v>
      </c>
      <c r="E355">
        <v>1</v>
      </c>
      <c r="F355">
        <v>1</v>
      </c>
      <c r="G355">
        <v>15514512</v>
      </c>
      <c r="H355">
        <v>3</v>
      </c>
      <c r="I355" t="s">
        <v>1018</v>
      </c>
      <c r="J355" t="s">
        <v>1019</v>
      </c>
      <c r="K355" t="s">
        <v>1020</v>
      </c>
      <c r="L355">
        <v>1346</v>
      </c>
      <c r="N355">
        <v>1009</v>
      </c>
      <c r="O355" t="s">
        <v>898</v>
      </c>
      <c r="P355" t="s">
        <v>898</v>
      </c>
      <c r="Q355">
        <v>1</v>
      </c>
      <c r="X355">
        <v>0.35</v>
      </c>
      <c r="Y355">
        <v>924.76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0</v>
      </c>
      <c r="AF355" t="s">
        <v>28</v>
      </c>
      <c r="AG355">
        <v>0.7</v>
      </c>
      <c r="AH355">
        <v>3</v>
      </c>
      <c r="AI355">
        <v>-1</v>
      </c>
      <c r="AJ355" t="s">
        <v>3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ROW(Source!A530)</f>
        <v>530</v>
      </c>
      <c r="B356">
        <v>1472511919</v>
      </c>
      <c r="C356">
        <v>1472497397</v>
      </c>
      <c r="D356">
        <v>1441819193</v>
      </c>
      <c r="E356">
        <v>15514512</v>
      </c>
      <c r="F356">
        <v>1</v>
      </c>
      <c r="G356">
        <v>15514512</v>
      </c>
      <c r="H356">
        <v>1</v>
      </c>
      <c r="I356" t="s">
        <v>885</v>
      </c>
      <c r="J356" t="s">
        <v>3</v>
      </c>
      <c r="K356" t="s">
        <v>886</v>
      </c>
      <c r="L356">
        <v>1191</v>
      </c>
      <c r="N356">
        <v>1013</v>
      </c>
      <c r="O356" t="s">
        <v>887</v>
      </c>
      <c r="P356" t="s">
        <v>887</v>
      </c>
      <c r="Q356">
        <v>1</v>
      </c>
      <c r="X356">
        <v>6.16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1</v>
      </c>
      <c r="AF356" t="s">
        <v>28</v>
      </c>
      <c r="AG356">
        <v>12.32</v>
      </c>
      <c r="AH356">
        <v>3</v>
      </c>
      <c r="AI356">
        <v>-1</v>
      </c>
      <c r="AJ356" t="s">
        <v>3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ROW(Source!A530)</f>
        <v>530</v>
      </c>
      <c r="B357">
        <v>1472511920</v>
      </c>
      <c r="C357">
        <v>1472497397</v>
      </c>
      <c r="D357">
        <v>1441834258</v>
      </c>
      <c r="E357">
        <v>1</v>
      </c>
      <c r="F357">
        <v>1</v>
      </c>
      <c r="G357">
        <v>15514512</v>
      </c>
      <c r="H357">
        <v>2</v>
      </c>
      <c r="I357" t="s">
        <v>892</v>
      </c>
      <c r="J357" t="s">
        <v>893</v>
      </c>
      <c r="K357" t="s">
        <v>894</v>
      </c>
      <c r="L357">
        <v>1368</v>
      </c>
      <c r="N357">
        <v>1011</v>
      </c>
      <c r="O357" t="s">
        <v>895</v>
      </c>
      <c r="P357" t="s">
        <v>895</v>
      </c>
      <c r="Q357">
        <v>1</v>
      </c>
      <c r="X357">
        <v>0.42</v>
      </c>
      <c r="Y357">
        <v>0</v>
      </c>
      <c r="Z357">
        <v>1303.01</v>
      </c>
      <c r="AA357">
        <v>826.2</v>
      </c>
      <c r="AB357">
        <v>0</v>
      </c>
      <c r="AC357">
        <v>0</v>
      </c>
      <c r="AD357">
        <v>1</v>
      </c>
      <c r="AE357">
        <v>0</v>
      </c>
      <c r="AF357" t="s">
        <v>28</v>
      </c>
      <c r="AG357">
        <v>0.84</v>
      </c>
      <c r="AH357">
        <v>3</v>
      </c>
      <c r="AI357">
        <v>-1</v>
      </c>
      <c r="AJ357" t="s">
        <v>3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ROW(Source!A530)</f>
        <v>530</v>
      </c>
      <c r="B358">
        <v>1472511921</v>
      </c>
      <c r="C358">
        <v>1472497397</v>
      </c>
      <c r="D358">
        <v>1441836235</v>
      </c>
      <c r="E358">
        <v>1</v>
      </c>
      <c r="F358">
        <v>1</v>
      </c>
      <c r="G358">
        <v>15514512</v>
      </c>
      <c r="H358">
        <v>3</v>
      </c>
      <c r="I358" t="s">
        <v>912</v>
      </c>
      <c r="J358" t="s">
        <v>913</v>
      </c>
      <c r="K358" t="s">
        <v>914</v>
      </c>
      <c r="L358">
        <v>1346</v>
      </c>
      <c r="N358">
        <v>1009</v>
      </c>
      <c r="O358" t="s">
        <v>898</v>
      </c>
      <c r="P358" t="s">
        <v>898</v>
      </c>
      <c r="Q358">
        <v>1</v>
      </c>
      <c r="X358">
        <v>1</v>
      </c>
      <c r="Y358">
        <v>31.49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28</v>
      </c>
      <c r="AG358">
        <v>2</v>
      </c>
      <c r="AH358">
        <v>3</v>
      </c>
      <c r="AI358">
        <v>-1</v>
      </c>
      <c r="AJ358" t="s">
        <v>3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ROW(Source!A531)</f>
        <v>531</v>
      </c>
      <c r="B359">
        <v>1472511926</v>
      </c>
      <c r="C359">
        <v>1472497424</v>
      </c>
      <c r="D359">
        <v>1441819193</v>
      </c>
      <c r="E359">
        <v>15514512</v>
      </c>
      <c r="F359">
        <v>1</v>
      </c>
      <c r="G359">
        <v>15514512</v>
      </c>
      <c r="H359">
        <v>1</v>
      </c>
      <c r="I359" t="s">
        <v>885</v>
      </c>
      <c r="J359" t="s">
        <v>3</v>
      </c>
      <c r="K359" t="s">
        <v>886</v>
      </c>
      <c r="L359">
        <v>1191</v>
      </c>
      <c r="N359">
        <v>1013</v>
      </c>
      <c r="O359" t="s">
        <v>887</v>
      </c>
      <c r="P359" t="s">
        <v>887</v>
      </c>
      <c r="Q359">
        <v>1</v>
      </c>
      <c r="X359">
        <v>250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1</v>
      </c>
      <c r="AF359" t="s">
        <v>388</v>
      </c>
      <c r="AG359">
        <v>166.66666666666666</v>
      </c>
      <c r="AH359">
        <v>3</v>
      </c>
      <c r="AI359">
        <v>-1</v>
      </c>
      <c r="AJ359" t="s">
        <v>3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ROW(Source!A531)</f>
        <v>531</v>
      </c>
      <c r="B360">
        <v>1472511927</v>
      </c>
      <c r="C360">
        <v>1472497424</v>
      </c>
      <c r="D360">
        <v>1441835475</v>
      </c>
      <c r="E360">
        <v>1</v>
      </c>
      <c r="F360">
        <v>1</v>
      </c>
      <c r="G360">
        <v>15514512</v>
      </c>
      <c r="H360">
        <v>3</v>
      </c>
      <c r="I360" t="s">
        <v>978</v>
      </c>
      <c r="J360" t="s">
        <v>979</v>
      </c>
      <c r="K360" t="s">
        <v>980</v>
      </c>
      <c r="L360">
        <v>1348</v>
      </c>
      <c r="N360">
        <v>1009</v>
      </c>
      <c r="O360" t="s">
        <v>905</v>
      </c>
      <c r="P360" t="s">
        <v>905</v>
      </c>
      <c r="Q360">
        <v>1000</v>
      </c>
      <c r="X360">
        <v>5.5999999999999999E-3</v>
      </c>
      <c r="Y360">
        <v>155908.07999999999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0</v>
      </c>
      <c r="AF360" t="s">
        <v>388</v>
      </c>
      <c r="AG360">
        <v>3.7333333333333333E-3</v>
      </c>
      <c r="AH360">
        <v>3</v>
      </c>
      <c r="AI360">
        <v>-1</v>
      </c>
      <c r="AJ360" t="s">
        <v>3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ROW(Source!A531)</f>
        <v>531</v>
      </c>
      <c r="B361">
        <v>1472511928</v>
      </c>
      <c r="C361">
        <v>1472497424</v>
      </c>
      <c r="D361">
        <v>1441835549</v>
      </c>
      <c r="E361">
        <v>1</v>
      </c>
      <c r="F361">
        <v>1</v>
      </c>
      <c r="G361">
        <v>15514512</v>
      </c>
      <c r="H361">
        <v>3</v>
      </c>
      <c r="I361" t="s">
        <v>981</v>
      </c>
      <c r="J361" t="s">
        <v>982</v>
      </c>
      <c r="K361" t="s">
        <v>983</v>
      </c>
      <c r="L361">
        <v>1348</v>
      </c>
      <c r="N361">
        <v>1009</v>
      </c>
      <c r="O361" t="s">
        <v>905</v>
      </c>
      <c r="P361" t="s">
        <v>905</v>
      </c>
      <c r="Q361">
        <v>1000</v>
      </c>
      <c r="X361">
        <v>1.1000000000000001E-3</v>
      </c>
      <c r="Y361">
        <v>194655.19</v>
      </c>
      <c r="Z361">
        <v>0</v>
      </c>
      <c r="AA361">
        <v>0</v>
      </c>
      <c r="AB361">
        <v>0</v>
      </c>
      <c r="AC361">
        <v>0</v>
      </c>
      <c r="AD361">
        <v>1</v>
      </c>
      <c r="AE361">
        <v>0</v>
      </c>
      <c r="AF361" t="s">
        <v>388</v>
      </c>
      <c r="AG361">
        <v>7.3333333333333334E-4</v>
      </c>
      <c r="AH361">
        <v>3</v>
      </c>
      <c r="AI361">
        <v>-1</v>
      </c>
      <c r="AJ361" t="s">
        <v>3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ROW(Source!A531)</f>
        <v>531</v>
      </c>
      <c r="B362">
        <v>1472511929</v>
      </c>
      <c r="C362">
        <v>1472497424</v>
      </c>
      <c r="D362">
        <v>1441838531</v>
      </c>
      <c r="E362">
        <v>1</v>
      </c>
      <c r="F362">
        <v>1</v>
      </c>
      <c r="G362">
        <v>15514512</v>
      </c>
      <c r="H362">
        <v>3</v>
      </c>
      <c r="I362" t="s">
        <v>987</v>
      </c>
      <c r="J362" t="s">
        <v>988</v>
      </c>
      <c r="K362" t="s">
        <v>989</v>
      </c>
      <c r="L362">
        <v>1348</v>
      </c>
      <c r="N362">
        <v>1009</v>
      </c>
      <c r="O362" t="s">
        <v>905</v>
      </c>
      <c r="P362" t="s">
        <v>905</v>
      </c>
      <c r="Q362">
        <v>1000</v>
      </c>
      <c r="X362">
        <v>8.8999999999999999E-3</v>
      </c>
      <c r="Y362">
        <v>370783.55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388</v>
      </c>
      <c r="AG362">
        <v>5.933333333333333E-3</v>
      </c>
      <c r="AH362">
        <v>3</v>
      </c>
      <c r="AI362">
        <v>-1</v>
      </c>
      <c r="AJ362" t="s">
        <v>3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ROW(Source!A531)</f>
        <v>531</v>
      </c>
      <c r="B363">
        <v>1472511930</v>
      </c>
      <c r="C363">
        <v>1472497424</v>
      </c>
      <c r="D363">
        <v>1441834635</v>
      </c>
      <c r="E363">
        <v>1</v>
      </c>
      <c r="F363">
        <v>1</v>
      </c>
      <c r="G363">
        <v>15514512</v>
      </c>
      <c r="H363">
        <v>3</v>
      </c>
      <c r="I363" t="s">
        <v>993</v>
      </c>
      <c r="J363" t="s">
        <v>994</v>
      </c>
      <c r="K363" t="s">
        <v>995</v>
      </c>
      <c r="L363">
        <v>1339</v>
      </c>
      <c r="N363">
        <v>1007</v>
      </c>
      <c r="O363" t="s">
        <v>891</v>
      </c>
      <c r="P363" t="s">
        <v>891</v>
      </c>
      <c r="Q363">
        <v>1</v>
      </c>
      <c r="X363">
        <v>2.8</v>
      </c>
      <c r="Y363">
        <v>103.4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0</v>
      </c>
      <c r="AF363" t="s">
        <v>388</v>
      </c>
      <c r="AG363">
        <v>1.8666666666666665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ROW(Source!A531)</f>
        <v>531</v>
      </c>
      <c r="B364">
        <v>1472511931</v>
      </c>
      <c r="C364">
        <v>1472497424</v>
      </c>
      <c r="D364">
        <v>1441834627</v>
      </c>
      <c r="E364">
        <v>1</v>
      </c>
      <c r="F364">
        <v>1</v>
      </c>
      <c r="G364">
        <v>15514512</v>
      </c>
      <c r="H364">
        <v>3</v>
      </c>
      <c r="I364" t="s">
        <v>996</v>
      </c>
      <c r="J364" t="s">
        <v>997</v>
      </c>
      <c r="K364" t="s">
        <v>998</v>
      </c>
      <c r="L364">
        <v>1339</v>
      </c>
      <c r="N364">
        <v>1007</v>
      </c>
      <c r="O364" t="s">
        <v>891</v>
      </c>
      <c r="P364" t="s">
        <v>891</v>
      </c>
      <c r="Q364">
        <v>1</v>
      </c>
      <c r="X364">
        <v>1.8</v>
      </c>
      <c r="Y364">
        <v>875.46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0</v>
      </c>
      <c r="AF364" t="s">
        <v>388</v>
      </c>
      <c r="AG364">
        <v>1.2</v>
      </c>
      <c r="AH364">
        <v>3</v>
      </c>
      <c r="AI364">
        <v>-1</v>
      </c>
      <c r="AJ364" t="s">
        <v>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ROW(Source!A531)</f>
        <v>531</v>
      </c>
      <c r="B365">
        <v>1472511932</v>
      </c>
      <c r="C365">
        <v>1472497424</v>
      </c>
      <c r="D365">
        <v>1441834671</v>
      </c>
      <c r="E365">
        <v>1</v>
      </c>
      <c r="F365">
        <v>1</v>
      </c>
      <c r="G365">
        <v>15514512</v>
      </c>
      <c r="H365">
        <v>3</v>
      </c>
      <c r="I365" t="s">
        <v>999</v>
      </c>
      <c r="J365" t="s">
        <v>1000</v>
      </c>
      <c r="K365" t="s">
        <v>1001</v>
      </c>
      <c r="L365">
        <v>1348</v>
      </c>
      <c r="N365">
        <v>1009</v>
      </c>
      <c r="O365" t="s">
        <v>905</v>
      </c>
      <c r="P365" t="s">
        <v>905</v>
      </c>
      <c r="Q365">
        <v>1000</v>
      </c>
      <c r="X365">
        <v>5.0000000000000001E-4</v>
      </c>
      <c r="Y365">
        <v>184462.17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0</v>
      </c>
      <c r="AF365" t="s">
        <v>388</v>
      </c>
      <c r="AG365">
        <v>3.3333333333333332E-4</v>
      </c>
      <c r="AH365">
        <v>3</v>
      </c>
      <c r="AI365">
        <v>-1</v>
      </c>
      <c r="AJ365" t="s">
        <v>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ROW(Source!A531)</f>
        <v>531</v>
      </c>
      <c r="B366">
        <v>1472511933</v>
      </c>
      <c r="C366">
        <v>1472497424</v>
      </c>
      <c r="D366">
        <v>1441834634</v>
      </c>
      <c r="E366">
        <v>1</v>
      </c>
      <c r="F366">
        <v>1</v>
      </c>
      <c r="G366">
        <v>15514512</v>
      </c>
      <c r="H366">
        <v>3</v>
      </c>
      <c r="I366" t="s">
        <v>1002</v>
      </c>
      <c r="J366" t="s">
        <v>1003</v>
      </c>
      <c r="K366" t="s">
        <v>1004</v>
      </c>
      <c r="L366">
        <v>1348</v>
      </c>
      <c r="N366">
        <v>1009</v>
      </c>
      <c r="O366" t="s">
        <v>905</v>
      </c>
      <c r="P366" t="s">
        <v>905</v>
      </c>
      <c r="Q366">
        <v>1000</v>
      </c>
      <c r="X366">
        <v>1.8E-3</v>
      </c>
      <c r="Y366">
        <v>88053.759999999995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0</v>
      </c>
      <c r="AF366" t="s">
        <v>388</v>
      </c>
      <c r="AG366">
        <v>1.1999999999999999E-3</v>
      </c>
      <c r="AH366">
        <v>3</v>
      </c>
      <c r="AI366">
        <v>-1</v>
      </c>
      <c r="AJ366" t="s">
        <v>3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ROW(Source!A531)</f>
        <v>531</v>
      </c>
      <c r="B367">
        <v>1472511934</v>
      </c>
      <c r="C367">
        <v>1472497424</v>
      </c>
      <c r="D367">
        <v>1441834836</v>
      </c>
      <c r="E367">
        <v>1</v>
      </c>
      <c r="F367">
        <v>1</v>
      </c>
      <c r="G367">
        <v>15514512</v>
      </c>
      <c r="H367">
        <v>3</v>
      </c>
      <c r="I367" t="s">
        <v>1005</v>
      </c>
      <c r="J367" t="s">
        <v>1006</v>
      </c>
      <c r="K367" t="s">
        <v>1007</v>
      </c>
      <c r="L367">
        <v>1348</v>
      </c>
      <c r="N367">
        <v>1009</v>
      </c>
      <c r="O367" t="s">
        <v>905</v>
      </c>
      <c r="P367" t="s">
        <v>905</v>
      </c>
      <c r="Q367">
        <v>1000</v>
      </c>
      <c r="X367">
        <v>8.0099999999999998E-3</v>
      </c>
      <c r="Y367">
        <v>93194.67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388</v>
      </c>
      <c r="AG367">
        <v>5.3400000000000001E-3</v>
      </c>
      <c r="AH367">
        <v>3</v>
      </c>
      <c r="AI367">
        <v>-1</v>
      </c>
      <c r="AJ367" t="s">
        <v>3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ROW(Source!A531)</f>
        <v>531</v>
      </c>
      <c r="B368">
        <v>1472511935</v>
      </c>
      <c r="C368">
        <v>1472497424</v>
      </c>
      <c r="D368">
        <v>1441822273</v>
      </c>
      <c r="E368">
        <v>15514512</v>
      </c>
      <c r="F368">
        <v>1</v>
      </c>
      <c r="G368">
        <v>15514512</v>
      </c>
      <c r="H368">
        <v>3</v>
      </c>
      <c r="I368" t="s">
        <v>967</v>
      </c>
      <c r="J368" t="s">
        <v>3</v>
      </c>
      <c r="K368" t="s">
        <v>969</v>
      </c>
      <c r="L368">
        <v>1348</v>
      </c>
      <c r="N368">
        <v>1009</v>
      </c>
      <c r="O368" t="s">
        <v>905</v>
      </c>
      <c r="P368" t="s">
        <v>905</v>
      </c>
      <c r="Q368">
        <v>1000</v>
      </c>
      <c r="X368">
        <v>7.9000000000000001E-4</v>
      </c>
      <c r="Y368">
        <v>94640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0</v>
      </c>
      <c r="AF368" t="s">
        <v>388</v>
      </c>
      <c r="AG368">
        <v>5.2666666666666671E-4</v>
      </c>
      <c r="AH368">
        <v>3</v>
      </c>
      <c r="AI368">
        <v>-1</v>
      </c>
      <c r="AJ368" t="s">
        <v>3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ROW(Source!A532)</f>
        <v>532</v>
      </c>
      <c r="B369">
        <v>1472511961</v>
      </c>
      <c r="C369">
        <v>1472497460</v>
      </c>
      <c r="D369">
        <v>1441819193</v>
      </c>
      <c r="E369">
        <v>15514512</v>
      </c>
      <c r="F369">
        <v>1</v>
      </c>
      <c r="G369">
        <v>15514512</v>
      </c>
      <c r="H369">
        <v>1</v>
      </c>
      <c r="I369" t="s">
        <v>885</v>
      </c>
      <c r="J369" t="s">
        <v>3</v>
      </c>
      <c r="K369" t="s">
        <v>886</v>
      </c>
      <c r="L369">
        <v>1191</v>
      </c>
      <c r="N369">
        <v>1013</v>
      </c>
      <c r="O369" t="s">
        <v>887</v>
      </c>
      <c r="P369" t="s">
        <v>887</v>
      </c>
      <c r="Q369">
        <v>1</v>
      </c>
      <c r="X369">
        <v>6.8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1</v>
      </c>
      <c r="AF369" t="s">
        <v>28</v>
      </c>
      <c r="AG369">
        <v>13.6</v>
      </c>
      <c r="AH369">
        <v>3</v>
      </c>
      <c r="AI369">
        <v>-1</v>
      </c>
      <c r="AJ369" t="s">
        <v>3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ROW(Source!A532)</f>
        <v>532</v>
      </c>
      <c r="B370">
        <v>1472511963</v>
      </c>
      <c r="C370">
        <v>1472497460</v>
      </c>
      <c r="D370">
        <v>1441834258</v>
      </c>
      <c r="E370">
        <v>1</v>
      </c>
      <c r="F370">
        <v>1</v>
      </c>
      <c r="G370">
        <v>15514512</v>
      </c>
      <c r="H370">
        <v>2</v>
      </c>
      <c r="I370" t="s">
        <v>892</v>
      </c>
      <c r="J370" t="s">
        <v>893</v>
      </c>
      <c r="K370" t="s">
        <v>894</v>
      </c>
      <c r="L370">
        <v>1368</v>
      </c>
      <c r="N370">
        <v>1011</v>
      </c>
      <c r="O370" t="s">
        <v>895</v>
      </c>
      <c r="P370" t="s">
        <v>895</v>
      </c>
      <c r="Q370">
        <v>1</v>
      </c>
      <c r="X370">
        <v>0.42</v>
      </c>
      <c r="Y370">
        <v>0</v>
      </c>
      <c r="Z370">
        <v>1303.01</v>
      </c>
      <c r="AA370">
        <v>826.2</v>
      </c>
      <c r="AB370">
        <v>0</v>
      </c>
      <c r="AC370">
        <v>0</v>
      </c>
      <c r="AD370">
        <v>1</v>
      </c>
      <c r="AE370">
        <v>0</v>
      </c>
      <c r="AF370" t="s">
        <v>28</v>
      </c>
      <c r="AG370">
        <v>0.84</v>
      </c>
      <c r="AH370">
        <v>3</v>
      </c>
      <c r="AI370">
        <v>-1</v>
      </c>
      <c r="AJ370" t="s">
        <v>3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ROW(Source!A532)</f>
        <v>532</v>
      </c>
      <c r="B371">
        <v>1472511964</v>
      </c>
      <c r="C371">
        <v>1472497460</v>
      </c>
      <c r="D371">
        <v>1441836235</v>
      </c>
      <c r="E371">
        <v>1</v>
      </c>
      <c r="F371">
        <v>1</v>
      </c>
      <c r="G371">
        <v>15514512</v>
      </c>
      <c r="H371">
        <v>3</v>
      </c>
      <c r="I371" t="s">
        <v>912</v>
      </c>
      <c r="J371" t="s">
        <v>913</v>
      </c>
      <c r="K371" t="s">
        <v>914</v>
      </c>
      <c r="L371">
        <v>1346</v>
      </c>
      <c r="N371">
        <v>1009</v>
      </c>
      <c r="O371" t="s">
        <v>898</v>
      </c>
      <c r="P371" t="s">
        <v>898</v>
      </c>
      <c r="Q371">
        <v>1</v>
      </c>
      <c r="X371">
        <v>1</v>
      </c>
      <c r="Y371">
        <v>31.49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0</v>
      </c>
      <c r="AF371" t="s">
        <v>28</v>
      </c>
      <c r="AG371">
        <v>2</v>
      </c>
      <c r="AH371">
        <v>3</v>
      </c>
      <c r="AI371">
        <v>-1</v>
      </c>
      <c r="AJ371" t="s">
        <v>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ROW(Source!A532)</f>
        <v>532</v>
      </c>
      <c r="B372">
        <v>1472511965</v>
      </c>
      <c r="C372">
        <v>1472497460</v>
      </c>
      <c r="D372">
        <v>1441834666</v>
      </c>
      <c r="E372">
        <v>1</v>
      </c>
      <c r="F372">
        <v>1</v>
      </c>
      <c r="G372">
        <v>15514512</v>
      </c>
      <c r="H372">
        <v>3</v>
      </c>
      <c r="I372" t="s">
        <v>1018</v>
      </c>
      <c r="J372" t="s">
        <v>1019</v>
      </c>
      <c r="K372" t="s">
        <v>1020</v>
      </c>
      <c r="L372">
        <v>1346</v>
      </c>
      <c r="N372">
        <v>1009</v>
      </c>
      <c r="O372" t="s">
        <v>898</v>
      </c>
      <c r="P372" t="s">
        <v>898</v>
      </c>
      <c r="Q372">
        <v>1</v>
      </c>
      <c r="X372">
        <v>0.35</v>
      </c>
      <c r="Y372">
        <v>924.76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0</v>
      </c>
      <c r="AF372" t="s">
        <v>28</v>
      </c>
      <c r="AG372">
        <v>0.7</v>
      </c>
      <c r="AH372">
        <v>3</v>
      </c>
      <c r="AI372">
        <v>-1</v>
      </c>
      <c r="AJ372" t="s">
        <v>3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ROW(Source!A533)</f>
        <v>533</v>
      </c>
      <c r="B373">
        <v>1472511999</v>
      </c>
      <c r="C373">
        <v>1472497493</v>
      </c>
      <c r="D373">
        <v>1441819193</v>
      </c>
      <c r="E373">
        <v>15514512</v>
      </c>
      <c r="F373">
        <v>1</v>
      </c>
      <c r="G373">
        <v>15514512</v>
      </c>
      <c r="H373">
        <v>1</v>
      </c>
      <c r="I373" t="s">
        <v>885</v>
      </c>
      <c r="J373" t="s">
        <v>3</v>
      </c>
      <c r="K373" t="s">
        <v>886</v>
      </c>
      <c r="L373">
        <v>1191</v>
      </c>
      <c r="N373">
        <v>1013</v>
      </c>
      <c r="O373" t="s">
        <v>887</v>
      </c>
      <c r="P373" t="s">
        <v>887</v>
      </c>
      <c r="Q373">
        <v>1</v>
      </c>
      <c r="X373">
        <v>6.16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1</v>
      </c>
      <c r="AF373" t="s">
        <v>28</v>
      </c>
      <c r="AG373">
        <v>12.32</v>
      </c>
      <c r="AH373">
        <v>3</v>
      </c>
      <c r="AI373">
        <v>-1</v>
      </c>
      <c r="AJ373" t="s">
        <v>3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ROW(Source!A533)</f>
        <v>533</v>
      </c>
      <c r="B374">
        <v>1472512001</v>
      </c>
      <c r="C374">
        <v>1472497493</v>
      </c>
      <c r="D374">
        <v>1441834258</v>
      </c>
      <c r="E374">
        <v>1</v>
      </c>
      <c r="F374">
        <v>1</v>
      </c>
      <c r="G374">
        <v>15514512</v>
      </c>
      <c r="H374">
        <v>2</v>
      </c>
      <c r="I374" t="s">
        <v>892</v>
      </c>
      <c r="J374" t="s">
        <v>893</v>
      </c>
      <c r="K374" t="s">
        <v>894</v>
      </c>
      <c r="L374">
        <v>1368</v>
      </c>
      <c r="N374">
        <v>1011</v>
      </c>
      <c r="O374" t="s">
        <v>895</v>
      </c>
      <c r="P374" t="s">
        <v>895</v>
      </c>
      <c r="Q374">
        <v>1</v>
      </c>
      <c r="X374">
        <v>0.42</v>
      </c>
      <c r="Y374">
        <v>0</v>
      </c>
      <c r="Z374">
        <v>1303.01</v>
      </c>
      <c r="AA374">
        <v>826.2</v>
      </c>
      <c r="AB374">
        <v>0</v>
      </c>
      <c r="AC374">
        <v>0</v>
      </c>
      <c r="AD374">
        <v>1</v>
      </c>
      <c r="AE374">
        <v>0</v>
      </c>
      <c r="AF374" t="s">
        <v>28</v>
      </c>
      <c r="AG374">
        <v>0.84</v>
      </c>
      <c r="AH374">
        <v>3</v>
      </c>
      <c r="AI374">
        <v>-1</v>
      </c>
      <c r="AJ374" t="s">
        <v>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ROW(Source!A533)</f>
        <v>533</v>
      </c>
      <c r="B375">
        <v>1472512002</v>
      </c>
      <c r="C375">
        <v>1472497493</v>
      </c>
      <c r="D375">
        <v>1441836235</v>
      </c>
      <c r="E375">
        <v>1</v>
      </c>
      <c r="F375">
        <v>1</v>
      </c>
      <c r="G375">
        <v>15514512</v>
      </c>
      <c r="H375">
        <v>3</v>
      </c>
      <c r="I375" t="s">
        <v>912</v>
      </c>
      <c r="J375" t="s">
        <v>913</v>
      </c>
      <c r="K375" t="s">
        <v>914</v>
      </c>
      <c r="L375">
        <v>1346</v>
      </c>
      <c r="N375">
        <v>1009</v>
      </c>
      <c r="O375" t="s">
        <v>898</v>
      </c>
      <c r="P375" t="s">
        <v>898</v>
      </c>
      <c r="Q375">
        <v>1</v>
      </c>
      <c r="X375">
        <v>1</v>
      </c>
      <c r="Y375">
        <v>31.49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28</v>
      </c>
      <c r="AG375">
        <v>2</v>
      </c>
      <c r="AH375">
        <v>3</v>
      </c>
      <c r="AI375">
        <v>-1</v>
      </c>
      <c r="AJ375" t="s">
        <v>3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ROW(Source!A534)</f>
        <v>534</v>
      </c>
      <c r="B376">
        <v>1472512023</v>
      </c>
      <c r="C376">
        <v>1472497536</v>
      </c>
      <c r="D376">
        <v>1441819193</v>
      </c>
      <c r="E376">
        <v>15514512</v>
      </c>
      <c r="F376">
        <v>1</v>
      </c>
      <c r="G376">
        <v>15514512</v>
      </c>
      <c r="H376">
        <v>1</v>
      </c>
      <c r="I376" t="s">
        <v>885</v>
      </c>
      <c r="J376" t="s">
        <v>3</v>
      </c>
      <c r="K376" t="s">
        <v>886</v>
      </c>
      <c r="L376">
        <v>1191</v>
      </c>
      <c r="N376">
        <v>1013</v>
      </c>
      <c r="O376" t="s">
        <v>887</v>
      </c>
      <c r="P376" t="s">
        <v>887</v>
      </c>
      <c r="Q376">
        <v>1</v>
      </c>
      <c r="X376">
        <v>63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1</v>
      </c>
      <c r="AF376" t="s">
        <v>388</v>
      </c>
      <c r="AG376">
        <v>42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ROW(Source!A534)</f>
        <v>534</v>
      </c>
      <c r="B377">
        <v>1472512024</v>
      </c>
      <c r="C377">
        <v>1472497536</v>
      </c>
      <c r="D377">
        <v>1441835475</v>
      </c>
      <c r="E377">
        <v>1</v>
      </c>
      <c r="F377">
        <v>1</v>
      </c>
      <c r="G377">
        <v>15514512</v>
      </c>
      <c r="H377">
        <v>3</v>
      </c>
      <c r="I377" t="s">
        <v>978</v>
      </c>
      <c r="J377" t="s">
        <v>979</v>
      </c>
      <c r="K377" t="s">
        <v>980</v>
      </c>
      <c r="L377">
        <v>1348</v>
      </c>
      <c r="N377">
        <v>1009</v>
      </c>
      <c r="O377" t="s">
        <v>905</v>
      </c>
      <c r="P377" t="s">
        <v>905</v>
      </c>
      <c r="Q377">
        <v>1000</v>
      </c>
      <c r="X377">
        <v>2.9999999999999997E-4</v>
      </c>
      <c r="Y377">
        <v>155908.07999999999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0</v>
      </c>
      <c r="AF377" t="s">
        <v>388</v>
      </c>
      <c r="AG377">
        <v>1.9999999999999998E-4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ROW(Source!A534)</f>
        <v>534</v>
      </c>
      <c r="B378">
        <v>1472512025</v>
      </c>
      <c r="C378">
        <v>1472497536</v>
      </c>
      <c r="D378">
        <v>1441835549</v>
      </c>
      <c r="E378">
        <v>1</v>
      </c>
      <c r="F378">
        <v>1</v>
      </c>
      <c r="G378">
        <v>15514512</v>
      </c>
      <c r="H378">
        <v>3</v>
      </c>
      <c r="I378" t="s">
        <v>981</v>
      </c>
      <c r="J378" t="s">
        <v>982</v>
      </c>
      <c r="K378" t="s">
        <v>983</v>
      </c>
      <c r="L378">
        <v>1348</v>
      </c>
      <c r="N378">
        <v>1009</v>
      </c>
      <c r="O378" t="s">
        <v>905</v>
      </c>
      <c r="P378" t="s">
        <v>905</v>
      </c>
      <c r="Q378">
        <v>1000</v>
      </c>
      <c r="X378">
        <v>1E-4</v>
      </c>
      <c r="Y378">
        <v>194655.19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0</v>
      </c>
      <c r="AF378" t="s">
        <v>388</v>
      </c>
      <c r="AG378">
        <v>6.666666666666667E-5</v>
      </c>
      <c r="AH378">
        <v>3</v>
      </c>
      <c r="AI378">
        <v>-1</v>
      </c>
      <c r="AJ378" t="s">
        <v>3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ROW(Source!A534)</f>
        <v>534</v>
      </c>
      <c r="B379">
        <v>1472512026</v>
      </c>
      <c r="C379">
        <v>1472497536</v>
      </c>
      <c r="D379">
        <v>1441836250</v>
      </c>
      <c r="E379">
        <v>1</v>
      </c>
      <c r="F379">
        <v>1</v>
      </c>
      <c r="G379">
        <v>15514512</v>
      </c>
      <c r="H379">
        <v>3</v>
      </c>
      <c r="I379" t="s">
        <v>1021</v>
      </c>
      <c r="J379" t="s">
        <v>1022</v>
      </c>
      <c r="K379" t="s">
        <v>1023</v>
      </c>
      <c r="L379">
        <v>1327</v>
      </c>
      <c r="N379">
        <v>1005</v>
      </c>
      <c r="O379" t="s">
        <v>949</v>
      </c>
      <c r="P379" t="s">
        <v>949</v>
      </c>
      <c r="Q379">
        <v>1</v>
      </c>
      <c r="X379">
        <v>1.9</v>
      </c>
      <c r="Y379">
        <v>149.25</v>
      </c>
      <c r="Z379">
        <v>0</v>
      </c>
      <c r="AA379">
        <v>0</v>
      </c>
      <c r="AB379">
        <v>0</v>
      </c>
      <c r="AC379">
        <v>0</v>
      </c>
      <c r="AD379">
        <v>1</v>
      </c>
      <c r="AE379">
        <v>0</v>
      </c>
      <c r="AF379" t="s">
        <v>388</v>
      </c>
      <c r="AG379">
        <v>1.2666666666666666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ROW(Source!A534)</f>
        <v>534</v>
      </c>
      <c r="B380">
        <v>1472512027</v>
      </c>
      <c r="C380">
        <v>1472497536</v>
      </c>
      <c r="D380">
        <v>1441834635</v>
      </c>
      <c r="E380">
        <v>1</v>
      </c>
      <c r="F380">
        <v>1</v>
      </c>
      <c r="G380">
        <v>15514512</v>
      </c>
      <c r="H380">
        <v>3</v>
      </c>
      <c r="I380" t="s">
        <v>993</v>
      </c>
      <c r="J380" t="s">
        <v>994</v>
      </c>
      <c r="K380" t="s">
        <v>995</v>
      </c>
      <c r="L380">
        <v>1339</v>
      </c>
      <c r="N380">
        <v>1007</v>
      </c>
      <c r="O380" t="s">
        <v>891</v>
      </c>
      <c r="P380" t="s">
        <v>891</v>
      </c>
      <c r="Q380">
        <v>1</v>
      </c>
      <c r="X380">
        <v>0.5</v>
      </c>
      <c r="Y380">
        <v>103.4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0</v>
      </c>
      <c r="AF380" t="s">
        <v>388</v>
      </c>
      <c r="AG380">
        <v>0.33333333333333331</v>
      </c>
      <c r="AH380">
        <v>3</v>
      </c>
      <c r="AI380">
        <v>-1</v>
      </c>
      <c r="AJ380" t="s">
        <v>3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ROW(Source!A534)</f>
        <v>534</v>
      </c>
      <c r="B381">
        <v>1472512028</v>
      </c>
      <c r="C381">
        <v>1472497536</v>
      </c>
      <c r="D381">
        <v>1441834627</v>
      </c>
      <c r="E381">
        <v>1</v>
      </c>
      <c r="F381">
        <v>1</v>
      </c>
      <c r="G381">
        <v>15514512</v>
      </c>
      <c r="H381">
        <v>3</v>
      </c>
      <c r="I381" t="s">
        <v>996</v>
      </c>
      <c r="J381" t="s">
        <v>997</v>
      </c>
      <c r="K381" t="s">
        <v>998</v>
      </c>
      <c r="L381">
        <v>1339</v>
      </c>
      <c r="N381">
        <v>1007</v>
      </c>
      <c r="O381" t="s">
        <v>891</v>
      </c>
      <c r="P381" t="s">
        <v>891</v>
      </c>
      <c r="Q381">
        <v>1</v>
      </c>
      <c r="X381">
        <v>0.3</v>
      </c>
      <c r="Y381">
        <v>875.46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0</v>
      </c>
      <c r="AF381" t="s">
        <v>388</v>
      </c>
      <c r="AG381">
        <v>0.19999999999999998</v>
      </c>
      <c r="AH381">
        <v>3</v>
      </c>
      <c r="AI381">
        <v>-1</v>
      </c>
      <c r="AJ381" t="s">
        <v>3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ROW(Source!A534)</f>
        <v>534</v>
      </c>
      <c r="B382">
        <v>1472512029</v>
      </c>
      <c r="C382">
        <v>1472497536</v>
      </c>
      <c r="D382">
        <v>1441834671</v>
      </c>
      <c r="E382">
        <v>1</v>
      </c>
      <c r="F382">
        <v>1</v>
      </c>
      <c r="G382">
        <v>15514512</v>
      </c>
      <c r="H382">
        <v>3</v>
      </c>
      <c r="I382" t="s">
        <v>999</v>
      </c>
      <c r="J382" t="s">
        <v>1000</v>
      </c>
      <c r="K382" t="s">
        <v>1001</v>
      </c>
      <c r="L382">
        <v>1348</v>
      </c>
      <c r="N382">
        <v>1009</v>
      </c>
      <c r="O382" t="s">
        <v>905</v>
      </c>
      <c r="P382" t="s">
        <v>905</v>
      </c>
      <c r="Q382">
        <v>1000</v>
      </c>
      <c r="X382">
        <v>1E-4</v>
      </c>
      <c r="Y382">
        <v>184462.17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0</v>
      </c>
      <c r="AF382" t="s">
        <v>388</v>
      </c>
      <c r="AG382">
        <v>6.666666666666667E-5</v>
      </c>
      <c r="AH382">
        <v>3</v>
      </c>
      <c r="AI382">
        <v>-1</v>
      </c>
      <c r="AJ382" t="s">
        <v>3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ROW(Source!A534)</f>
        <v>534</v>
      </c>
      <c r="B383">
        <v>1472512030</v>
      </c>
      <c r="C383">
        <v>1472497536</v>
      </c>
      <c r="D383">
        <v>1441834634</v>
      </c>
      <c r="E383">
        <v>1</v>
      </c>
      <c r="F383">
        <v>1</v>
      </c>
      <c r="G383">
        <v>15514512</v>
      </c>
      <c r="H383">
        <v>3</v>
      </c>
      <c r="I383" t="s">
        <v>1002</v>
      </c>
      <c r="J383" t="s">
        <v>1003</v>
      </c>
      <c r="K383" t="s">
        <v>1004</v>
      </c>
      <c r="L383">
        <v>1348</v>
      </c>
      <c r="N383">
        <v>1009</v>
      </c>
      <c r="O383" t="s">
        <v>905</v>
      </c>
      <c r="P383" t="s">
        <v>905</v>
      </c>
      <c r="Q383">
        <v>1000</v>
      </c>
      <c r="X383">
        <v>4.0000000000000002E-4</v>
      </c>
      <c r="Y383">
        <v>88053.759999999995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0</v>
      </c>
      <c r="AF383" t="s">
        <v>388</v>
      </c>
      <c r="AG383">
        <v>2.6666666666666668E-4</v>
      </c>
      <c r="AH383">
        <v>3</v>
      </c>
      <c r="AI383">
        <v>-1</v>
      </c>
      <c r="AJ383" t="s">
        <v>3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ROW(Source!A534)</f>
        <v>534</v>
      </c>
      <c r="B384">
        <v>1472512031</v>
      </c>
      <c r="C384">
        <v>1472497536</v>
      </c>
      <c r="D384">
        <v>1441834836</v>
      </c>
      <c r="E384">
        <v>1</v>
      </c>
      <c r="F384">
        <v>1</v>
      </c>
      <c r="G384">
        <v>15514512</v>
      </c>
      <c r="H384">
        <v>3</v>
      </c>
      <c r="I384" t="s">
        <v>1005</v>
      </c>
      <c r="J384" t="s">
        <v>1006</v>
      </c>
      <c r="K384" t="s">
        <v>1007</v>
      </c>
      <c r="L384">
        <v>1348</v>
      </c>
      <c r="N384">
        <v>1009</v>
      </c>
      <c r="O384" t="s">
        <v>905</v>
      </c>
      <c r="P384" t="s">
        <v>905</v>
      </c>
      <c r="Q384">
        <v>1000</v>
      </c>
      <c r="X384">
        <v>9.8999999999999999E-4</v>
      </c>
      <c r="Y384">
        <v>93194.67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0</v>
      </c>
      <c r="AF384" t="s">
        <v>388</v>
      </c>
      <c r="AG384">
        <v>6.6E-4</v>
      </c>
      <c r="AH384">
        <v>3</v>
      </c>
      <c r="AI384">
        <v>-1</v>
      </c>
      <c r="AJ384" t="s">
        <v>3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ROW(Source!A534)</f>
        <v>534</v>
      </c>
      <c r="B385">
        <v>1472512032</v>
      </c>
      <c r="C385">
        <v>1472497536</v>
      </c>
      <c r="D385">
        <v>1441822273</v>
      </c>
      <c r="E385">
        <v>15514512</v>
      </c>
      <c r="F385">
        <v>1</v>
      </c>
      <c r="G385">
        <v>15514512</v>
      </c>
      <c r="H385">
        <v>3</v>
      </c>
      <c r="I385" t="s">
        <v>967</v>
      </c>
      <c r="J385" t="s">
        <v>3</v>
      </c>
      <c r="K385" t="s">
        <v>969</v>
      </c>
      <c r="L385">
        <v>1348</v>
      </c>
      <c r="N385">
        <v>1009</v>
      </c>
      <c r="O385" t="s">
        <v>905</v>
      </c>
      <c r="P385" t="s">
        <v>905</v>
      </c>
      <c r="Q385">
        <v>1000</v>
      </c>
      <c r="X385">
        <v>1.1E-4</v>
      </c>
      <c r="Y385">
        <v>94640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0</v>
      </c>
      <c r="AF385" t="s">
        <v>388</v>
      </c>
      <c r="AG385">
        <v>7.3333333333333331E-5</v>
      </c>
      <c r="AH385">
        <v>3</v>
      </c>
      <c r="AI385">
        <v>-1</v>
      </c>
      <c r="AJ385" t="s">
        <v>3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ROW(Source!A535)</f>
        <v>535</v>
      </c>
      <c r="B386">
        <v>1472512038</v>
      </c>
      <c r="C386">
        <v>1472497582</v>
      </c>
      <c r="D386">
        <v>1441819193</v>
      </c>
      <c r="E386">
        <v>15514512</v>
      </c>
      <c r="F386">
        <v>1</v>
      </c>
      <c r="G386">
        <v>15514512</v>
      </c>
      <c r="H386">
        <v>1</v>
      </c>
      <c r="I386" t="s">
        <v>885</v>
      </c>
      <c r="J386" t="s">
        <v>3</v>
      </c>
      <c r="K386" t="s">
        <v>886</v>
      </c>
      <c r="L386">
        <v>1191</v>
      </c>
      <c r="N386">
        <v>1013</v>
      </c>
      <c r="O386" t="s">
        <v>887</v>
      </c>
      <c r="P386" t="s">
        <v>887</v>
      </c>
      <c r="Q386">
        <v>1</v>
      </c>
      <c r="X386">
        <v>7.98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1</v>
      </c>
      <c r="AE386">
        <v>1</v>
      </c>
      <c r="AF386" t="s">
        <v>3</v>
      </c>
      <c r="AG386">
        <v>7.98</v>
      </c>
      <c r="AH386">
        <v>3</v>
      </c>
      <c r="AI386">
        <v>-1</v>
      </c>
      <c r="AJ386" t="s">
        <v>3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ROW(Source!A535)</f>
        <v>535</v>
      </c>
      <c r="B387">
        <v>1472512039</v>
      </c>
      <c r="C387">
        <v>1472497582</v>
      </c>
      <c r="D387">
        <v>1441836235</v>
      </c>
      <c r="E387">
        <v>1</v>
      </c>
      <c r="F387">
        <v>1</v>
      </c>
      <c r="G387">
        <v>15514512</v>
      </c>
      <c r="H387">
        <v>3</v>
      </c>
      <c r="I387" t="s">
        <v>912</v>
      </c>
      <c r="J387" t="s">
        <v>913</v>
      </c>
      <c r="K387" t="s">
        <v>914</v>
      </c>
      <c r="L387">
        <v>1346</v>
      </c>
      <c r="N387">
        <v>1009</v>
      </c>
      <c r="O387" t="s">
        <v>898</v>
      </c>
      <c r="P387" t="s">
        <v>898</v>
      </c>
      <c r="Q387">
        <v>1</v>
      </c>
      <c r="X387">
        <v>0.06</v>
      </c>
      <c r="Y387">
        <v>31.49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0</v>
      </c>
      <c r="AF387" t="s">
        <v>3</v>
      </c>
      <c r="AG387">
        <v>0.06</v>
      </c>
      <c r="AH387">
        <v>3</v>
      </c>
      <c r="AI387">
        <v>-1</v>
      </c>
      <c r="AJ387" t="s">
        <v>3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ROW(Source!A535)</f>
        <v>535</v>
      </c>
      <c r="B388">
        <v>1472512040</v>
      </c>
      <c r="C388">
        <v>1472497582</v>
      </c>
      <c r="D388">
        <v>1441821379</v>
      </c>
      <c r="E388">
        <v>15514512</v>
      </c>
      <c r="F388">
        <v>1</v>
      </c>
      <c r="G388">
        <v>15514512</v>
      </c>
      <c r="H388">
        <v>3</v>
      </c>
      <c r="I388" t="s">
        <v>965</v>
      </c>
      <c r="J388" t="s">
        <v>3</v>
      </c>
      <c r="K388" t="s">
        <v>966</v>
      </c>
      <c r="L388">
        <v>1346</v>
      </c>
      <c r="N388">
        <v>1009</v>
      </c>
      <c r="O388" t="s">
        <v>898</v>
      </c>
      <c r="P388" t="s">
        <v>898</v>
      </c>
      <c r="Q388">
        <v>1</v>
      </c>
      <c r="X388">
        <v>0.05</v>
      </c>
      <c r="Y388">
        <v>89.933959999999999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0</v>
      </c>
      <c r="AF388" t="s">
        <v>3</v>
      </c>
      <c r="AG388">
        <v>0.05</v>
      </c>
      <c r="AH388">
        <v>3</v>
      </c>
      <c r="AI388">
        <v>-1</v>
      </c>
      <c r="AJ388" t="s">
        <v>3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ROW(Source!A536)</f>
        <v>536</v>
      </c>
      <c r="B389">
        <v>1472512061</v>
      </c>
      <c r="C389">
        <v>1472497592</v>
      </c>
      <c r="D389">
        <v>1441819193</v>
      </c>
      <c r="E389">
        <v>15514512</v>
      </c>
      <c r="F389">
        <v>1</v>
      </c>
      <c r="G389">
        <v>15514512</v>
      </c>
      <c r="H389">
        <v>1</v>
      </c>
      <c r="I389" t="s">
        <v>885</v>
      </c>
      <c r="J389" t="s">
        <v>3</v>
      </c>
      <c r="K389" t="s">
        <v>886</v>
      </c>
      <c r="L389">
        <v>1191</v>
      </c>
      <c r="N389">
        <v>1013</v>
      </c>
      <c r="O389" t="s">
        <v>887</v>
      </c>
      <c r="P389" t="s">
        <v>887</v>
      </c>
      <c r="Q389">
        <v>1</v>
      </c>
      <c r="X389">
        <v>2.78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1</v>
      </c>
      <c r="AF389" t="s">
        <v>28</v>
      </c>
      <c r="AG389">
        <v>5.56</v>
      </c>
      <c r="AH389">
        <v>3</v>
      </c>
      <c r="AI389">
        <v>-1</v>
      </c>
      <c r="AJ389" t="s">
        <v>3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ROW(Source!A536)</f>
        <v>536</v>
      </c>
      <c r="B390">
        <v>1472512062</v>
      </c>
      <c r="C390">
        <v>1472497592</v>
      </c>
      <c r="D390">
        <v>1441836235</v>
      </c>
      <c r="E390">
        <v>1</v>
      </c>
      <c r="F390">
        <v>1</v>
      </c>
      <c r="G390">
        <v>15514512</v>
      </c>
      <c r="H390">
        <v>3</v>
      </c>
      <c r="I390" t="s">
        <v>912</v>
      </c>
      <c r="J390" t="s">
        <v>913</v>
      </c>
      <c r="K390" t="s">
        <v>914</v>
      </c>
      <c r="L390">
        <v>1346</v>
      </c>
      <c r="N390">
        <v>1009</v>
      </c>
      <c r="O390" t="s">
        <v>898</v>
      </c>
      <c r="P390" t="s">
        <v>898</v>
      </c>
      <c r="Q390">
        <v>1</v>
      </c>
      <c r="X390">
        <v>4.0000000000000001E-3</v>
      </c>
      <c r="Y390">
        <v>31.49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0</v>
      </c>
      <c r="AF390" t="s">
        <v>28</v>
      </c>
      <c r="AG390">
        <v>8.0000000000000002E-3</v>
      </c>
      <c r="AH390">
        <v>3</v>
      </c>
      <c r="AI390">
        <v>-1</v>
      </c>
      <c r="AJ390" t="s">
        <v>3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ROW(Source!A537)</f>
        <v>537</v>
      </c>
      <c r="B391">
        <v>1472512094</v>
      </c>
      <c r="C391">
        <v>1472497601</v>
      </c>
      <c r="D391">
        <v>1441819193</v>
      </c>
      <c r="E391">
        <v>15514512</v>
      </c>
      <c r="F391">
        <v>1</v>
      </c>
      <c r="G391">
        <v>15514512</v>
      </c>
      <c r="H391">
        <v>1</v>
      </c>
      <c r="I391" t="s">
        <v>885</v>
      </c>
      <c r="J391" t="s">
        <v>3</v>
      </c>
      <c r="K391" t="s">
        <v>886</v>
      </c>
      <c r="L391">
        <v>1191</v>
      </c>
      <c r="N391">
        <v>1013</v>
      </c>
      <c r="O391" t="s">
        <v>887</v>
      </c>
      <c r="P391" t="s">
        <v>887</v>
      </c>
      <c r="Q391">
        <v>1</v>
      </c>
      <c r="X391">
        <v>1.5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1</v>
      </c>
      <c r="AF391" t="s">
        <v>28</v>
      </c>
      <c r="AG391">
        <v>3</v>
      </c>
      <c r="AH391">
        <v>3</v>
      </c>
      <c r="AI391">
        <v>-1</v>
      </c>
      <c r="AJ391" t="s">
        <v>3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ROW(Source!A537)</f>
        <v>537</v>
      </c>
      <c r="B392">
        <v>1472512095</v>
      </c>
      <c r="C392">
        <v>1472497601</v>
      </c>
      <c r="D392">
        <v>1441836235</v>
      </c>
      <c r="E392">
        <v>1</v>
      </c>
      <c r="F392">
        <v>1</v>
      </c>
      <c r="G392">
        <v>15514512</v>
      </c>
      <c r="H392">
        <v>3</v>
      </c>
      <c r="I392" t="s">
        <v>912</v>
      </c>
      <c r="J392" t="s">
        <v>913</v>
      </c>
      <c r="K392" t="s">
        <v>914</v>
      </c>
      <c r="L392">
        <v>1346</v>
      </c>
      <c r="N392">
        <v>1009</v>
      </c>
      <c r="O392" t="s">
        <v>898</v>
      </c>
      <c r="P392" t="s">
        <v>898</v>
      </c>
      <c r="Q392">
        <v>1</v>
      </c>
      <c r="X392">
        <v>4.1999999999999997E-3</v>
      </c>
      <c r="Y392">
        <v>31.49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0</v>
      </c>
      <c r="AF392" t="s">
        <v>28</v>
      </c>
      <c r="AG392">
        <v>8.3999999999999995E-3</v>
      </c>
      <c r="AH392">
        <v>3</v>
      </c>
      <c r="AI392">
        <v>-1</v>
      </c>
      <c r="AJ392" t="s">
        <v>3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ROW(Source!A538)</f>
        <v>538</v>
      </c>
      <c r="B393">
        <v>1472512103</v>
      </c>
      <c r="C393">
        <v>1472497610</v>
      </c>
      <c r="D393">
        <v>1441819193</v>
      </c>
      <c r="E393">
        <v>15514512</v>
      </c>
      <c r="F393">
        <v>1</v>
      </c>
      <c r="G393">
        <v>15514512</v>
      </c>
      <c r="H393">
        <v>1</v>
      </c>
      <c r="I393" t="s">
        <v>885</v>
      </c>
      <c r="J393" t="s">
        <v>3</v>
      </c>
      <c r="K393" t="s">
        <v>886</v>
      </c>
      <c r="L393">
        <v>1191</v>
      </c>
      <c r="N393">
        <v>1013</v>
      </c>
      <c r="O393" t="s">
        <v>887</v>
      </c>
      <c r="P393" t="s">
        <v>887</v>
      </c>
      <c r="Q393">
        <v>1</v>
      </c>
      <c r="X393">
        <v>42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1</v>
      </c>
      <c r="AF393" t="s">
        <v>388</v>
      </c>
      <c r="AG393">
        <v>28</v>
      </c>
      <c r="AH393">
        <v>3</v>
      </c>
      <c r="AI393">
        <v>-1</v>
      </c>
      <c r="AJ393" t="s">
        <v>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ROW(Source!A538)</f>
        <v>538</v>
      </c>
      <c r="B394">
        <v>1472512105</v>
      </c>
      <c r="C394">
        <v>1472497610</v>
      </c>
      <c r="D394">
        <v>1441835475</v>
      </c>
      <c r="E394">
        <v>1</v>
      </c>
      <c r="F394">
        <v>1</v>
      </c>
      <c r="G394">
        <v>15514512</v>
      </c>
      <c r="H394">
        <v>3</v>
      </c>
      <c r="I394" t="s">
        <v>978</v>
      </c>
      <c r="J394" t="s">
        <v>979</v>
      </c>
      <c r="K394" t="s">
        <v>980</v>
      </c>
      <c r="L394">
        <v>1348</v>
      </c>
      <c r="N394">
        <v>1009</v>
      </c>
      <c r="O394" t="s">
        <v>905</v>
      </c>
      <c r="P394" t="s">
        <v>905</v>
      </c>
      <c r="Q394">
        <v>1000</v>
      </c>
      <c r="X394">
        <v>2.9999999999999997E-4</v>
      </c>
      <c r="Y394">
        <v>155908.07999999999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0</v>
      </c>
      <c r="AF394" t="s">
        <v>388</v>
      </c>
      <c r="AG394">
        <v>1.9999999999999998E-4</v>
      </c>
      <c r="AH394">
        <v>3</v>
      </c>
      <c r="AI394">
        <v>-1</v>
      </c>
      <c r="AJ394" t="s">
        <v>3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ROW(Source!A538)</f>
        <v>538</v>
      </c>
      <c r="B395">
        <v>1472512106</v>
      </c>
      <c r="C395">
        <v>1472497610</v>
      </c>
      <c r="D395">
        <v>1441835549</v>
      </c>
      <c r="E395">
        <v>1</v>
      </c>
      <c r="F395">
        <v>1</v>
      </c>
      <c r="G395">
        <v>15514512</v>
      </c>
      <c r="H395">
        <v>3</v>
      </c>
      <c r="I395" t="s">
        <v>981</v>
      </c>
      <c r="J395" t="s">
        <v>982</v>
      </c>
      <c r="K395" t="s">
        <v>983</v>
      </c>
      <c r="L395">
        <v>1348</v>
      </c>
      <c r="N395">
        <v>1009</v>
      </c>
      <c r="O395" t="s">
        <v>905</v>
      </c>
      <c r="P395" t="s">
        <v>905</v>
      </c>
      <c r="Q395">
        <v>1000</v>
      </c>
      <c r="X395">
        <v>1E-4</v>
      </c>
      <c r="Y395">
        <v>194655.19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0</v>
      </c>
      <c r="AF395" t="s">
        <v>388</v>
      </c>
      <c r="AG395">
        <v>6.666666666666667E-5</v>
      </c>
      <c r="AH395">
        <v>3</v>
      </c>
      <c r="AI395">
        <v>-1</v>
      </c>
      <c r="AJ395" t="s">
        <v>3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ROW(Source!A538)</f>
        <v>538</v>
      </c>
      <c r="B396">
        <v>1472512107</v>
      </c>
      <c r="C396">
        <v>1472497610</v>
      </c>
      <c r="D396">
        <v>1441836250</v>
      </c>
      <c r="E396">
        <v>1</v>
      </c>
      <c r="F396">
        <v>1</v>
      </c>
      <c r="G396">
        <v>15514512</v>
      </c>
      <c r="H396">
        <v>3</v>
      </c>
      <c r="I396" t="s">
        <v>1021</v>
      </c>
      <c r="J396" t="s">
        <v>1022</v>
      </c>
      <c r="K396" t="s">
        <v>1023</v>
      </c>
      <c r="L396">
        <v>1327</v>
      </c>
      <c r="N396">
        <v>1005</v>
      </c>
      <c r="O396" t="s">
        <v>949</v>
      </c>
      <c r="P396" t="s">
        <v>949</v>
      </c>
      <c r="Q396">
        <v>1</v>
      </c>
      <c r="X396">
        <v>1.4</v>
      </c>
      <c r="Y396">
        <v>149.25</v>
      </c>
      <c r="Z396">
        <v>0</v>
      </c>
      <c r="AA396">
        <v>0</v>
      </c>
      <c r="AB396">
        <v>0</v>
      </c>
      <c r="AC396">
        <v>0</v>
      </c>
      <c r="AD396">
        <v>1</v>
      </c>
      <c r="AE396">
        <v>0</v>
      </c>
      <c r="AF396" t="s">
        <v>388</v>
      </c>
      <c r="AG396">
        <v>0.93333333333333324</v>
      </c>
      <c r="AH396">
        <v>3</v>
      </c>
      <c r="AI396">
        <v>-1</v>
      </c>
      <c r="AJ396" t="s">
        <v>3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ROW(Source!A538)</f>
        <v>538</v>
      </c>
      <c r="B397">
        <v>1472512108</v>
      </c>
      <c r="C397">
        <v>1472497610</v>
      </c>
      <c r="D397">
        <v>1441834635</v>
      </c>
      <c r="E397">
        <v>1</v>
      </c>
      <c r="F397">
        <v>1</v>
      </c>
      <c r="G397">
        <v>15514512</v>
      </c>
      <c r="H397">
        <v>3</v>
      </c>
      <c r="I397" t="s">
        <v>993</v>
      </c>
      <c r="J397" t="s">
        <v>994</v>
      </c>
      <c r="K397" t="s">
        <v>995</v>
      </c>
      <c r="L397">
        <v>1339</v>
      </c>
      <c r="N397">
        <v>1007</v>
      </c>
      <c r="O397" t="s">
        <v>891</v>
      </c>
      <c r="P397" t="s">
        <v>891</v>
      </c>
      <c r="Q397">
        <v>1</v>
      </c>
      <c r="X397">
        <v>0.5</v>
      </c>
      <c r="Y397">
        <v>103.4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 t="s">
        <v>388</v>
      </c>
      <c r="AG397">
        <v>0.33333333333333331</v>
      </c>
      <c r="AH397">
        <v>3</v>
      </c>
      <c r="AI397">
        <v>-1</v>
      </c>
      <c r="AJ397" t="s">
        <v>3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ROW(Source!A538)</f>
        <v>538</v>
      </c>
      <c r="B398">
        <v>1472512109</v>
      </c>
      <c r="C398">
        <v>1472497610</v>
      </c>
      <c r="D398">
        <v>1441834627</v>
      </c>
      <c r="E398">
        <v>1</v>
      </c>
      <c r="F398">
        <v>1</v>
      </c>
      <c r="G398">
        <v>15514512</v>
      </c>
      <c r="H398">
        <v>3</v>
      </c>
      <c r="I398" t="s">
        <v>996</v>
      </c>
      <c r="J398" t="s">
        <v>997</v>
      </c>
      <c r="K398" t="s">
        <v>998</v>
      </c>
      <c r="L398">
        <v>1339</v>
      </c>
      <c r="N398">
        <v>1007</v>
      </c>
      <c r="O398" t="s">
        <v>891</v>
      </c>
      <c r="P398" t="s">
        <v>891</v>
      </c>
      <c r="Q398">
        <v>1</v>
      </c>
      <c r="X398">
        <v>0.3</v>
      </c>
      <c r="Y398">
        <v>875.46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0</v>
      </c>
      <c r="AF398" t="s">
        <v>388</v>
      </c>
      <c r="AG398">
        <v>0.19999999999999998</v>
      </c>
      <c r="AH398">
        <v>3</v>
      </c>
      <c r="AI398">
        <v>-1</v>
      </c>
      <c r="AJ398" t="s">
        <v>3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ROW(Source!A538)</f>
        <v>538</v>
      </c>
      <c r="B399">
        <v>1472512110</v>
      </c>
      <c r="C399">
        <v>1472497610</v>
      </c>
      <c r="D399">
        <v>1441834671</v>
      </c>
      <c r="E399">
        <v>1</v>
      </c>
      <c r="F399">
        <v>1</v>
      </c>
      <c r="G399">
        <v>15514512</v>
      </c>
      <c r="H399">
        <v>3</v>
      </c>
      <c r="I399" t="s">
        <v>999</v>
      </c>
      <c r="J399" t="s">
        <v>1000</v>
      </c>
      <c r="K399" t="s">
        <v>1001</v>
      </c>
      <c r="L399">
        <v>1348</v>
      </c>
      <c r="N399">
        <v>1009</v>
      </c>
      <c r="O399" t="s">
        <v>905</v>
      </c>
      <c r="P399" t="s">
        <v>905</v>
      </c>
      <c r="Q399">
        <v>1000</v>
      </c>
      <c r="X399">
        <v>1E-4</v>
      </c>
      <c r="Y399">
        <v>184462.17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0</v>
      </c>
      <c r="AF399" t="s">
        <v>388</v>
      </c>
      <c r="AG399">
        <v>6.666666666666667E-5</v>
      </c>
      <c r="AH399">
        <v>3</v>
      </c>
      <c r="AI399">
        <v>-1</v>
      </c>
      <c r="AJ399" t="s">
        <v>3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ROW(Source!A538)</f>
        <v>538</v>
      </c>
      <c r="B400">
        <v>1472512111</v>
      </c>
      <c r="C400">
        <v>1472497610</v>
      </c>
      <c r="D400">
        <v>1441834634</v>
      </c>
      <c r="E400">
        <v>1</v>
      </c>
      <c r="F400">
        <v>1</v>
      </c>
      <c r="G400">
        <v>15514512</v>
      </c>
      <c r="H400">
        <v>3</v>
      </c>
      <c r="I400" t="s">
        <v>1002</v>
      </c>
      <c r="J400" t="s">
        <v>1003</v>
      </c>
      <c r="K400" t="s">
        <v>1004</v>
      </c>
      <c r="L400">
        <v>1348</v>
      </c>
      <c r="N400">
        <v>1009</v>
      </c>
      <c r="O400" t="s">
        <v>905</v>
      </c>
      <c r="P400" t="s">
        <v>905</v>
      </c>
      <c r="Q400">
        <v>1000</v>
      </c>
      <c r="X400">
        <v>2.9999999999999997E-4</v>
      </c>
      <c r="Y400">
        <v>88053.759999999995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388</v>
      </c>
      <c r="AG400">
        <v>1.9999999999999998E-4</v>
      </c>
      <c r="AH400">
        <v>3</v>
      </c>
      <c r="AI400">
        <v>-1</v>
      </c>
      <c r="AJ400" t="s">
        <v>3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ROW(Source!A538)</f>
        <v>538</v>
      </c>
      <c r="B401">
        <v>1472512112</v>
      </c>
      <c r="C401">
        <v>1472497610</v>
      </c>
      <c r="D401">
        <v>1441834836</v>
      </c>
      <c r="E401">
        <v>1</v>
      </c>
      <c r="F401">
        <v>1</v>
      </c>
      <c r="G401">
        <v>15514512</v>
      </c>
      <c r="H401">
        <v>3</v>
      </c>
      <c r="I401" t="s">
        <v>1005</v>
      </c>
      <c r="J401" t="s">
        <v>1006</v>
      </c>
      <c r="K401" t="s">
        <v>1007</v>
      </c>
      <c r="L401">
        <v>1348</v>
      </c>
      <c r="N401">
        <v>1009</v>
      </c>
      <c r="O401" t="s">
        <v>905</v>
      </c>
      <c r="P401" t="s">
        <v>905</v>
      </c>
      <c r="Q401">
        <v>1000</v>
      </c>
      <c r="X401">
        <v>6.3000000000000003E-4</v>
      </c>
      <c r="Y401">
        <v>93194.67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0</v>
      </c>
      <c r="AF401" t="s">
        <v>388</v>
      </c>
      <c r="AG401">
        <v>4.2000000000000002E-4</v>
      </c>
      <c r="AH401">
        <v>3</v>
      </c>
      <c r="AI401">
        <v>-1</v>
      </c>
      <c r="AJ401" t="s">
        <v>3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ROW(Source!A538)</f>
        <v>538</v>
      </c>
      <c r="B402">
        <v>1472512114</v>
      </c>
      <c r="C402">
        <v>1472497610</v>
      </c>
      <c r="D402">
        <v>1441822273</v>
      </c>
      <c r="E402">
        <v>15514512</v>
      </c>
      <c r="F402">
        <v>1</v>
      </c>
      <c r="G402">
        <v>15514512</v>
      </c>
      <c r="H402">
        <v>3</v>
      </c>
      <c r="I402" t="s">
        <v>967</v>
      </c>
      <c r="J402" t="s">
        <v>3</v>
      </c>
      <c r="K402" t="s">
        <v>969</v>
      </c>
      <c r="L402">
        <v>1348</v>
      </c>
      <c r="N402">
        <v>1009</v>
      </c>
      <c r="O402" t="s">
        <v>905</v>
      </c>
      <c r="P402" t="s">
        <v>905</v>
      </c>
      <c r="Q402">
        <v>1000</v>
      </c>
      <c r="X402">
        <v>6.9999999999999994E-5</v>
      </c>
      <c r="Y402">
        <v>94640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0</v>
      </c>
      <c r="AF402" t="s">
        <v>388</v>
      </c>
      <c r="AG402">
        <v>4.6666666666666665E-5</v>
      </c>
      <c r="AH402">
        <v>3</v>
      </c>
      <c r="AI402">
        <v>-1</v>
      </c>
      <c r="AJ402" t="s">
        <v>3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ROW(Source!A539)</f>
        <v>539</v>
      </c>
      <c r="B403">
        <v>1472512143</v>
      </c>
      <c r="C403">
        <v>1472497660</v>
      </c>
      <c r="D403">
        <v>1441819193</v>
      </c>
      <c r="E403">
        <v>15514512</v>
      </c>
      <c r="F403">
        <v>1</v>
      </c>
      <c r="G403">
        <v>15514512</v>
      </c>
      <c r="H403">
        <v>1</v>
      </c>
      <c r="I403" t="s">
        <v>885</v>
      </c>
      <c r="J403" t="s">
        <v>3</v>
      </c>
      <c r="K403" t="s">
        <v>886</v>
      </c>
      <c r="L403">
        <v>1191</v>
      </c>
      <c r="N403">
        <v>1013</v>
      </c>
      <c r="O403" t="s">
        <v>887</v>
      </c>
      <c r="P403" t="s">
        <v>887</v>
      </c>
      <c r="Q403">
        <v>1</v>
      </c>
      <c r="X403">
        <v>5.5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1</v>
      </c>
      <c r="AF403" t="s">
        <v>3</v>
      </c>
      <c r="AG403">
        <v>5.5</v>
      </c>
      <c r="AH403">
        <v>3</v>
      </c>
      <c r="AI403">
        <v>-1</v>
      </c>
      <c r="AJ403" t="s">
        <v>3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ROW(Source!A539)</f>
        <v>539</v>
      </c>
      <c r="B404">
        <v>1472512144</v>
      </c>
      <c r="C404">
        <v>1472497660</v>
      </c>
      <c r="D404">
        <v>1441836235</v>
      </c>
      <c r="E404">
        <v>1</v>
      </c>
      <c r="F404">
        <v>1</v>
      </c>
      <c r="G404">
        <v>15514512</v>
      </c>
      <c r="H404">
        <v>3</v>
      </c>
      <c r="I404" t="s">
        <v>912</v>
      </c>
      <c r="J404" t="s">
        <v>913</v>
      </c>
      <c r="K404" t="s">
        <v>914</v>
      </c>
      <c r="L404">
        <v>1346</v>
      </c>
      <c r="N404">
        <v>1009</v>
      </c>
      <c r="O404" t="s">
        <v>898</v>
      </c>
      <c r="P404" t="s">
        <v>898</v>
      </c>
      <c r="Q404">
        <v>1</v>
      </c>
      <c r="X404">
        <v>0.02</v>
      </c>
      <c r="Y404">
        <v>31.49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0</v>
      </c>
      <c r="AF404" t="s">
        <v>3</v>
      </c>
      <c r="AG404">
        <v>0.02</v>
      </c>
      <c r="AH404">
        <v>3</v>
      </c>
      <c r="AI404">
        <v>-1</v>
      </c>
      <c r="AJ404" t="s">
        <v>3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ROW(Source!A539)</f>
        <v>539</v>
      </c>
      <c r="B405">
        <v>1472512145</v>
      </c>
      <c r="C405">
        <v>1472497660</v>
      </c>
      <c r="D405">
        <v>1441821379</v>
      </c>
      <c r="E405">
        <v>15514512</v>
      </c>
      <c r="F405">
        <v>1</v>
      </c>
      <c r="G405">
        <v>15514512</v>
      </c>
      <c r="H405">
        <v>3</v>
      </c>
      <c r="I405" t="s">
        <v>965</v>
      </c>
      <c r="J405" t="s">
        <v>3</v>
      </c>
      <c r="K405" t="s">
        <v>966</v>
      </c>
      <c r="L405">
        <v>1346</v>
      </c>
      <c r="N405">
        <v>1009</v>
      </c>
      <c r="O405" t="s">
        <v>898</v>
      </c>
      <c r="P405" t="s">
        <v>898</v>
      </c>
      <c r="Q405">
        <v>1</v>
      </c>
      <c r="X405">
        <v>2.4E-2</v>
      </c>
      <c r="Y405">
        <v>89.933959999999999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0</v>
      </c>
      <c r="AF405" t="s">
        <v>3</v>
      </c>
      <c r="AG405">
        <v>2.4E-2</v>
      </c>
      <c r="AH405">
        <v>3</v>
      </c>
      <c r="AI405">
        <v>-1</v>
      </c>
      <c r="AJ405" t="s">
        <v>3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ROW(Source!A540)</f>
        <v>540</v>
      </c>
      <c r="B406">
        <v>1472512157</v>
      </c>
      <c r="C406">
        <v>1472497672</v>
      </c>
      <c r="D406">
        <v>1441819193</v>
      </c>
      <c r="E406">
        <v>15514512</v>
      </c>
      <c r="F406">
        <v>1</v>
      </c>
      <c r="G406">
        <v>15514512</v>
      </c>
      <c r="H406">
        <v>1</v>
      </c>
      <c r="I406" t="s">
        <v>885</v>
      </c>
      <c r="J406" t="s">
        <v>3</v>
      </c>
      <c r="K406" t="s">
        <v>886</v>
      </c>
      <c r="L406">
        <v>1191</v>
      </c>
      <c r="N406">
        <v>1013</v>
      </c>
      <c r="O406" t="s">
        <v>887</v>
      </c>
      <c r="P406" t="s">
        <v>887</v>
      </c>
      <c r="Q406">
        <v>1</v>
      </c>
      <c r="X406">
        <v>2.38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1</v>
      </c>
      <c r="AF406" t="s">
        <v>28</v>
      </c>
      <c r="AG406">
        <v>4.76</v>
      </c>
      <c r="AH406">
        <v>3</v>
      </c>
      <c r="AI406">
        <v>-1</v>
      </c>
      <c r="AJ406" t="s">
        <v>3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ROW(Source!A540)</f>
        <v>540</v>
      </c>
      <c r="B407">
        <v>1472512158</v>
      </c>
      <c r="C407">
        <v>1472497672</v>
      </c>
      <c r="D407">
        <v>1441836235</v>
      </c>
      <c r="E407">
        <v>1</v>
      </c>
      <c r="F407">
        <v>1</v>
      </c>
      <c r="G407">
        <v>15514512</v>
      </c>
      <c r="H407">
        <v>3</v>
      </c>
      <c r="I407" t="s">
        <v>912</v>
      </c>
      <c r="J407" t="s">
        <v>913</v>
      </c>
      <c r="K407" t="s">
        <v>914</v>
      </c>
      <c r="L407">
        <v>1346</v>
      </c>
      <c r="N407">
        <v>1009</v>
      </c>
      <c r="O407" t="s">
        <v>898</v>
      </c>
      <c r="P407" t="s">
        <v>898</v>
      </c>
      <c r="Q407">
        <v>1</v>
      </c>
      <c r="X407">
        <v>1E-3</v>
      </c>
      <c r="Y407">
        <v>31.49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0</v>
      </c>
      <c r="AF407" t="s">
        <v>28</v>
      </c>
      <c r="AG407">
        <v>2E-3</v>
      </c>
      <c r="AH407">
        <v>3</v>
      </c>
      <c r="AI407">
        <v>-1</v>
      </c>
      <c r="AJ407" t="s">
        <v>3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ROW(Source!A541)</f>
        <v>541</v>
      </c>
      <c r="B408">
        <v>1472512176</v>
      </c>
      <c r="C408">
        <v>1472497701</v>
      </c>
      <c r="D408">
        <v>1441819193</v>
      </c>
      <c r="E408">
        <v>15514512</v>
      </c>
      <c r="F408">
        <v>1</v>
      </c>
      <c r="G408">
        <v>15514512</v>
      </c>
      <c r="H408">
        <v>1</v>
      </c>
      <c r="I408" t="s">
        <v>885</v>
      </c>
      <c r="J408" t="s">
        <v>3</v>
      </c>
      <c r="K408" t="s">
        <v>886</v>
      </c>
      <c r="L408">
        <v>1191</v>
      </c>
      <c r="N408">
        <v>1013</v>
      </c>
      <c r="O408" t="s">
        <v>887</v>
      </c>
      <c r="P408" t="s">
        <v>887</v>
      </c>
      <c r="Q408">
        <v>1</v>
      </c>
      <c r="X408">
        <v>1.1000000000000001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1</v>
      </c>
      <c r="AF408" t="s">
        <v>28</v>
      </c>
      <c r="AG408">
        <v>2.2000000000000002</v>
      </c>
      <c r="AH408">
        <v>3</v>
      </c>
      <c r="AI408">
        <v>-1</v>
      </c>
      <c r="AJ408" t="s">
        <v>3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ROW(Source!A541)</f>
        <v>541</v>
      </c>
      <c r="B409">
        <v>1472512177</v>
      </c>
      <c r="C409">
        <v>1472497701</v>
      </c>
      <c r="D409">
        <v>1441836235</v>
      </c>
      <c r="E409">
        <v>1</v>
      </c>
      <c r="F409">
        <v>1</v>
      </c>
      <c r="G409">
        <v>15514512</v>
      </c>
      <c r="H409">
        <v>3</v>
      </c>
      <c r="I409" t="s">
        <v>912</v>
      </c>
      <c r="J409" t="s">
        <v>913</v>
      </c>
      <c r="K409" t="s">
        <v>914</v>
      </c>
      <c r="L409">
        <v>1346</v>
      </c>
      <c r="N409">
        <v>1009</v>
      </c>
      <c r="O409" t="s">
        <v>898</v>
      </c>
      <c r="P409" t="s">
        <v>898</v>
      </c>
      <c r="Q409">
        <v>1</v>
      </c>
      <c r="X409">
        <v>1.1999999999999999E-3</v>
      </c>
      <c r="Y409">
        <v>31.49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0</v>
      </c>
      <c r="AF409" t="s">
        <v>28</v>
      </c>
      <c r="AG409">
        <v>2.3999999999999998E-3</v>
      </c>
      <c r="AH409">
        <v>3</v>
      </c>
      <c r="AI409">
        <v>-1</v>
      </c>
      <c r="AJ409" t="s">
        <v>3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ROW(Source!A542)</f>
        <v>542</v>
      </c>
      <c r="B410">
        <v>1472512201</v>
      </c>
      <c r="C410">
        <v>1472497708</v>
      </c>
      <c r="D410">
        <v>1441819193</v>
      </c>
      <c r="E410">
        <v>15514512</v>
      </c>
      <c r="F410">
        <v>1</v>
      </c>
      <c r="G410">
        <v>15514512</v>
      </c>
      <c r="H410">
        <v>1</v>
      </c>
      <c r="I410" t="s">
        <v>885</v>
      </c>
      <c r="J410" t="s">
        <v>3</v>
      </c>
      <c r="K410" t="s">
        <v>886</v>
      </c>
      <c r="L410">
        <v>1191</v>
      </c>
      <c r="N410">
        <v>1013</v>
      </c>
      <c r="O410" t="s">
        <v>887</v>
      </c>
      <c r="P410" t="s">
        <v>887</v>
      </c>
      <c r="Q410">
        <v>1</v>
      </c>
      <c r="X410">
        <v>73.5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1</v>
      </c>
      <c r="AE410">
        <v>1</v>
      </c>
      <c r="AF410" t="s">
        <v>477</v>
      </c>
      <c r="AG410">
        <v>24.5</v>
      </c>
      <c r="AH410">
        <v>3</v>
      </c>
      <c r="AI410">
        <v>-1</v>
      </c>
      <c r="AJ410" t="s">
        <v>3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ROW(Source!A542)</f>
        <v>542</v>
      </c>
      <c r="B411">
        <v>1472512202</v>
      </c>
      <c r="C411">
        <v>1472497708</v>
      </c>
      <c r="D411">
        <v>1441835475</v>
      </c>
      <c r="E411">
        <v>1</v>
      </c>
      <c r="F411">
        <v>1</v>
      </c>
      <c r="G411">
        <v>15514512</v>
      </c>
      <c r="H411">
        <v>3</v>
      </c>
      <c r="I411" t="s">
        <v>978</v>
      </c>
      <c r="J411" t="s">
        <v>979</v>
      </c>
      <c r="K411" t="s">
        <v>980</v>
      </c>
      <c r="L411">
        <v>1348</v>
      </c>
      <c r="N411">
        <v>1009</v>
      </c>
      <c r="O411" t="s">
        <v>905</v>
      </c>
      <c r="P411" t="s">
        <v>905</v>
      </c>
      <c r="Q411">
        <v>1000</v>
      </c>
      <c r="X411">
        <v>2.9999999999999997E-4</v>
      </c>
      <c r="Y411">
        <v>155908.07999999999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0</v>
      </c>
      <c r="AF411" t="s">
        <v>477</v>
      </c>
      <c r="AG411">
        <v>9.9999999999999991E-5</v>
      </c>
      <c r="AH411">
        <v>3</v>
      </c>
      <c r="AI411">
        <v>-1</v>
      </c>
      <c r="AJ411" t="s">
        <v>3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ROW(Source!A542)</f>
        <v>542</v>
      </c>
      <c r="B412">
        <v>1472512203</v>
      </c>
      <c r="C412">
        <v>1472497708</v>
      </c>
      <c r="D412">
        <v>1441835549</v>
      </c>
      <c r="E412">
        <v>1</v>
      </c>
      <c r="F412">
        <v>1</v>
      </c>
      <c r="G412">
        <v>15514512</v>
      </c>
      <c r="H412">
        <v>3</v>
      </c>
      <c r="I412" t="s">
        <v>981</v>
      </c>
      <c r="J412" t="s">
        <v>982</v>
      </c>
      <c r="K412" t="s">
        <v>983</v>
      </c>
      <c r="L412">
        <v>1348</v>
      </c>
      <c r="N412">
        <v>1009</v>
      </c>
      <c r="O412" t="s">
        <v>905</v>
      </c>
      <c r="P412" t="s">
        <v>905</v>
      </c>
      <c r="Q412">
        <v>1000</v>
      </c>
      <c r="X412">
        <v>1E-4</v>
      </c>
      <c r="Y412">
        <v>194655.19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0</v>
      </c>
      <c r="AF412" t="s">
        <v>477</v>
      </c>
      <c r="AG412">
        <v>3.3333333333333335E-5</v>
      </c>
      <c r="AH412">
        <v>3</v>
      </c>
      <c r="AI412">
        <v>-1</v>
      </c>
      <c r="AJ412" t="s">
        <v>3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ROW(Source!A542)</f>
        <v>542</v>
      </c>
      <c r="B413">
        <v>1472512204</v>
      </c>
      <c r="C413">
        <v>1472497708</v>
      </c>
      <c r="D413">
        <v>1441836250</v>
      </c>
      <c r="E413">
        <v>1</v>
      </c>
      <c r="F413">
        <v>1</v>
      </c>
      <c r="G413">
        <v>15514512</v>
      </c>
      <c r="H413">
        <v>3</v>
      </c>
      <c r="I413" t="s">
        <v>1021</v>
      </c>
      <c r="J413" t="s">
        <v>1022</v>
      </c>
      <c r="K413" t="s">
        <v>1023</v>
      </c>
      <c r="L413">
        <v>1327</v>
      </c>
      <c r="N413">
        <v>1005</v>
      </c>
      <c r="O413" t="s">
        <v>949</v>
      </c>
      <c r="P413" t="s">
        <v>949</v>
      </c>
      <c r="Q413">
        <v>1</v>
      </c>
      <c r="X413">
        <v>2.1</v>
      </c>
      <c r="Y413">
        <v>149.25</v>
      </c>
      <c r="Z413">
        <v>0</v>
      </c>
      <c r="AA413">
        <v>0</v>
      </c>
      <c r="AB413">
        <v>0</v>
      </c>
      <c r="AC413">
        <v>0</v>
      </c>
      <c r="AD413">
        <v>1</v>
      </c>
      <c r="AE413">
        <v>0</v>
      </c>
      <c r="AF413" t="s">
        <v>477</v>
      </c>
      <c r="AG413">
        <v>0.70000000000000007</v>
      </c>
      <c r="AH413">
        <v>3</v>
      </c>
      <c r="AI413">
        <v>-1</v>
      </c>
      <c r="AJ413" t="s">
        <v>3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ROW(Source!A542)</f>
        <v>542</v>
      </c>
      <c r="B414">
        <v>1472512205</v>
      </c>
      <c r="C414">
        <v>1472497708</v>
      </c>
      <c r="D414">
        <v>1441834635</v>
      </c>
      <c r="E414">
        <v>1</v>
      </c>
      <c r="F414">
        <v>1</v>
      </c>
      <c r="G414">
        <v>15514512</v>
      </c>
      <c r="H414">
        <v>3</v>
      </c>
      <c r="I414" t="s">
        <v>993</v>
      </c>
      <c r="J414" t="s">
        <v>994</v>
      </c>
      <c r="K414" t="s">
        <v>995</v>
      </c>
      <c r="L414">
        <v>1339</v>
      </c>
      <c r="N414">
        <v>1007</v>
      </c>
      <c r="O414" t="s">
        <v>891</v>
      </c>
      <c r="P414" t="s">
        <v>891</v>
      </c>
      <c r="Q414">
        <v>1</v>
      </c>
      <c r="X414">
        <v>0.5</v>
      </c>
      <c r="Y414">
        <v>103.4</v>
      </c>
      <c r="Z414">
        <v>0</v>
      </c>
      <c r="AA414">
        <v>0</v>
      </c>
      <c r="AB414">
        <v>0</v>
      </c>
      <c r="AC414">
        <v>0</v>
      </c>
      <c r="AD414">
        <v>1</v>
      </c>
      <c r="AE414">
        <v>0</v>
      </c>
      <c r="AF414" t="s">
        <v>477</v>
      </c>
      <c r="AG414">
        <v>0.16666666666666666</v>
      </c>
      <c r="AH414">
        <v>3</v>
      </c>
      <c r="AI414">
        <v>-1</v>
      </c>
      <c r="AJ414" t="s">
        <v>3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ROW(Source!A542)</f>
        <v>542</v>
      </c>
      <c r="B415">
        <v>1472512206</v>
      </c>
      <c r="C415">
        <v>1472497708</v>
      </c>
      <c r="D415">
        <v>1441834627</v>
      </c>
      <c r="E415">
        <v>1</v>
      </c>
      <c r="F415">
        <v>1</v>
      </c>
      <c r="G415">
        <v>15514512</v>
      </c>
      <c r="H415">
        <v>3</v>
      </c>
      <c r="I415" t="s">
        <v>996</v>
      </c>
      <c r="J415" t="s">
        <v>997</v>
      </c>
      <c r="K415" t="s">
        <v>998</v>
      </c>
      <c r="L415">
        <v>1339</v>
      </c>
      <c r="N415">
        <v>1007</v>
      </c>
      <c r="O415" t="s">
        <v>891</v>
      </c>
      <c r="P415" t="s">
        <v>891</v>
      </c>
      <c r="Q415">
        <v>1</v>
      </c>
      <c r="X415">
        <v>0.3</v>
      </c>
      <c r="Y415">
        <v>875.46</v>
      </c>
      <c r="Z415">
        <v>0</v>
      </c>
      <c r="AA415">
        <v>0</v>
      </c>
      <c r="AB415">
        <v>0</v>
      </c>
      <c r="AC415">
        <v>0</v>
      </c>
      <c r="AD415">
        <v>1</v>
      </c>
      <c r="AE415">
        <v>0</v>
      </c>
      <c r="AF415" t="s">
        <v>477</v>
      </c>
      <c r="AG415">
        <v>9.9999999999999992E-2</v>
      </c>
      <c r="AH415">
        <v>3</v>
      </c>
      <c r="AI415">
        <v>-1</v>
      </c>
      <c r="AJ415" t="s">
        <v>3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ROW(Source!A542)</f>
        <v>542</v>
      </c>
      <c r="B416">
        <v>1472512207</v>
      </c>
      <c r="C416">
        <v>1472497708</v>
      </c>
      <c r="D416">
        <v>1441834671</v>
      </c>
      <c r="E416">
        <v>1</v>
      </c>
      <c r="F416">
        <v>1</v>
      </c>
      <c r="G416">
        <v>15514512</v>
      </c>
      <c r="H416">
        <v>3</v>
      </c>
      <c r="I416" t="s">
        <v>999</v>
      </c>
      <c r="J416" t="s">
        <v>1000</v>
      </c>
      <c r="K416" t="s">
        <v>1001</v>
      </c>
      <c r="L416">
        <v>1348</v>
      </c>
      <c r="N416">
        <v>1009</v>
      </c>
      <c r="O416" t="s">
        <v>905</v>
      </c>
      <c r="P416" t="s">
        <v>905</v>
      </c>
      <c r="Q416">
        <v>1000</v>
      </c>
      <c r="X416">
        <v>1E-4</v>
      </c>
      <c r="Y416">
        <v>184462.17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0</v>
      </c>
      <c r="AF416" t="s">
        <v>477</v>
      </c>
      <c r="AG416">
        <v>3.3333333333333335E-5</v>
      </c>
      <c r="AH416">
        <v>3</v>
      </c>
      <c r="AI416">
        <v>-1</v>
      </c>
      <c r="AJ416" t="s">
        <v>3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ROW(Source!A542)</f>
        <v>542</v>
      </c>
      <c r="B417">
        <v>1472512208</v>
      </c>
      <c r="C417">
        <v>1472497708</v>
      </c>
      <c r="D417">
        <v>1441834634</v>
      </c>
      <c r="E417">
        <v>1</v>
      </c>
      <c r="F417">
        <v>1</v>
      </c>
      <c r="G417">
        <v>15514512</v>
      </c>
      <c r="H417">
        <v>3</v>
      </c>
      <c r="I417" t="s">
        <v>1002</v>
      </c>
      <c r="J417" t="s">
        <v>1003</v>
      </c>
      <c r="K417" t="s">
        <v>1004</v>
      </c>
      <c r="L417">
        <v>1348</v>
      </c>
      <c r="N417">
        <v>1009</v>
      </c>
      <c r="O417" t="s">
        <v>905</v>
      </c>
      <c r="P417" t="s">
        <v>905</v>
      </c>
      <c r="Q417">
        <v>1000</v>
      </c>
      <c r="X417">
        <v>5.9999999999999995E-4</v>
      </c>
      <c r="Y417">
        <v>88053.759999999995</v>
      </c>
      <c r="Z417">
        <v>0</v>
      </c>
      <c r="AA417">
        <v>0</v>
      </c>
      <c r="AB417">
        <v>0</v>
      </c>
      <c r="AC417">
        <v>0</v>
      </c>
      <c r="AD417">
        <v>1</v>
      </c>
      <c r="AE417">
        <v>0</v>
      </c>
      <c r="AF417" t="s">
        <v>477</v>
      </c>
      <c r="AG417">
        <v>1.9999999999999998E-4</v>
      </c>
      <c r="AH417">
        <v>3</v>
      </c>
      <c r="AI417">
        <v>-1</v>
      </c>
      <c r="AJ417" t="s">
        <v>3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ROW(Source!A542)</f>
        <v>542</v>
      </c>
      <c r="B418">
        <v>1472512209</v>
      </c>
      <c r="C418">
        <v>1472497708</v>
      </c>
      <c r="D418">
        <v>1441834836</v>
      </c>
      <c r="E418">
        <v>1</v>
      </c>
      <c r="F418">
        <v>1</v>
      </c>
      <c r="G418">
        <v>15514512</v>
      </c>
      <c r="H418">
        <v>3</v>
      </c>
      <c r="I418" t="s">
        <v>1005</v>
      </c>
      <c r="J418" t="s">
        <v>1006</v>
      </c>
      <c r="K418" t="s">
        <v>1007</v>
      </c>
      <c r="L418">
        <v>1348</v>
      </c>
      <c r="N418">
        <v>1009</v>
      </c>
      <c r="O418" t="s">
        <v>905</v>
      </c>
      <c r="P418" t="s">
        <v>905</v>
      </c>
      <c r="Q418">
        <v>1000</v>
      </c>
      <c r="X418">
        <v>1.4400000000000001E-3</v>
      </c>
      <c r="Y418">
        <v>93194.67</v>
      </c>
      <c r="Z418">
        <v>0</v>
      </c>
      <c r="AA418">
        <v>0</v>
      </c>
      <c r="AB418">
        <v>0</v>
      </c>
      <c r="AC418">
        <v>0</v>
      </c>
      <c r="AD418">
        <v>1</v>
      </c>
      <c r="AE418">
        <v>0</v>
      </c>
      <c r="AF418" t="s">
        <v>477</v>
      </c>
      <c r="AG418">
        <v>4.8000000000000001E-4</v>
      </c>
      <c r="AH418">
        <v>3</v>
      </c>
      <c r="AI418">
        <v>-1</v>
      </c>
      <c r="AJ418" t="s">
        <v>3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ROW(Source!A542)</f>
        <v>542</v>
      </c>
      <c r="B419">
        <v>1472512210</v>
      </c>
      <c r="C419">
        <v>1472497708</v>
      </c>
      <c r="D419">
        <v>1441822273</v>
      </c>
      <c r="E419">
        <v>15514512</v>
      </c>
      <c r="F419">
        <v>1</v>
      </c>
      <c r="G419">
        <v>15514512</v>
      </c>
      <c r="H419">
        <v>3</v>
      </c>
      <c r="I419" t="s">
        <v>967</v>
      </c>
      <c r="J419" t="s">
        <v>3</v>
      </c>
      <c r="K419" t="s">
        <v>969</v>
      </c>
      <c r="L419">
        <v>1348</v>
      </c>
      <c r="N419">
        <v>1009</v>
      </c>
      <c r="O419" t="s">
        <v>905</v>
      </c>
      <c r="P419" t="s">
        <v>905</v>
      </c>
      <c r="Q419">
        <v>1000</v>
      </c>
      <c r="X419">
        <v>1.6000000000000001E-4</v>
      </c>
      <c r="Y419">
        <v>94640</v>
      </c>
      <c r="Z419">
        <v>0</v>
      </c>
      <c r="AA419">
        <v>0</v>
      </c>
      <c r="AB419">
        <v>0</v>
      </c>
      <c r="AC419">
        <v>0</v>
      </c>
      <c r="AD419">
        <v>1</v>
      </c>
      <c r="AE419">
        <v>0</v>
      </c>
      <c r="AF419" t="s">
        <v>477</v>
      </c>
      <c r="AG419">
        <v>5.333333333333334E-5</v>
      </c>
      <c r="AH419">
        <v>3</v>
      </c>
      <c r="AI419">
        <v>-1</v>
      </c>
      <c r="AJ419" t="s">
        <v>3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ROW(Source!A543)</f>
        <v>543</v>
      </c>
      <c r="B420">
        <v>1472512228</v>
      </c>
      <c r="C420">
        <v>1472497756</v>
      </c>
      <c r="D420">
        <v>1441819193</v>
      </c>
      <c r="E420">
        <v>15514512</v>
      </c>
      <c r="F420">
        <v>1</v>
      </c>
      <c r="G420">
        <v>15514512</v>
      </c>
      <c r="H420">
        <v>1</v>
      </c>
      <c r="I420" t="s">
        <v>885</v>
      </c>
      <c r="J420" t="s">
        <v>3</v>
      </c>
      <c r="K420" t="s">
        <v>886</v>
      </c>
      <c r="L420">
        <v>1191</v>
      </c>
      <c r="N420">
        <v>1013</v>
      </c>
      <c r="O420" t="s">
        <v>887</v>
      </c>
      <c r="P420" t="s">
        <v>887</v>
      </c>
      <c r="Q420">
        <v>1</v>
      </c>
      <c r="X420">
        <v>13.13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1</v>
      </c>
      <c r="AE420">
        <v>1</v>
      </c>
      <c r="AF420" t="s">
        <v>3</v>
      </c>
      <c r="AG420">
        <v>13.13</v>
      </c>
      <c r="AH420">
        <v>3</v>
      </c>
      <c r="AI420">
        <v>-1</v>
      </c>
      <c r="AJ420" t="s">
        <v>3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ROW(Source!A543)</f>
        <v>543</v>
      </c>
      <c r="B421">
        <v>1472512229</v>
      </c>
      <c r="C421">
        <v>1472497756</v>
      </c>
      <c r="D421">
        <v>1441834138</v>
      </c>
      <c r="E421">
        <v>1</v>
      </c>
      <c r="F421">
        <v>1</v>
      </c>
      <c r="G421">
        <v>15514512</v>
      </c>
      <c r="H421">
        <v>2</v>
      </c>
      <c r="I421" t="s">
        <v>1024</v>
      </c>
      <c r="J421" t="s">
        <v>1025</v>
      </c>
      <c r="K421" t="s">
        <v>1026</v>
      </c>
      <c r="L421">
        <v>1368</v>
      </c>
      <c r="N421">
        <v>1011</v>
      </c>
      <c r="O421" t="s">
        <v>895</v>
      </c>
      <c r="P421" t="s">
        <v>895</v>
      </c>
      <c r="Q421">
        <v>1</v>
      </c>
      <c r="X421">
        <v>1.7</v>
      </c>
      <c r="Y421">
        <v>0</v>
      </c>
      <c r="Z421">
        <v>45.56</v>
      </c>
      <c r="AA421">
        <v>0.57999999999999996</v>
      </c>
      <c r="AB421">
        <v>0</v>
      </c>
      <c r="AC421">
        <v>0</v>
      </c>
      <c r="AD421">
        <v>1</v>
      </c>
      <c r="AE421">
        <v>0</v>
      </c>
      <c r="AF421" t="s">
        <v>3</v>
      </c>
      <c r="AG421">
        <v>1.7</v>
      </c>
      <c r="AH421">
        <v>3</v>
      </c>
      <c r="AI421">
        <v>-1</v>
      </c>
      <c r="AJ421" t="s">
        <v>3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ROW(Source!A543)</f>
        <v>543</v>
      </c>
      <c r="B422">
        <v>1472512230</v>
      </c>
      <c r="C422">
        <v>1472497756</v>
      </c>
      <c r="D422">
        <v>1441834143</v>
      </c>
      <c r="E422">
        <v>1</v>
      </c>
      <c r="F422">
        <v>1</v>
      </c>
      <c r="G422">
        <v>15514512</v>
      </c>
      <c r="H422">
        <v>2</v>
      </c>
      <c r="I422" t="s">
        <v>1027</v>
      </c>
      <c r="J422" t="s">
        <v>1028</v>
      </c>
      <c r="K422" t="s">
        <v>1029</v>
      </c>
      <c r="L422">
        <v>1368</v>
      </c>
      <c r="N422">
        <v>1011</v>
      </c>
      <c r="O422" t="s">
        <v>895</v>
      </c>
      <c r="P422" t="s">
        <v>895</v>
      </c>
      <c r="Q422">
        <v>1</v>
      </c>
      <c r="X422">
        <v>1.7</v>
      </c>
      <c r="Y422">
        <v>0</v>
      </c>
      <c r="Z422">
        <v>61.25</v>
      </c>
      <c r="AA422">
        <v>3.11</v>
      </c>
      <c r="AB422">
        <v>0</v>
      </c>
      <c r="AC422">
        <v>0</v>
      </c>
      <c r="AD422">
        <v>1</v>
      </c>
      <c r="AE422">
        <v>0</v>
      </c>
      <c r="AF422" t="s">
        <v>3</v>
      </c>
      <c r="AG422">
        <v>1.7</v>
      </c>
      <c r="AH422">
        <v>3</v>
      </c>
      <c r="AI422">
        <v>-1</v>
      </c>
      <c r="AJ422" t="s">
        <v>3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ROW(Source!A543)</f>
        <v>543</v>
      </c>
      <c r="B423">
        <v>1472512231</v>
      </c>
      <c r="C423">
        <v>1472497756</v>
      </c>
      <c r="D423">
        <v>1441834258</v>
      </c>
      <c r="E423">
        <v>1</v>
      </c>
      <c r="F423">
        <v>1</v>
      </c>
      <c r="G423">
        <v>15514512</v>
      </c>
      <c r="H423">
        <v>2</v>
      </c>
      <c r="I423" t="s">
        <v>892</v>
      </c>
      <c r="J423" t="s">
        <v>893</v>
      </c>
      <c r="K423" t="s">
        <v>894</v>
      </c>
      <c r="L423">
        <v>1368</v>
      </c>
      <c r="N423">
        <v>1011</v>
      </c>
      <c r="O423" t="s">
        <v>895</v>
      </c>
      <c r="P423" t="s">
        <v>895</v>
      </c>
      <c r="Q423">
        <v>1</v>
      </c>
      <c r="X423">
        <v>3.31</v>
      </c>
      <c r="Y423">
        <v>0</v>
      </c>
      <c r="Z423">
        <v>1303.01</v>
      </c>
      <c r="AA423">
        <v>826.2</v>
      </c>
      <c r="AB423">
        <v>0</v>
      </c>
      <c r="AC423">
        <v>0</v>
      </c>
      <c r="AD423">
        <v>1</v>
      </c>
      <c r="AE423">
        <v>0</v>
      </c>
      <c r="AF423" t="s">
        <v>3</v>
      </c>
      <c r="AG423">
        <v>3.31</v>
      </c>
      <c r="AH423">
        <v>3</v>
      </c>
      <c r="AI423">
        <v>-1</v>
      </c>
      <c r="AJ423" t="s">
        <v>3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ROW(Source!A543)</f>
        <v>543</v>
      </c>
      <c r="B424">
        <v>1472512232</v>
      </c>
      <c r="C424">
        <v>1472497756</v>
      </c>
      <c r="D424">
        <v>1441834334</v>
      </c>
      <c r="E424">
        <v>1</v>
      </c>
      <c r="F424">
        <v>1</v>
      </c>
      <c r="G424">
        <v>15514512</v>
      </c>
      <c r="H424">
        <v>2</v>
      </c>
      <c r="I424" t="s">
        <v>919</v>
      </c>
      <c r="J424" t="s">
        <v>920</v>
      </c>
      <c r="K424" t="s">
        <v>921</v>
      </c>
      <c r="L424">
        <v>1368</v>
      </c>
      <c r="N424">
        <v>1011</v>
      </c>
      <c r="O424" t="s">
        <v>895</v>
      </c>
      <c r="P424" t="s">
        <v>895</v>
      </c>
      <c r="Q424">
        <v>1</v>
      </c>
      <c r="X424">
        <v>0.4</v>
      </c>
      <c r="Y424">
        <v>0</v>
      </c>
      <c r="Z424">
        <v>10.66</v>
      </c>
      <c r="AA424">
        <v>0.12</v>
      </c>
      <c r="AB424">
        <v>0</v>
      </c>
      <c r="AC424">
        <v>0</v>
      </c>
      <c r="AD424">
        <v>1</v>
      </c>
      <c r="AE424">
        <v>0</v>
      </c>
      <c r="AF424" t="s">
        <v>3</v>
      </c>
      <c r="AG424">
        <v>0.4</v>
      </c>
      <c r="AH424">
        <v>3</v>
      </c>
      <c r="AI424">
        <v>-1</v>
      </c>
      <c r="AJ424" t="s">
        <v>3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  <row r="425" spans="1:44" x14ac:dyDescent="0.2">
      <c r="A425">
        <f>ROW(Source!A543)</f>
        <v>543</v>
      </c>
      <c r="B425">
        <v>1472512233</v>
      </c>
      <c r="C425">
        <v>1472497756</v>
      </c>
      <c r="D425">
        <v>1441836235</v>
      </c>
      <c r="E425">
        <v>1</v>
      </c>
      <c r="F425">
        <v>1</v>
      </c>
      <c r="G425">
        <v>15514512</v>
      </c>
      <c r="H425">
        <v>3</v>
      </c>
      <c r="I425" t="s">
        <v>912</v>
      </c>
      <c r="J425" t="s">
        <v>913</v>
      </c>
      <c r="K425" t="s">
        <v>914</v>
      </c>
      <c r="L425">
        <v>1346</v>
      </c>
      <c r="N425">
        <v>1009</v>
      </c>
      <c r="O425" t="s">
        <v>898</v>
      </c>
      <c r="P425" t="s">
        <v>898</v>
      </c>
      <c r="Q425">
        <v>1</v>
      </c>
      <c r="X425">
        <v>0.15</v>
      </c>
      <c r="Y425">
        <v>31.49</v>
      </c>
      <c r="Z425">
        <v>0</v>
      </c>
      <c r="AA425">
        <v>0</v>
      </c>
      <c r="AB425">
        <v>0</v>
      </c>
      <c r="AC425">
        <v>0</v>
      </c>
      <c r="AD425">
        <v>1</v>
      </c>
      <c r="AE425">
        <v>0</v>
      </c>
      <c r="AF425" t="s">
        <v>3</v>
      </c>
      <c r="AG425">
        <v>0.15</v>
      </c>
      <c r="AH425">
        <v>3</v>
      </c>
      <c r="AI425">
        <v>-1</v>
      </c>
      <c r="AJ425" t="s">
        <v>3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</row>
    <row r="426" spans="1:44" x14ac:dyDescent="0.2">
      <c r="A426">
        <f>ROW(Source!A544)</f>
        <v>544</v>
      </c>
      <c r="B426">
        <v>1472512236</v>
      </c>
      <c r="C426">
        <v>1472497835</v>
      </c>
      <c r="D426">
        <v>1441819193</v>
      </c>
      <c r="E426">
        <v>15514512</v>
      </c>
      <c r="F426">
        <v>1</v>
      </c>
      <c r="G426">
        <v>15514512</v>
      </c>
      <c r="H426">
        <v>1</v>
      </c>
      <c r="I426" t="s">
        <v>885</v>
      </c>
      <c r="J426" t="s">
        <v>3</v>
      </c>
      <c r="K426" t="s">
        <v>886</v>
      </c>
      <c r="L426">
        <v>1191</v>
      </c>
      <c r="N426">
        <v>1013</v>
      </c>
      <c r="O426" t="s">
        <v>887</v>
      </c>
      <c r="P426" t="s">
        <v>887</v>
      </c>
      <c r="Q426">
        <v>1</v>
      </c>
      <c r="X426">
        <v>2.1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1</v>
      </c>
      <c r="AF426" t="s">
        <v>3</v>
      </c>
      <c r="AG426">
        <v>2.1</v>
      </c>
      <c r="AH426">
        <v>3</v>
      </c>
      <c r="AI426">
        <v>-1</v>
      </c>
      <c r="AJ426" t="s">
        <v>3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</row>
    <row r="427" spans="1:44" x14ac:dyDescent="0.2">
      <c r="A427">
        <f>ROW(Source!A544)</f>
        <v>544</v>
      </c>
      <c r="B427">
        <v>1472512237</v>
      </c>
      <c r="C427">
        <v>1472497835</v>
      </c>
      <c r="D427">
        <v>1441834139</v>
      </c>
      <c r="E427">
        <v>1</v>
      </c>
      <c r="F427">
        <v>1</v>
      </c>
      <c r="G427">
        <v>15514512</v>
      </c>
      <c r="H427">
        <v>2</v>
      </c>
      <c r="I427" t="s">
        <v>1030</v>
      </c>
      <c r="J427" t="s">
        <v>1031</v>
      </c>
      <c r="K427" t="s">
        <v>1032</v>
      </c>
      <c r="L427">
        <v>1368</v>
      </c>
      <c r="N427">
        <v>1011</v>
      </c>
      <c r="O427" t="s">
        <v>895</v>
      </c>
      <c r="P427" t="s">
        <v>895</v>
      </c>
      <c r="Q427">
        <v>1</v>
      </c>
      <c r="X427">
        <v>0.3</v>
      </c>
      <c r="Y427">
        <v>0</v>
      </c>
      <c r="Z427">
        <v>8.82</v>
      </c>
      <c r="AA427">
        <v>0.11</v>
      </c>
      <c r="AB427">
        <v>0</v>
      </c>
      <c r="AC427">
        <v>0</v>
      </c>
      <c r="AD427">
        <v>1</v>
      </c>
      <c r="AE427">
        <v>0</v>
      </c>
      <c r="AF427" t="s">
        <v>3</v>
      </c>
      <c r="AG427">
        <v>0.3</v>
      </c>
      <c r="AH427">
        <v>3</v>
      </c>
      <c r="AI427">
        <v>-1</v>
      </c>
      <c r="AJ427" t="s">
        <v>3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</row>
    <row r="428" spans="1:44" x14ac:dyDescent="0.2">
      <c r="A428">
        <f>ROW(Source!A544)</f>
        <v>544</v>
      </c>
      <c r="B428">
        <v>1472512238</v>
      </c>
      <c r="C428">
        <v>1472497835</v>
      </c>
      <c r="D428">
        <v>1441834258</v>
      </c>
      <c r="E428">
        <v>1</v>
      </c>
      <c r="F428">
        <v>1</v>
      </c>
      <c r="G428">
        <v>15514512</v>
      </c>
      <c r="H428">
        <v>2</v>
      </c>
      <c r="I428" t="s">
        <v>892</v>
      </c>
      <c r="J428" t="s">
        <v>893</v>
      </c>
      <c r="K428" t="s">
        <v>894</v>
      </c>
      <c r="L428">
        <v>1368</v>
      </c>
      <c r="N428">
        <v>1011</v>
      </c>
      <c r="O428" t="s">
        <v>895</v>
      </c>
      <c r="P428" t="s">
        <v>895</v>
      </c>
      <c r="Q428">
        <v>1</v>
      </c>
      <c r="X428">
        <v>0.52</v>
      </c>
      <c r="Y428">
        <v>0</v>
      </c>
      <c r="Z428">
        <v>1303.01</v>
      </c>
      <c r="AA428">
        <v>826.2</v>
      </c>
      <c r="AB428">
        <v>0</v>
      </c>
      <c r="AC428">
        <v>0</v>
      </c>
      <c r="AD428">
        <v>1</v>
      </c>
      <c r="AE428">
        <v>0</v>
      </c>
      <c r="AF428" t="s">
        <v>3</v>
      </c>
      <c r="AG428">
        <v>0.52</v>
      </c>
      <c r="AH428">
        <v>3</v>
      </c>
      <c r="AI428">
        <v>-1</v>
      </c>
      <c r="AJ428" t="s">
        <v>3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</row>
    <row r="429" spans="1:44" x14ac:dyDescent="0.2">
      <c r="A429">
        <f>ROW(Source!A544)</f>
        <v>544</v>
      </c>
      <c r="B429">
        <v>1472512239</v>
      </c>
      <c r="C429">
        <v>1472497835</v>
      </c>
      <c r="D429">
        <v>1441836393</v>
      </c>
      <c r="E429">
        <v>1</v>
      </c>
      <c r="F429">
        <v>1</v>
      </c>
      <c r="G429">
        <v>15514512</v>
      </c>
      <c r="H429">
        <v>3</v>
      </c>
      <c r="I429" t="s">
        <v>1033</v>
      </c>
      <c r="J429" t="s">
        <v>1034</v>
      </c>
      <c r="K429" t="s">
        <v>1035</v>
      </c>
      <c r="L429">
        <v>1296</v>
      </c>
      <c r="N429">
        <v>1002</v>
      </c>
      <c r="O429" t="s">
        <v>918</v>
      </c>
      <c r="P429" t="s">
        <v>918</v>
      </c>
      <c r="Q429">
        <v>1</v>
      </c>
      <c r="X429">
        <v>3.8E-3</v>
      </c>
      <c r="Y429">
        <v>4241.6400000000003</v>
      </c>
      <c r="Z429">
        <v>0</v>
      </c>
      <c r="AA429">
        <v>0</v>
      </c>
      <c r="AB429">
        <v>0</v>
      </c>
      <c r="AC429">
        <v>0</v>
      </c>
      <c r="AD429">
        <v>1</v>
      </c>
      <c r="AE429">
        <v>0</v>
      </c>
      <c r="AF429" t="s">
        <v>3</v>
      </c>
      <c r="AG429">
        <v>3.8E-3</v>
      </c>
      <c r="AH429">
        <v>3</v>
      </c>
      <c r="AI429">
        <v>-1</v>
      </c>
      <c r="AJ429" t="s">
        <v>3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</row>
    <row r="430" spans="1:44" x14ac:dyDescent="0.2">
      <c r="A430">
        <f>ROW(Source!A544)</f>
        <v>544</v>
      </c>
      <c r="B430">
        <v>1472512240</v>
      </c>
      <c r="C430">
        <v>1472497835</v>
      </c>
      <c r="D430">
        <v>1441836514</v>
      </c>
      <c r="E430">
        <v>1</v>
      </c>
      <c r="F430">
        <v>1</v>
      </c>
      <c r="G430">
        <v>15514512</v>
      </c>
      <c r="H430">
        <v>3</v>
      </c>
      <c r="I430" t="s">
        <v>888</v>
      </c>
      <c r="J430" t="s">
        <v>889</v>
      </c>
      <c r="K430" t="s">
        <v>890</v>
      </c>
      <c r="L430">
        <v>1339</v>
      </c>
      <c r="N430">
        <v>1007</v>
      </c>
      <c r="O430" t="s">
        <v>891</v>
      </c>
      <c r="P430" t="s">
        <v>891</v>
      </c>
      <c r="Q430">
        <v>1</v>
      </c>
      <c r="X430">
        <v>3.8E-3</v>
      </c>
      <c r="Y430">
        <v>54.81</v>
      </c>
      <c r="Z430">
        <v>0</v>
      </c>
      <c r="AA430">
        <v>0</v>
      </c>
      <c r="AB430">
        <v>0</v>
      </c>
      <c r="AC430">
        <v>0</v>
      </c>
      <c r="AD430">
        <v>1</v>
      </c>
      <c r="AE430">
        <v>0</v>
      </c>
      <c r="AF430" t="s">
        <v>3</v>
      </c>
      <c r="AG430">
        <v>3.8E-3</v>
      </c>
      <c r="AH430">
        <v>3</v>
      </c>
      <c r="AI430">
        <v>-1</v>
      </c>
      <c r="AJ430" t="s">
        <v>3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</row>
    <row r="431" spans="1:44" x14ac:dyDescent="0.2">
      <c r="A431">
        <f>ROW(Source!A545)</f>
        <v>545</v>
      </c>
      <c r="B431">
        <v>1472512263</v>
      </c>
      <c r="C431">
        <v>1472497861</v>
      </c>
      <c r="D431">
        <v>1441819193</v>
      </c>
      <c r="E431">
        <v>15514512</v>
      </c>
      <c r="F431">
        <v>1</v>
      </c>
      <c r="G431">
        <v>15514512</v>
      </c>
      <c r="H431">
        <v>1</v>
      </c>
      <c r="I431" t="s">
        <v>885</v>
      </c>
      <c r="J431" t="s">
        <v>3</v>
      </c>
      <c r="K431" t="s">
        <v>886</v>
      </c>
      <c r="L431">
        <v>1191</v>
      </c>
      <c r="N431">
        <v>1013</v>
      </c>
      <c r="O431" t="s">
        <v>887</v>
      </c>
      <c r="P431" t="s">
        <v>887</v>
      </c>
      <c r="Q431">
        <v>1</v>
      </c>
      <c r="X431">
        <v>0.4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1</v>
      </c>
      <c r="AE431">
        <v>1</v>
      </c>
      <c r="AF431" t="s">
        <v>28</v>
      </c>
      <c r="AG431">
        <v>0.8</v>
      </c>
      <c r="AH431">
        <v>3</v>
      </c>
      <c r="AI431">
        <v>-1</v>
      </c>
      <c r="AJ431" t="s">
        <v>3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</row>
    <row r="432" spans="1:44" x14ac:dyDescent="0.2">
      <c r="A432">
        <f>ROW(Source!A546)</f>
        <v>546</v>
      </c>
      <c r="B432">
        <v>1472512267</v>
      </c>
      <c r="C432">
        <v>1472497867</v>
      </c>
      <c r="D432">
        <v>1441819193</v>
      </c>
      <c r="E432">
        <v>15514512</v>
      </c>
      <c r="F432">
        <v>1</v>
      </c>
      <c r="G432">
        <v>15514512</v>
      </c>
      <c r="H432">
        <v>1</v>
      </c>
      <c r="I432" t="s">
        <v>885</v>
      </c>
      <c r="J432" t="s">
        <v>3</v>
      </c>
      <c r="K432" t="s">
        <v>886</v>
      </c>
      <c r="L432">
        <v>1191</v>
      </c>
      <c r="N432">
        <v>1013</v>
      </c>
      <c r="O432" t="s">
        <v>887</v>
      </c>
      <c r="P432" t="s">
        <v>887</v>
      </c>
      <c r="Q432">
        <v>1</v>
      </c>
      <c r="X432">
        <v>0.4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1</v>
      </c>
      <c r="AE432">
        <v>1</v>
      </c>
      <c r="AF432" t="s">
        <v>28</v>
      </c>
      <c r="AG432">
        <v>0.8</v>
      </c>
      <c r="AH432">
        <v>3</v>
      </c>
      <c r="AI432">
        <v>-1</v>
      </c>
      <c r="AJ432" t="s">
        <v>3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</row>
    <row r="433" spans="1:44" x14ac:dyDescent="0.2">
      <c r="A433">
        <f>ROW(Source!A548)</f>
        <v>548</v>
      </c>
      <c r="B433">
        <v>1472512291</v>
      </c>
      <c r="C433">
        <v>1472497875</v>
      </c>
      <c r="D433">
        <v>1441819193</v>
      </c>
      <c r="E433">
        <v>15514512</v>
      </c>
      <c r="F433">
        <v>1</v>
      </c>
      <c r="G433">
        <v>15514512</v>
      </c>
      <c r="H433">
        <v>1</v>
      </c>
      <c r="I433" t="s">
        <v>885</v>
      </c>
      <c r="J433" t="s">
        <v>3</v>
      </c>
      <c r="K433" t="s">
        <v>886</v>
      </c>
      <c r="L433">
        <v>1191</v>
      </c>
      <c r="N433">
        <v>1013</v>
      </c>
      <c r="O433" t="s">
        <v>887</v>
      </c>
      <c r="P433" t="s">
        <v>887</v>
      </c>
      <c r="Q433">
        <v>1</v>
      </c>
      <c r="X433">
        <v>2.1800000000000002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1</v>
      </c>
      <c r="AE433">
        <v>1</v>
      </c>
      <c r="AF433" t="s">
        <v>3</v>
      </c>
      <c r="AG433">
        <v>2.1800000000000002</v>
      </c>
      <c r="AH433">
        <v>3</v>
      </c>
      <c r="AI433">
        <v>-1</v>
      </c>
      <c r="AJ433" t="s">
        <v>3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</row>
    <row r="434" spans="1:44" x14ac:dyDescent="0.2">
      <c r="A434">
        <f>ROW(Source!A548)</f>
        <v>548</v>
      </c>
      <c r="B434">
        <v>1472512292</v>
      </c>
      <c r="C434">
        <v>1472497875</v>
      </c>
      <c r="D434">
        <v>1441833954</v>
      </c>
      <c r="E434">
        <v>1</v>
      </c>
      <c r="F434">
        <v>1</v>
      </c>
      <c r="G434">
        <v>15514512</v>
      </c>
      <c r="H434">
        <v>2</v>
      </c>
      <c r="I434" t="s">
        <v>940</v>
      </c>
      <c r="J434" t="s">
        <v>941</v>
      </c>
      <c r="K434" t="s">
        <v>942</v>
      </c>
      <c r="L434">
        <v>1368</v>
      </c>
      <c r="N434">
        <v>1011</v>
      </c>
      <c r="O434" t="s">
        <v>895</v>
      </c>
      <c r="P434" t="s">
        <v>895</v>
      </c>
      <c r="Q434">
        <v>1</v>
      </c>
      <c r="X434">
        <v>0.18</v>
      </c>
      <c r="Y434">
        <v>0</v>
      </c>
      <c r="Z434">
        <v>59.51</v>
      </c>
      <c r="AA434">
        <v>0.82</v>
      </c>
      <c r="AB434">
        <v>0</v>
      </c>
      <c r="AC434">
        <v>0</v>
      </c>
      <c r="AD434">
        <v>1</v>
      </c>
      <c r="AE434">
        <v>0</v>
      </c>
      <c r="AF434" t="s">
        <v>3</v>
      </c>
      <c r="AG434">
        <v>0.18</v>
      </c>
      <c r="AH434">
        <v>3</v>
      </c>
      <c r="AI434">
        <v>-1</v>
      </c>
      <c r="AJ434" t="s">
        <v>3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</row>
    <row r="435" spans="1:44" x14ac:dyDescent="0.2">
      <c r="A435">
        <f>ROW(Source!A548)</f>
        <v>548</v>
      </c>
      <c r="B435">
        <v>1472512293</v>
      </c>
      <c r="C435">
        <v>1472497875</v>
      </c>
      <c r="D435">
        <v>1441836235</v>
      </c>
      <c r="E435">
        <v>1</v>
      </c>
      <c r="F435">
        <v>1</v>
      </c>
      <c r="G435">
        <v>15514512</v>
      </c>
      <c r="H435">
        <v>3</v>
      </c>
      <c r="I435" t="s">
        <v>912</v>
      </c>
      <c r="J435" t="s">
        <v>913</v>
      </c>
      <c r="K435" t="s">
        <v>914</v>
      </c>
      <c r="L435">
        <v>1346</v>
      </c>
      <c r="N435">
        <v>1009</v>
      </c>
      <c r="O435" t="s">
        <v>898</v>
      </c>
      <c r="P435" t="s">
        <v>898</v>
      </c>
      <c r="Q435">
        <v>1</v>
      </c>
      <c r="X435">
        <v>0.06</v>
      </c>
      <c r="Y435">
        <v>31.49</v>
      </c>
      <c r="Z435">
        <v>0</v>
      </c>
      <c r="AA435">
        <v>0</v>
      </c>
      <c r="AB435">
        <v>0</v>
      </c>
      <c r="AC435">
        <v>0</v>
      </c>
      <c r="AD435">
        <v>1</v>
      </c>
      <c r="AE435">
        <v>0</v>
      </c>
      <c r="AF435" t="s">
        <v>3</v>
      </c>
      <c r="AG435">
        <v>0.06</v>
      </c>
      <c r="AH435">
        <v>3</v>
      </c>
      <c r="AI435">
        <v>-1</v>
      </c>
      <c r="AJ435" t="s">
        <v>3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</row>
    <row r="436" spans="1:44" x14ac:dyDescent="0.2">
      <c r="A436">
        <f>ROW(Source!A549)</f>
        <v>549</v>
      </c>
      <c r="B436">
        <v>1472512325</v>
      </c>
      <c r="C436">
        <v>1472497895</v>
      </c>
      <c r="D436">
        <v>1441819193</v>
      </c>
      <c r="E436">
        <v>15514512</v>
      </c>
      <c r="F436">
        <v>1</v>
      </c>
      <c r="G436">
        <v>15514512</v>
      </c>
      <c r="H436">
        <v>1</v>
      </c>
      <c r="I436" t="s">
        <v>885</v>
      </c>
      <c r="J436" t="s">
        <v>3</v>
      </c>
      <c r="K436" t="s">
        <v>886</v>
      </c>
      <c r="L436">
        <v>1191</v>
      </c>
      <c r="N436">
        <v>1013</v>
      </c>
      <c r="O436" t="s">
        <v>887</v>
      </c>
      <c r="P436" t="s">
        <v>887</v>
      </c>
      <c r="Q436">
        <v>1</v>
      </c>
      <c r="X436">
        <v>18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1</v>
      </c>
      <c r="AE436">
        <v>1</v>
      </c>
      <c r="AF436" t="s">
        <v>477</v>
      </c>
      <c r="AG436">
        <v>6</v>
      </c>
      <c r="AH436">
        <v>3</v>
      </c>
      <c r="AI436">
        <v>-1</v>
      </c>
      <c r="AJ436" t="s">
        <v>3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</row>
    <row r="437" spans="1:44" x14ac:dyDescent="0.2">
      <c r="A437">
        <f>ROW(Source!A549)</f>
        <v>549</v>
      </c>
      <c r="B437">
        <v>1472512326</v>
      </c>
      <c r="C437">
        <v>1472497895</v>
      </c>
      <c r="D437">
        <v>1441835475</v>
      </c>
      <c r="E437">
        <v>1</v>
      </c>
      <c r="F437">
        <v>1</v>
      </c>
      <c r="G437">
        <v>15514512</v>
      </c>
      <c r="H437">
        <v>3</v>
      </c>
      <c r="I437" t="s">
        <v>978</v>
      </c>
      <c r="J437" t="s">
        <v>979</v>
      </c>
      <c r="K437" t="s">
        <v>980</v>
      </c>
      <c r="L437">
        <v>1348</v>
      </c>
      <c r="N437">
        <v>1009</v>
      </c>
      <c r="O437" t="s">
        <v>905</v>
      </c>
      <c r="P437" t="s">
        <v>905</v>
      </c>
      <c r="Q437">
        <v>1000</v>
      </c>
      <c r="X437">
        <v>6.9999999999999999E-4</v>
      </c>
      <c r="Y437">
        <v>155908.07999999999</v>
      </c>
      <c r="Z437">
        <v>0</v>
      </c>
      <c r="AA437">
        <v>0</v>
      </c>
      <c r="AB437">
        <v>0</v>
      </c>
      <c r="AC437">
        <v>0</v>
      </c>
      <c r="AD437">
        <v>1</v>
      </c>
      <c r="AE437">
        <v>0</v>
      </c>
      <c r="AF437" t="s">
        <v>477</v>
      </c>
      <c r="AG437">
        <v>2.3333333333333333E-4</v>
      </c>
      <c r="AH437">
        <v>3</v>
      </c>
      <c r="AI437">
        <v>-1</v>
      </c>
      <c r="AJ437" t="s">
        <v>3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</row>
    <row r="438" spans="1:44" x14ac:dyDescent="0.2">
      <c r="A438">
        <f>ROW(Source!A549)</f>
        <v>549</v>
      </c>
      <c r="B438">
        <v>1472512327</v>
      </c>
      <c r="C438">
        <v>1472497895</v>
      </c>
      <c r="D438">
        <v>1441838759</v>
      </c>
      <c r="E438">
        <v>1</v>
      </c>
      <c r="F438">
        <v>1</v>
      </c>
      <c r="G438">
        <v>15514512</v>
      </c>
      <c r="H438">
        <v>3</v>
      </c>
      <c r="I438" t="s">
        <v>990</v>
      </c>
      <c r="J438" t="s">
        <v>991</v>
      </c>
      <c r="K438" t="s">
        <v>992</v>
      </c>
      <c r="L438">
        <v>1348</v>
      </c>
      <c r="N438">
        <v>1009</v>
      </c>
      <c r="O438" t="s">
        <v>905</v>
      </c>
      <c r="P438" t="s">
        <v>905</v>
      </c>
      <c r="Q438">
        <v>1000</v>
      </c>
      <c r="X438">
        <v>4.0000000000000002E-4</v>
      </c>
      <c r="Y438">
        <v>1590701.16</v>
      </c>
      <c r="Z438">
        <v>0</v>
      </c>
      <c r="AA438">
        <v>0</v>
      </c>
      <c r="AB438">
        <v>0</v>
      </c>
      <c r="AC438">
        <v>0</v>
      </c>
      <c r="AD438">
        <v>1</v>
      </c>
      <c r="AE438">
        <v>0</v>
      </c>
      <c r="AF438" t="s">
        <v>477</v>
      </c>
      <c r="AG438">
        <v>1.3333333333333334E-4</v>
      </c>
      <c r="AH438">
        <v>3</v>
      </c>
      <c r="AI438">
        <v>-1</v>
      </c>
      <c r="AJ438" t="s">
        <v>3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</row>
    <row r="439" spans="1:44" x14ac:dyDescent="0.2">
      <c r="A439">
        <f>ROW(Source!A549)</f>
        <v>549</v>
      </c>
      <c r="B439">
        <v>1472512328</v>
      </c>
      <c r="C439">
        <v>1472497895</v>
      </c>
      <c r="D439">
        <v>1441834853</v>
      </c>
      <c r="E439">
        <v>1</v>
      </c>
      <c r="F439">
        <v>1</v>
      </c>
      <c r="G439">
        <v>15514512</v>
      </c>
      <c r="H439">
        <v>3</v>
      </c>
      <c r="I439" t="s">
        <v>1008</v>
      </c>
      <c r="J439" t="s">
        <v>1009</v>
      </c>
      <c r="K439" t="s">
        <v>1010</v>
      </c>
      <c r="L439">
        <v>1348</v>
      </c>
      <c r="N439">
        <v>1009</v>
      </c>
      <c r="O439" t="s">
        <v>905</v>
      </c>
      <c r="P439" t="s">
        <v>905</v>
      </c>
      <c r="Q439">
        <v>1000</v>
      </c>
      <c r="X439">
        <v>8.9999999999999998E-4</v>
      </c>
      <c r="Y439">
        <v>78065.73</v>
      </c>
      <c r="Z439">
        <v>0</v>
      </c>
      <c r="AA439">
        <v>0</v>
      </c>
      <c r="AB439">
        <v>0</v>
      </c>
      <c r="AC439">
        <v>0</v>
      </c>
      <c r="AD439">
        <v>1</v>
      </c>
      <c r="AE439">
        <v>0</v>
      </c>
      <c r="AF439" t="s">
        <v>477</v>
      </c>
      <c r="AG439">
        <v>2.9999999999999997E-4</v>
      </c>
      <c r="AH439">
        <v>3</v>
      </c>
      <c r="AI439">
        <v>-1</v>
      </c>
      <c r="AJ439" t="s">
        <v>3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</row>
    <row r="440" spans="1:44" x14ac:dyDescent="0.2">
      <c r="A440">
        <f>ROW(Source!A549)</f>
        <v>549</v>
      </c>
      <c r="B440">
        <v>1472512329</v>
      </c>
      <c r="C440">
        <v>1472497895</v>
      </c>
      <c r="D440">
        <v>1441850453</v>
      </c>
      <c r="E440">
        <v>1</v>
      </c>
      <c r="F440">
        <v>1</v>
      </c>
      <c r="G440">
        <v>15514512</v>
      </c>
      <c r="H440">
        <v>3</v>
      </c>
      <c r="I440" t="s">
        <v>935</v>
      </c>
      <c r="J440" t="s">
        <v>1011</v>
      </c>
      <c r="K440" t="s">
        <v>936</v>
      </c>
      <c r="L440">
        <v>1348</v>
      </c>
      <c r="N440">
        <v>1009</v>
      </c>
      <c r="O440" t="s">
        <v>905</v>
      </c>
      <c r="P440" t="s">
        <v>905</v>
      </c>
      <c r="Q440">
        <v>1000</v>
      </c>
      <c r="X440">
        <v>1.1999999999999999E-3</v>
      </c>
      <c r="Y440">
        <v>178433.97</v>
      </c>
      <c r="Z440">
        <v>0</v>
      </c>
      <c r="AA440">
        <v>0</v>
      </c>
      <c r="AB440">
        <v>0</v>
      </c>
      <c r="AC440">
        <v>0</v>
      </c>
      <c r="AD440">
        <v>1</v>
      </c>
      <c r="AE440">
        <v>0</v>
      </c>
      <c r="AF440" t="s">
        <v>477</v>
      </c>
      <c r="AG440">
        <v>3.9999999999999996E-4</v>
      </c>
      <c r="AH440">
        <v>3</v>
      </c>
      <c r="AI440">
        <v>-1</v>
      </c>
      <c r="AJ440" t="s">
        <v>3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</row>
    <row r="441" spans="1:44" x14ac:dyDescent="0.2">
      <c r="A441">
        <f>ROW(Source!A551)</f>
        <v>551</v>
      </c>
      <c r="B441">
        <v>1472512353</v>
      </c>
      <c r="C441">
        <v>1472497915</v>
      </c>
      <c r="D441">
        <v>1441819193</v>
      </c>
      <c r="E441">
        <v>15514512</v>
      </c>
      <c r="F441">
        <v>1</v>
      </c>
      <c r="G441">
        <v>15514512</v>
      </c>
      <c r="H441">
        <v>1</v>
      </c>
      <c r="I441" t="s">
        <v>885</v>
      </c>
      <c r="J441" t="s">
        <v>3</v>
      </c>
      <c r="K441" t="s">
        <v>886</v>
      </c>
      <c r="L441">
        <v>1191</v>
      </c>
      <c r="N441">
        <v>1013</v>
      </c>
      <c r="O441" t="s">
        <v>887</v>
      </c>
      <c r="P441" t="s">
        <v>887</v>
      </c>
      <c r="Q441">
        <v>1</v>
      </c>
      <c r="X441">
        <v>0.9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1</v>
      </c>
      <c r="AE441">
        <v>1</v>
      </c>
      <c r="AF441" t="s">
        <v>106</v>
      </c>
      <c r="AG441">
        <v>3.6</v>
      </c>
      <c r="AH441">
        <v>3</v>
      </c>
      <c r="AI441">
        <v>-1</v>
      </c>
      <c r="AJ441" t="s">
        <v>3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</row>
    <row r="442" spans="1:44" x14ac:dyDescent="0.2">
      <c r="A442">
        <f>ROW(Source!A552)</f>
        <v>552</v>
      </c>
      <c r="B442">
        <v>1472512377</v>
      </c>
      <c r="C442">
        <v>1472497932</v>
      </c>
      <c r="D442">
        <v>1441819193</v>
      </c>
      <c r="E442">
        <v>15514512</v>
      </c>
      <c r="F442">
        <v>1</v>
      </c>
      <c r="G442">
        <v>15514512</v>
      </c>
      <c r="H442">
        <v>1</v>
      </c>
      <c r="I442" t="s">
        <v>885</v>
      </c>
      <c r="J442" t="s">
        <v>3</v>
      </c>
      <c r="K442" t="s">
        <v>886</v>
      </c>
      <c r="L442">
        <v>1191</v>
      </c>
      <c r="N442">
        <v>1013</v>
      </c>
      <c r="O442" t="s">
        <v>887</v>
      </c>
      <c r="P442" t="s">
        <v>887</v>
      </c>
      <c r="Q442">
        <v>1</v>
      </c>
      <c r="X442">
        <v>2.64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1</v>
      </c>
      <c r="AE442">
        <v>1</v>
      </c>
      <c r="AF442" t="s">
        <v>106</v>
      </c>
      <c r="AG442">
        <v>10.56</v>
      </c>
      <c r="AH442">
        <v>3</v>
      </c>
      <c r="AI442">
        <v>-1</v>
      </c>
      <c r="AJ442" t="s">
        <v>3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</row>
    <row r="443" spans="1:44" x14ac:dyDescent="0.2">
      <c r="A443">
        <f>ROW(Source!A553)</f>
        <v>553</v>
      </c>
      <c r="B443">
        <v>1472512386</v>
      </c>
      <c r="C443">
        <v>1472497939</v>
      </c>
      <c r="D443">
        <v>1441819193</v>
      </c>
      <c r="E443">
        <v>15514512</v>
      </c>
      <c r="F443">
        <v>1</v>
      </c>
      <c r="G443">
        <v>15514512</v>
      </c>
      <c r="H443">
        <v>1</v>
      </c>
      <c r="I443" t="s">
        <v>885</v>
      </c>
      <c r="J443" t="s">
        <v>3</v>
      </c>
      <c r="K443" t="s">
        <v>886</v>
      </c>
      <c r="L443">
        <v>1191</v>
      </c>
      <c r="N443">
        <v>1013</v>
      </c>
      <c r="O443" t="s">
        <v>887</v>
      </c>
      <c r="P443" t="s">
        <v>887</v>
      </c>
      <c r="Q443">
        <v>1</v>
      </c>
      <c r="X443">
        <v>0.37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1</v>
      </c>
      <c r="AE443">
        <v>1</v>
      </c>
      <c r="AF443" t="s">
        <v>3</v>
      </c>
      <c r="AG443">
        <v>0.37</v>
      </c>
      <c r="AH443">
        <v>3</v>
      </c>
      <c r="AI443">
        <v>-1</v>
      </c>
      <c r="AJ443" t="s">
        <v>3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</row>
    <row r="444" spans="1:44" x14ac:dyDescent="0.2">
      <c r="A444">
        <f>ROW(Source!A553)</f>
        <v>553</v>
      </c>
      <c r="B444">
        <v>1472512388</v>
      </c>
      <c r="C444">
        <v>1472497939</v>
      </c>
      <c r="D444">
        <v>1441834258</v>
      </c>
      <c r="E444">
        <v>1</v>
      </c>
      <c r="F444">
        <v>1</v>
      </c>
      <c r="G444">
        <v>15514512</v>
      </c>
      <c r="H444">
        <v>2</v>
      </c>
      <c r="I444" t="s">
        <v>892</v>
      </c>
      <c r="J444" t="s">
        <v>893</v>
      </c>
      <c r="K444" t="s">
        <v>894</v>
      </c>
      <c r="L444">
        <v>1368</v>
      </c>
      <c r="N444">
        <v>1011</v>
      </c>
      <c r="O444" t="s">
        <v>895</v>
      </c>
      <c r="P444" t="s">
        <v>895</v>
      </c>
      <c r="Q444">
        <v>1</v>
      </c>
      <c r="X444">
        <v>0.06</v>
      </c>
      <c r="Y444">
        <v>0</v>
      </c>
      <c r="Z444">
        <v>1303.01</v>
      </c>
      <c r="AA444">
        <v>826.2</v>
      </c>
      <c r="AB444">
        <v>0</v>
      </c>
      <c r="AC444">
        <v>0</v>
      </c>
      <c r="AD444">
        <v>1</v>
      </c>
      <c r="AE444">
        <v>0</v>
      </c>
      <c r="AF444" t="s">
        <v>3</v>
      </c>
      <c r="AG444">
        <v>0.06</v>
      </c>
      <c r="AH444">
        <v>3</v>
      </c>
      <c r="AI444">
        <v>-1</v>
      </c>
      <c r="AJ444" t="s">
        <v>3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</row>
    <row r="445" spans="1:44" x14ac:dyDescent="0.2">
      <c r="A445">
        <f>ROW(Source!A554)</f>
        <v>554</v>
      </c>
      <c r="B445">
        <v>1472512403</v>
      </c>
      <c r="C445">
        <v>1472497948</v>
      </c>
      <c r="D445">
        <v>1441819193</v>
      </c>
      <c r="E445">
        <v>15514512</v>
      </c>
      <c r="F445">
        <v>1</v>
      </c>
      <c r="G445">
        <v>15514512</v>
      </c>
      <c r="H445">
        <v>1</v>
      </c>
      <c r="I445" t="s">
        <v>885</v>
      </c>
      <c r="J445" t="s">
        <v>3</v>
      </c>
      <c r="K445" t="s">
        <v>886</v>
      </c>
      <c r="L445">
        <v>1191</v>
      </c>
      <c r="N445">
        <v>1013</v>
      </c>
      <c r="O445" t="s">
        <v>887</v>
      </c>
      <c r="P445" t="s">
        <v>887</v>
      </c>
      <c r="Q445">
        <v>1</v>
      </c>
      <c r="X445">
        <v>0.45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1</v>
      </c>
      <c r="AE445">
        <v>1</v>
      </c>
      <c r="AF445" t="s">
        <v>3</v>
      </c>
      <c r="AG445">
        <v>0.45</v>
      </c>
      <c r="AH445">
        <v>3</v>
      </c>
      <c r="AI445">
        <v>-1</v>
      </c>
      <c r="AJ445" t="s">
        <v>3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</row>
    <row r="446" spans="1:44" x14ac:dyDescent="0.2">
      <c r="A446">
        <f>ROW(Source!A555)</f>
        <v>555</v>
      </c>
      <c r="B446">
        <v>1472512426</v>
      </c>
      <c r="C446">
        <v>1472497969</v>
      </c>
      <c r="D446">
        <v>1441819193</v>
      </c>
      <c r="E446">
        <v>15514512</v>
      </c>
      <c r="F446">
        <v>1</v>
      </c>
      <c r="G446">
        <v>15514512</v>
      </c>
      <c r="H446">
        <v>1</v>
      </c>
      <c r="I446" t="s">
        <v>885</v>
      </c>
      <c r="J446" t="s">
        <v>3</v>
      </c>
      <c r="K446" t="s">
        <v>886</v>
      </c>
      <c r="L446">
        <v>1191</v>
      </c>
      <c r="N446">
        <v>1013</v>
      </c>
      <c r="O446" t="s">
        <v>887</v>
      </c>
      <c r="P446" t="s">
        <v>887</v>
      </c>
      <c r="Q446">
        <v>1</v>
      </c>
      <c r="X446">
        <v>0.61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1</v>
      </c>
      <c r="AE446">
        <v>1</v>
      </c>
      <c r="AF446" t="s">
        <v>3</v>
      </c>
      <c r="AG446">
        <v>0.61</v>
      </c>
      <c r="AH446">
        <v>3</v>
      </c>
      <c r="AI446">
        <v>-1</v>
      </c>
      <c r="AJ446" t="s">
        <v>3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</row>
    <row r="447" spans="1:44" x14ac:dyDescent="0.2">
      <c r="A447">
        <f>ROW(Source!A556)</f>
        <v>556</v>
      </c>
      <c r="B447">
        <v>1472512445</v>
      </c>
      <c r="C447">
        <v>1472497996</v>
      </c>
      <c r="D447">
        <v>1441819193</v>
      </c>
      <c r="E447">
        <v>15514512</v>
      </c>
      <c r="F447">
        <v>1</v>
      </c>
      <c r="G447">
        <v>15514512</v>
      </c>
      <c r="H447">
        <v>1</v>
      </c>
      <c r="I447" t="s">
        <v>885</v>
      </c>
      <c r="J447" t="s">
        <v>3</v>
      </c>
      <c r="K447" t="s">
        <v>886</v>
      </c>
      <c r="L447">
        <v>1191</v>
      </c>
      <c r="N447">
        <v>1013</v>
      </c>
      <c r="O447" t="s">
        <v>887</v>
      </c>
      <c r="P447" t="s">
        <v>887</v>
      </c>
      <c r="Q447">
        <v>1</v>
      </c>
      <c r="X447">
        <v>10.64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1</v>
      </c>
      <c r="AE447">
        <v>1</v>
      </c>
      <c r="AF447" t="s">
        <v>3</v>
      </c>
      <c r="AG447">
        <v>10.64</v>
      </c>
      <c r="AH447">
        <v>3</v>
      </c>
      <c r="AI447">
        <v>-1</v>
      </c>
      <c r="AJ447" t="s">
        <v>3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</row>
    <row r="448" spans="1:44" x14ac:dyDescent="0.2">
      <c r="A448">
        <f>ROW(Source!A556)</f>
        <v>556</v>
      </c>
      <c r="B448">
        <v>1472512446</v>
      </c>
      <c r="C448">
        <v>1472497996</v>
      </c>
      <c r="D448">
        <v>1441833890</v>
      </c>
      <c r="E448">
        <v>1</v>
      </c>
      <c r="F448">
        <v>1</v>
      </c>
      <c r="G448">
        <v>15514512</v>
      </c>
      <c r="H448">
        <v>2</v>
      </c>
      <c r="I448" t="s">
        <v>959</v>
      </c>
      <c r="J448" t="s">
        <v>960</v>
      </c>
      <c r="K448" t="s">
        <v>961</v>
      </c>
      <c r="L448">
        <v>1368</v>
      </c>
      <c r="N448">
        <v>1011</v>
      </c>
      <c r="O448" t="s">
        <v>895</v>
      </c>
      <c r="P448" t="s">
        <v>895</v>
      </c>
      <c r="Q448">
        <v>1</v>
      </c>
      <c r="X448">
        <v>1.5</v>
      </c>
      <c r="Y448">
        <v>0</v>
      </c>
      <c r="Z448">
        <v>33.799999999999997</v>
      </c>
      <c r="AA448">
        <v>0.54</v>
      </c>
      <c r="AB448">
        <v>0</v>
      </c>
      <c r="AC448">
        <v>0</v>
      </c>
      <c r="AD448">
        <v>1</v>
      </c>
      <c r="AE448">
        <v>0</v>
      </c>
      <c r="AF448" t="s">
        <v>3</v>
      </c>
      <c r="AG448">
        <v>1.5</v>
      </c>
      <c r="AH448">
        <v>3</v>
      </c>
      <c r="AI448">
        <v>-1</v>
      </c>
      <c r="AJ448" t="s">
        <v>3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</row>
    <row r="449" spans="1:44" x14ac:dyDescent="0.2">
      <c r="A449">
        <f>ROW(Source!A556)</f>
        <v>556</v>
      </c>
      <c r="B449">
        <v>1472512447</v>
      </c>
      <c r="C449">
        <v>1472497996</v>
      </c>
      <c r="D449">
        <v>1441836514</v>
      </c>
      <c r="E449">
        <v>1</v>
      </c>
      <c r="F449">
        <v>1</v>
      </c>
      <c r="G449">
        <v>15514512</v>
      </c>
      <c r="H449">
        <v>3</v>
      </c>
      <c r="I449" t="s">
        <v>888</v>
      </c>
      <c r="J449" t="s">
        <v>889</v>
      </c>
      <c r="K449" t="s">
        <v>890</v>
      </c>
      <c r="L449">
        <v>1339</v>
      </c>
      <c r="N449">
        <v>1007</v>
      </c>
      <c r="O449" t="s">
        <v>891</v>
      </c>
      <c r="P449" t="s">
        <v>891</v>
      </c>
      <c r="Q449">
        <v>1</v>
      </c>
      <c r="X449">
        <v>1</v>
      </c>
      <c r="Y449">
        <v>54.81</v>
      </c>
      <c r="Z449">
        <v>0</v>
      </c>
      <c r="AA449">
        <v>0</v>
      </c>
      <c r="AB449">
        <v>0</v>
      </c>
      <c r="AC449">
        <v>0</v>
      </c>
      <c r="AD449">
        <v>1</v>
      </c>
      <c r="AE449">
        <v>0</v>
      </c>
      <c r="AF449" t="s">
        <v>3</v>
      </c>
      <c r="AG449">
        <v>1</v>
      </c>
      <c r="AH449">
        <v>3</v>
      </c>
      <c r="AI449">
        <v>-1</v>
      </c>
      <c r="AJ449" t="s">
        <v>3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</row>
    <row r="450" spans="1:44" x14ac:dyDescent="0.2">
      <c r="A450">
        <f>ROW(Source!A556)</f>
        <v>556</v>
      </c>
      <c r="B450">
        <v>1472512448</v>
      </c>
      <c r="C450">
        <v>1472497996</v>
      </c>
      <c r="D450">
        <v>1441836517</v>
      </c>
      <c r="E450">
        <v>1</v>
      </c>
      <c r="F450">
        <v>1</v>
      </c>
      <c r="G450">
        <v>15514512</v>
      </c>
      <c r="H450">
        <v>3</v>
      </c>
      <c r="I450" t="s">
        <v>962</v>
      </c>
      <c r="J450" t="s">
        <v>963</v>
      </c>
      <c r="K450" t="s">
        <v>964</v>
      </c>
      <c r="L450">
        <v>1346</v>
      </c>
      <c r="N450">
        <v>1009</v>
      </c>
      <c r="O450" t="s">
        <v>898</v>
      </c>
      <c r="P450" t="s">
        <v>898</v>
      </c>
      <c r="Q450">
        <v>1</v>
      </c>
      <c r="X450">
        <v>0.02</v>
      </c>
      <c r="Y450">
        <v>451.28</v>
      </c>
      <c r="Z450">
        <v>0</v>
      </c>
      <c r="AA450">
        <v>0</v>
      </c>
      <c r="AB450">
        <v>0</v>
      </c>
      <c r="AC450">
        <v>0</v>
      </c>
      <c r="AD450">
        <v>1</v>
      </c>
      <c r="AE450">
        <v>0</v>
      </c>
      <c r="AF450" t="s">
        <v>3</v>
      </c>
      <c r="AG450">
        <v>0.02</v>
      </c>
      <c r="AH450">
        <v>3</v>
      </c>
      <c r="AI450">
        <v>-1</v>
      </c>
      <c r="AJ450" t="s">
        <v>3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</row>
    <row r="451" spans="1:44" x14ac:dyDescent="0.2">
      <c r="A451">
        <f>ROW(Source!A556)</f>
        <v>556</v>
      </c>
      <c r="B451">
        <v>1472512450</v>
      </c>
      <c r="C451">
        <v>1472497996</v>
      </c>
      <c r="D451">
        <v>1441821379</v>
      </c>
      <c r="E451">
        <v>15514512</v>
      </c>
      <c r="F451">
        <v>1</v>
      </c>
      <c r="G451">
        <v>15514512</v>
      </c>
      <c r="H451">
        <v>3</v>
      </c>
      <c r="I451" t="s">
        <v>965</v>
      </c>
      <c r="J451" t="s">
        <v>3</v>
      </c>
      <c r="K451" t="s">
        <v>966</v>
      </c>
      <c r="L451">
        <v>1346</v>
      </c>
      <c r="N451">
        <v>1009</v>
      </c>
      <c r="O451" t="s">
        <v>898</v>
      </c>
      <c r="P451" t="s">
        <v>898</v>
      </c>
      <c r="Q451">
        <v>1</v>
      </c>
      <c r="X451">
        <v>0.05</v>
      </c>
      <c r="Y451">
        <v>89.933959999999999</v>
      </c>
      <c r="Z451">
        <v>0</v>
      </c>
      <c r="AA451">
        <v>0</v>
      </c>
      <c r="AB451">
        <v>0</v>
      </c>
      <c r="AC451">
        <v>0</v>
      </c>
      <c r="AD451">
        <v>1</v>
      </c>
      <c r="AE451">
        <v>0</v>
      </c>
      <c r="AF451" t="s">
        <v>3</v>
      </c>
      <c r="AG451">
        <v>0.05</v>
      </c>
      <c r="AH451">
        <v>3</v>
      </c>
      <c r="AI451">
        <v>-1</v>
      </c>
      <c r="AJ451" t="s">
        <v>3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</row>
    <row r="452" spans="1:44" x14ac:dyDescent="0.2">
      <c r="A452">
        <f>ROW(Source!A556)</f>
        <v>556</v>
      </c>
      <c r="B452">
        <v>1472512449</v>
      </c>
      <c r="C452">
        <v>1472497996</v>
      </c>
      <c r="D452">
        <v>1441834875</v>
      </c>
      <c r="E452">
        <v>1</v>
      </c>
      <c r="F452">
        <v>1</v>
      </c>
      <c r="G452">
        <v>15514512</v>
      </c>
      <c r="H452">
        <v>3</v>
      </c>
      <c r="I452" t="s">
        <v>967</v>
      </c>
      <c r="J452" t="s">
        <v>968</v>
      </c>
      <c r="K452" t="s">
        <v>969</v>
      </c>
      <c r="L452">
        <v>1346</v>
      </c>
      <c r="N452">
        <v>1009</v>
      </c>
      <c r="O452" t="s">
        <v>898</v>
      </c>
      <c r="P452" t="s">
        <v>898</v>
      </c>
      <c r="Q452">
        <v>1</v>
      </c>
      <c r="X452">
        <v>0.02</v>
      </c>
      <c r="Y452">
        <v>94.64</v>
      </c>
      <c r="Z452">
        <v>0</v>
      </c>
      <c r="AA452">
        <v>0</v>
      </c>
      <c r="AB452">
        <v>0</v>
      </c>
      <c r="AC452">
        <v>0</v>
      </c>
      <c r="AD452">
        <v>1</v>
      </c>
      <c r="AE452">
        <v>0</v>
      </c>
      <c r="AF452" t="s">
        <v>3</v>
      </c>
      <c r="AG452">
        <v>0.02</v>
      </c>
      <c r="AH452">
        <v>3</v>
      </c>
      <c r="AI452">
        <v>-1</v>
      </c>
      <c r="AJ452" t="s">
        <v>3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</row>
    <row r="453" spans="1:44" x14ac:dyDescent="0.2">
      <c r="A453">
        <f>ROW(Source!A557)</f>
        <v>557</v>
      </c>
      <c r="B453">
        <v>1472512465</v>
      </c>
      <c r="C453">
        <v>1472498006</v>
      </c>
      <c r="D453">
        <v>1441819193</v>
      </c>
      <c r="E453">
        <v>15514512</v>
      </c>
      <c r="F453">
        <v>1</v>
      </c>
      <c r="G453">
        <v>15514512</v>
      </c>
      <c r="H453">
        <v>1</v>
      </c>
      <c r="I453" t="s">
        <v>885</v>
      </c>
      <c r="J453" t="s">
        <v>3</v>
      </c>
      <c r="K453" t="s">
        <v>886</v>
      </c>
      <c r="L453">
        <v>1191</v>
      </c>
      <c r="N453">
        <v>1013</v>
      </c>
      <c r="O453" t="s">
        <v>887</v>
      </c>
      <c r="P453" t="s">
        <v>887</v>
      </c>
      <c r="Q453">
        <v>1</v>
      </c>
      <c r="X453">
        <v>10.64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1</v>
      </c>
      <c r="AE453">
        <v>1</v>
      </c>
      <c r="AF453" t="s">
        <v>3</v>
      </c>
      <c r="AG453">
        <v>10.64</v>
      </c>
      <c r="AH453">
        <v>3</v>
      </c>
      <c r="AI453">
        <v>-1</v>
      </c>
      <c r="AJ453" t="s">
        <v>3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</row>
    <row r="454" spans="1:44" x14ac:dyDescent="0.2">
      <c r="A454">
        <f>ROW(Source!A557)</f>
        <v>557</v>
      </c>
      <c r="B454">
        <v>1472512466</v>
      </c>
      <c r="C454">
        <v>1472498006</v>
      </c>
      <c r="D454">
        <v>1441833890</v>
      </c>
      <c r="E454">
        <v>1</v>
      </c>
      <c r="F454">
        <v>1</v>
      </c>
      <c r="G454">
        <v>15514512</v>
      </c>
      <c r="H454">
        <v>2</v>
      </c>
      <c r="I454" t="s">
        <v>959</v>
      </c>
      <c r="J454" t="s">
        <v>960</v>
      </c>
      <c r="K454" t="s">
        <v>961</v>
      </c>
      <c r="L454">
        <v>1368</v>
      </c>
      <c r="N454">
        <v>1011</v>
      </c>
      <c r="O454" t="s">
        <v>895</v>
      </c>
      <c r="P454" t="s">
        <v>895</v>
      </c>
      <c r="Q454">
        <v>1</v>
      </c>
      <c r="X454">
        <v>1.5</v>
      </c>
      <c r="Y454">
        <v>0</v>
      </c>
      <c r="Z454">
        <v>33.799999999999997</v>
      </c>
      <c r="AA454">
        <v>0.54</v>
      </c>
      <c r="AB454">
        <v>0</v>
      </c>
      <c r="AC454">
        <v>0</v>
      </c>
      <c r="AD454">
        <v>1</v>
      </c>
      <c r="AE454">
        <v>0</v>
      </c>
      <c r="AF454" t="s">
        <v>3</v>
      </c>
      <c r="AG454">
        <v>1.5</v>
      </c>
      <c r="AH454">
        <v>3</v>
      </c>
      <c r="AI454">
        <v>-1</v>
      </c>
      <c r="AJ454" t="s">
        <v>3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</row>
    <row r="455" spans="1:44" x14ac:dyDescent="0.2">
      <c r="A455">
        <f>ROW(Source!A557)</f>
        <v>557</v>
      </c>
      <c r="B455">
        <v>1472512467</v>
      </c>
      <c r="C455">
        <v>1472498006</v>
      </c>
      <c r="D455">
        <v>1441836514</v>
      </c>
      <c r="E455">
        <v>1</v>
      </c>
      <c r="F455">
        <v>1</v>
      </c>
      <c r="G455">
        <v>15514512</v>
      </c>
      <c r="H455">
        <v>3</v>
      </c>
      <c r="I455" t="s">
        <v>888</v>
      </c>
      <c r="J455" t="s">
        <v>889</v>
      </c>
      <c r="K455" t="s">
        <v>890</v>
      </c>
      <c r="L455">
        <v>1339</v>
      </c>
      <c r="N455">
        <v>1007</v>
      </c>
      <c r="O455" t="s">
        <v>891</v>
      </c>
      <c r="P455" t="s">
        <v>891</v>
      </c>
      <c r="Q455">
        <v>1</v>
      </c>
      <c r="X455">
        <v>3.8</v>
      </c>
      <c r="Y455">
        <v>54.81</v>
      </c>
      <c r="Z455">
        <v>0</v>
      </c>
      <c r="AA455">
        <v>0</v>
      </c>
      <c r="AB455">
        <v>0</v>
      </c>
      <c r="AC455">
        <v>0</v>
      </c>
      <c r="AD455">
        <v>1</v>
      </c>
      <c r="AE455">
        <v>0</v>
      </c>
      <c r="AF455" t="s">
        <v>3</v>
      </c>
      <c r="AG455">
        <v>3.8</v>
      </c>
      <c r="AH455">
        <v>3</v>
      </c>
      <c r="AI455">
        <v>-1</v>
      </c>
      <c r="AJ455" t="s">
        <v>3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</row>
    <row r="456" spans="1:44" x14ac:dyDescent="0.2">
      <c r="A456">
        <f>ROW(Source!A557)</f>
        <v>557</v>
      </c>
      <c r="B456">
        <v>1472512468</v>
      </c>
      <c r="C456">
        <v>1472498006</v>
      </c>
      <c r="D456">
        <v>1441836517</v>
      </c>
      <c r="E456">
        <v>1</v>
      </c>
      <c r="F456">
        <v>1</v>
      </c>
      <c r="G456">
        <v>15514512</v>
      </c>
      <c r="H456">
        <v>3</v>
      </c>
      <c r="I456" t="s">
        <v>962</v>
      </c>
      <c r="J456" t="s">
        <v>963</v>
      </c>
      <c r="K456" t="s">
        <v>964</v>
      </c>
      <c r="L456">
        <v>1346</v>
      </c>
      <c r="N456">
        <v>1009</v>
      </c>
      <c r="O456" t="s">
        <v>898</v>
      </c>
      <c r="P456" t="s">
        <v>898</v>
      </c>
      <c r="Q456">
        <v>1</v>
      </c>
      <c r="X456">
        <v>0.02</v>
      </c>
      <c r="Y456">
        <v>451.28</v>
      </c>
      <c r="Z456">
        <v>0</v>
      </c>
      <c r="AA456">
        <v>0</v>
      </c>
      <c r="AB456">
        <v>0</v>
      </c>
      <c r="AC456">
        <v>0</v>
      </c>
      <c r="AD456">
        <v>1</v>
      </c>
      <c r="AE456">
        <v>0</v>
      </c>
      <c r="AF456" t="s">
        <v>3</v>
      </c>
      <c r="AG456">
        <v>0.02</v>
      </c>
      <c r="AH456">
        <v>3</v>
      </c>
      <c r="AI456">
        <v>-1</v>
      </c>
      <c r="AJ456" t="s">
        <v>3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</row>
    <row r="457" spans="1:44" x14ac:dyDescent="0.2">
      <c r="A457">
        <f>ROW(Source!A557)</f>
        <v>557</v>
      </c>
      <c r="B457">
        <v>1472512470</v>
      </c>
      <c r="C457">
        <v>1472498006</v>
      </c>
      <c r="D457">
        <v>1441821379</v>
      </c>
      <c r="E457">
        <v>15514512</v>
      </c>
      <c r="F457">
        <v>1</v>
      </c>
      <c r="G457">
        <v>15514512</v>
      </c>
      <c r="H457">
        <v>3</v>
      </c>
      <c r="I457" t="s">
        <v>965</v>
      </c>
      <c r="J457" t="s">
        <v>3</v>
      </c>
      <c r="K457" t="s">
        <v>966</v>
      </c>
      <c r="L457">
        <v>1346</v>
      </c>
      <c r="N457">
        <v>1009</v>
      </c>
      <c r="O457" t="s">
        <v>898</v>
      </c>
      <c r="P457" t="s">
        <v>898</v>
      </c>
      <c r="Q457">
        <v>1</v>
      </c>
      <c r="X457">
        <v>0.05</v>
      </c>
      <c r="Y457">
        <v>89.933959999999999</v>
      </c>
      <c r="Z457">
        <v>0</v>
      </c>
      <c r="AA457">
        <v>0</v>
      </c>
      <c r="AB457">
        <v>0</v>
      </c>
      <c r="AC457">
        <v>0</v>
      </c>
      <c r="AD457">
        <v>1</v>
      </c>
      <c r="AE457">
        <v>0</v>
      </c>
      <c r="AF457" t="s">
        <v>3</v>
      </c>
      <c r="AG457">
        <v>0.05</v>
      </c>
      <c r="AH457">
        <v>3</v>
      </c>
      <c r="AI457">
        <v>-1</v>
      </c>
      <c r="AJ457" t="s">
        <v>3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</row>
    <row r="458" spans="1:44" x14ac:dyDescent="0.2">
      <c r="A458">
        <f>ROW(Source!A557)</f>
        <v>557</v>
      </c>
      <c r="B458">
        <v>1472512469</v>
      </c>
      <c r="C458">
        <v>1472498006</v>
      </c>
      <c r="D458">
        <v>1441834875</v>
      </c>
      <c r="E458">
        <v>1</v>
      </c>
      <c r="F458">
        <v>1</v>
      </c>
      <c r="G458">
        <v>15514512</v>
      </c>
      <c r="H458">
        <v>3</v>
      </c>
      <c r="I458" t="s">
        <v>967</v>
      </c>
      <c r="J458" t="s">
        <v>968</v>
      </c>
      <c r="K458" t="s">
        <v>969</v>
      </c>
      <c r="L458">
        <v>1346</v>
      </c>
      <c r="N458">
        <v>1009</v>
      </c>
      <c r="O458" t="s">
        <v>898</v>
      </c>
      <c r="P458" t="s">
        <v>898</v>
      </c>
      <c r="Q458">
        <v>1</v>
      </c>
      <c r="X458">
        <v>0.02</v>
      </c>
      <c r="Y458">
        <v>94.64</v>
      </c>
      <c r="Z458">
        <v>0</v>
      </c>
      <c r="AA458">
        <v>0</v>
      </c>
      <c r="AB458">
        <v>0</v>
      </c>
      <c r="AC458">
        <v>0</v>
      </c>
      <c r="AD458">
        <v>1</v>
      </c>
      <c r="AE458">
        <v>0</v>
      </c>
      <c r="AF458" t="s">
        <v>3</v>
      </c>
      <c r="AG458">
        <v>0.02</v>
      </c>
      <c r="AH458">
        <v>3</v>
      </c>
      <c r="AI458">
        <v>-1</v>
      </c>
      <c r="AJ458" t="s">
        <v>3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</row>
    <row r="459" spans="1:44" x14ac:dyDescent="0.2">
      <c r="A459">
        <f>ROW(Source!A558)</f>
        <v>558</v>
      </c>
      <c r="B459">
        <v>1472512483</v>
      </c>
      <c r="C459">
        <v>1472498014</v>
      </c>
      <c r="D459">
        <v>1441819193</v>
      </c>
      <c r="E459">
        <v>15514512</v>
      </c>
      <c r="F459">
        <v>1</v>
      </c>
      <c r="G459">
        <v>15514512</v>
      </c>
      <c r="H459">
        <v>1</v>
      </c>
      <c r="I459" t="s">
        <v>885</v>
      </c>
      <c r="J459" t="s">
        <v>3</v>
      </c>
      <c r="K459" t="s">
        <v>886</v>
      </c>
      <c r="L459">
        <v>1191</v>
      </c>
      <c r="N459">
        <v>1013</v>
      </c>
      <c r="O459" t="s">
        <v>887</v>
      </c>
      <c r="P459" t="s">
        <v>887</v>
      </c>
      <c r="Q459">
        <v>1</v>
      </c>
      <c r="X459">
        <v>3.44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1</v>
      </c>
      <c r="AE459">
        <v>1</v>
      </c>
      <c r="AF459" t="s">
        <v>3</v>
      </c>
      <c r="AG459">
        <v>3.44</v>
      </c>
      <c r="AH459">
        <v>3</v>
      </c>
      <c r="AI459">
        <v>-1</v>
      </c>
      <c r="AJ459" t="s">
        <v>3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</row>
    <row r="460" spans="1:44" x14ac:dyDescent="0.2">
      <c r="A460">
        <f>ROW(Source!A558)</f>
        <v>558</v>
      </c>
      <c r="B460">
        <v>1472512484</v>
      </c>
      <c r="C460">
        <v>1472498014</v>
      </c>
      <c r="D460">
        <v>1441833845</v>
      </c>
      <c r="E460">
        <v>1</v>
      </c>
      <c r="F460">
        <v>1</v>
      </c>
      <c r="G460">
        <v>15514512</v>
      </c>
      <c r="H460">
        <v>2</v>
      </c>
      <c r="I460" t="s">
        <v>970</v>
      </c>
      <c r="J460" t="s">
        <v>971</v>
      </c>
      <c r="K460" t="s">
        <v>972</v>
      </c>
      <c r="L460">
        <v>1368</v>
      </c>
      <c r="N460">
        <v>1011</v>
      </c>
      <c r="O460" t="s">
        <v>895</v>
      </c>
      <c r="P460" t="s">
        <v>895</v>
      </c>
      <c r="Q460">
        <v>1</v>
      </c>
      <c r="X460">
        <v>1.31</v>
      </c>
      <c r="Y460">
        <v>0</v>
      </c>
      <c r="Z460">
        <v>17.95</v>
      </c>
      <c r="AA460">
        <v>0.05</v>
      </c>
      <c r="AB460">
        <v>0</v>
      </c>
      <c r="AC460">
        <v>0</v>
      </c>
      <c r="AD460">
        <v>1</v>
      </c>
      <c r="AE460">
        <v>0</v>
      </c>
      <c r="AF460" t="s">
        <v>3</v>
      </c>
      <c r="AG460">
        <v>1.31</v>
      </c>
      <c r="AH460">
        <v>3</v>
      </c>
      <c r="AI460">
        <v>-1</v>
      </c>
      <c r="AJ460" t="s">
        <v>3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</row>
    <row r="461" spans="1:44" x14ac:dyDescent="0.2">
      <c r="A461">
        <f>ROW(Source!A558)</f>
        <v>558</v>
      </c>
      <c r="B461">
        <v>1472512486</v>
      </c>
      <c r="C461">
        <v>1472498014</v>
      </c>
      <c r="D461">
        <v>1441836514</v>
      </c>
      <c r="E461">
        <v>1</v>
      </c>
      <c r="F461">
        <v>1</v>
      </c>
      <c r="G461">
        <v>15514512</v>
      </c>
      <c r="H461">
        <v>3</v>
      </c>
      <c r="I461" t="s">
        <v>888</v>
      </c>
      <c r="J461" t="s">
        <v>889</v>
      </c>
      <c r="K461" t="s">
        <v>890</v>
      </c>
      <c r="L461">
        <v>1339</v>
      </c>
      <c r="N461">
        <v>1007</v>
      </c>
      <c r="O461" t="s">
        <v>891</v>
      </c>
      <c r="P461" t="s">
        <v>891</v>
      </c>
      <c r="Q461">
        <v>1</v>
      </c>
      <c r="X461">
        <v>3.7</v>
      </c>
      <c r="Y461">
        <v>54.81</v>
      </c>
      <c r="Z461">
        <v>0</v>
      </c>
      <c r="AA461">
        <v>0</v>
      </c>
      <c r="AB461">
        <v>0</v>
      </c>
      <c r="AC461">
        <v>0</v>
      </c>
      <c r="AD461">
        <v>1</v>
      </c>
      <c r="AE461">
        <v>0</v>
      </c>
      <c r="AF461" t="s">
        <v>3</v>
      </c>
      <c r="AG461">
        <v>3.7</v>
      </c>
      <c r="AH461">
        <v>3</v>
      </c>
      <c r="AI461">
        <v>-1</v>
      </c>
      <c r="AJ461" t="s">
        <v>3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</row>
    <row r="462" spans="1:44" x14ac:dyDescent="0.2">
      <c r="A462">
        <f>ROW(Source!A559)</f>
        <v>559</v>
      </c>
      <c r="B462">
        <v>1472512505</v>
      </c>
      <c r="C462">
        <v>1472498025</v>
      </c>
      <c r="D462">
        <v>1441819193</v>
      </c>
      <c r="E462">
        <v>15514512</v>
      </c>
      <c r="F462">
        <v>1</v>
      </c>
      <c r="G462">
        <v>15514512</v>
      </c>
      <c r="H462">
        <v>1</v>
      </c>
      <c r="I462" t="s">
        <v>885</v>
      </c>
      <c r="J462" t="s">
        <v>3</v>
      </c>
      <c r="K462" t="s">
        <v>886</v>
      </c>
      <c r="L462">
        <v>1191</v>
      </c>
      <c r="N462">
        <v>1013</v>
      </c>
      <c r="O462" t="s">
        <v>887</v>
      </c>
      <c r="P462" t="s">
        <v>887</v>
      </c>
      <c r="Q462">
        <v>1</v>
      </c>
      <c r="X462">
        <v>2.42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1</v>
      </c>
      <c r="AE462">
        <v>1</v>
      </c>
      <c r="AF462" t="s">
        <v>3</v>
      </c>
      <c r="AG462">
        <v>2.42</v>
      </c>
      <c r="AH462">
        <v>3</v>
      </c>
      <c r="AI462">
        <v>-1</v>
      </c>
      <c r="AJ462" t="s">
        <v>3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</row>
    <row r="463" spans="1:44" x14ac:dyDescent="0.2">
      <c r="A463">
        <f>ROW(Source!A559)</f>
        <v>559</v>
      </c>
      <c r="B463">
        <v>1472512506</v>
      </c>
      <c r="C463">
        <v>1472498025</v>
      </c>
      <c r="D463">
        <v>1441833845</v>
      </c>
      <c r="E463">
        <v>1</v>
      </c>
      <c r="F463">
        <v>1</v>
      </c>
      <c r="G463">
        <v>15514512</v>
      </c>
      <c r="H463">
        <v>2</v>
      </c>
      <c r="I463" t="s">
        <v>970</v>
      </c>
      <c r="J463" t="s">
        <v>971</v>
      </c>
      <c r="K463" t="s">
        <v>972</v>
      </c>
      <c r="L463">
        <v>1368</v>
      </c>
      <c r="N463">
        <v>1011</v>
      </c>
      <c r="O463" t="s">
        <v>895</v>
      </c>
      <c r="P463" t="s">
        <v>895</v>
      </c>
      <c r="Q463">
        <v>1</v>
      </c>
      <c r="X463">
        <v>0.61</v>
      </c>
      <c r="Y463">
        <v>0</v>
      </c>
      <c r="Z463">
        <v>17.95</v>
      </c>
      <c r="AA463">
        <v>0.05</v>
      </c>
      <c r="AB463">
        <v>0</v>
      </c>
      <c r="AC463">
        <v>0</v>
      </c>
      <c r="AD463">
        <v>1</v>
      </c>
      <c r="AE463">
        <v>0</v>
      </c>
      <c r="AF463" t="s">
        <v>3</v>
      </c>
      <c r="AG463">
        <v>0.61</v>
      </c>
      <c r="AH463">
        <v>3</v>
      </c>
      <c r="AI463">
        <v>-1</v>
      </c>
      <c r="AJ463" t="s">
        <v>3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</row>
    <row r="464" spans="1:44" x14ac:dyDescent="0.2">
      <c r="A464">
        <f>ROW(Source!A559)</f>
        <v>559</v>
      </c>
      <c r="B464">
        <v>1472512507</v>
      </c>
      <c r="C464">
        <v>1472498025</v>
      </c>
      <c r="D464">
        <v>1441836514</v>
      </c>
      <c r="E464">
        <v>1</v>
      </c>
      <c r="F464">
        <v>1</v>
      </c>
      <c r="G464">
        <v>15514512</v>
      </c>
      <c r="H464">
        <v>3</v>
      </c>
      <c r="I464" t="s">
        <v>888</v>
      </c>
      <c r="J464" t="s">
        <v>889</v>
      </c>
      <c r="K464" t="s">
        <v>890</v>
      </c>
      <c r="L464">
        <v>1339</v>
      </c>
      <c r="N464">
        <v>1007</v>
      </c>
      <c r="O464" t="s">
        <v>891</v>
      </c>
      <c r="P464" t="s">
        <v>891</v>
      </c>
      <c r="Q464">
        <v>1</v>
      </c>
      <c r="X464">
        <v>1.03</v>
      </c>
      <c r="Y464">
        <v>54.81</v>
      </c>
      <c r="Z464">
        <v>0</v>
      </c>
      <c r="AA464">
        <v>0</v>
      </c>
      <c r="AB464">
        <v>0</v>
      </c>
      <c r="AC464">
        <v>0</v>
      </c>
      <c r="AD464">
        <v>1</v>
      </c>
      <c r="AE464">
        <v>0</v>
      </c>
      <c r="AF464" t="s">
        <v>3</v>
      </c>
      <c r="AG464">
        <v>1.03</v>
      </c>
      <c r="AH464">
        <v>3</v>
      </c>
      <c r="AI464">
        <v>-1</v>
      </c>
      <c r="AJ464" t="s">
        <v>3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</row>
    <row r="465" spans="1:44" x14ac:dyDescent="0.2">
      <c r="A465">
        <f>ROW(Source!A560)</f>
        <v>560</v>
      </c>
      <c r="B465">
        <v>1472512528</v>
      </c>
      <c r="C465">
        <v>1472498036</v>
      </c>
      <c r="D465">
        <v>1441819193</v>
      </c>
      <c r="E465">
        <v>15514512</v>
      </c>
      <c r="F465">
        <v>1</v>
      </c>
      <c r="G465">
        <v>15514512</v>
      </c>
      <c r="H465">
        <v>1</v>
      </c>
      <c r="I465" t="s">
        <v>885</v>
      </c>
      <c r="J465" t="s">
        <v>3</v>
      </c>
      <c r="K465" t="s">
        <v>886</v>
      </c>
      <c r="L465">
        <v>1191</v>
      </c>
      <c r="N465">
        <v>1013</v>
      </c>
      <c r="O465" t="s">
        <v>887</v>
      </c>
      <c r="P465" t="s">
        <v>887</v>
      </c>
      <c r="Q465">
        <v>1</v>
      </c>
      <c r="X465">
        <v>10.64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1</v>
      </c>
      <c r="AE465">
        <v>1</v>
      </c>
      <c r="AF465" t="s">
        <v>3</v>
      </c>
      <c r="AG465">
        <v>10.64</v>
      </c>
      <c r="AH465">
        <v>3</v>
      </c>
      <c r="AI465">
        <v>-1</v>
      </c>
      <c r="AJ465" t="s">
        <v>3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</row>
    <row r="466" spans="1:44" x14ac:dyDescent="0.2">
      <c r="A466">
        <f>ROW(Source!A560)</f>
        <v>560</v>
      </c>
      <c r="B466">
        <v>1472512530</v>
      </c>
      <c r="C466">
        <v>1472498036</v>
      </c>
      <c r="D466">
        <v>1441833890</v>
      </c>
      <c r="E466">
        <v>1</v>
      </c>
      <c r="F466">
        <v>1</v>
      </c>
      <c r="G466">
        <v>15514512</v>
      </c>
      <c r="H466">
        <v>2</v>
      </c>
      <c r="I466" t="s">
        <v>959</v>
      </c>
      <c r="J466" t="s">
        <v>960</v>
      </c>
      <c r="K466" t="s">
        <v>961</v>
      </c>
      <c r="L466">
        <v>1368</v>
      </c>
      <c r="N466">
        <v>1011</v>
      </c>
      <c r="O466" t="s">
        <v>895</v>
      </c>
      <c r="P466" t="s">
        <v>895</v>
      </c>
      <c r="Q466">
        <v>1</v>
      </c>
      <c r="X466">
        <v>1.5</v>
      </c>
      <c r="Y466">
        <v>0</v>
      </c>
      <c r="Z466">
        <v>33.799999999999997</v>
      </c>
      <c r="AA466">
        <v>0.54</v>
      </c>
      <c r="AB466">
        <v>0</v>
      </c>
      <c r="AC466">
        <v>0</v>
      </c>
      <c r="AD466">
        <v>1</v>
      </c>
      <c r="AE466">
        <v>0</v>
      </c>
      <c r="AF466" t="s">
        <v>3</v>
      </c>
      <c r="AG466">
        <v>1.5</v>
      </c>
      <c r="AH466">
        <v>3</v>
      </c>
      <c r="AI466">
        <v>-1</v>
      </c>
      <c r="AJ466" t="s">
        <v>3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</row>
    <row r="467" spans="1:44" x14ac:dyDescent="0.2">
      <c r="A467">
        <f>ROW(Source!A560)</f>
        <v>560</v>
      </c>
      <c r="B467">
        <v>1472512531</v>
      </c>
      <c r="C467">
        <v>1472498036</v>
      </c>
      <c r="D467">
        <v>1441836514</v>
      </c>
      <c r="E467">
        <v>1</v>
      </c>
      <c r="F467">
        <v>1</v>
      </c>
      <c r="G467">
        <v>15514512</v>
      </c>
      <c r="H467">
        <v>3</v>
      </c>
      <c r="I467" t="s">
        <v>888</v>
      </c>
      <c r="J467" t="s">
        <v>889</v>
      </c>
      <c r="K467" t="s">
        <v>890</v>
      </c>
      <c r="L467">
        <v>1339</v>
      </c>
      <c r="N467">
        <v>1007</v>
      </c>
      <c r="O467" t="s">
        <v>891</v>
      </c>
      <c r="P467" t="s">
        <v>891</v>
      </c>
      <c r="Q467">
        <v>1</v>
      </c>
      <c r="X467">
        <v>3.8</v>
      </c>
      <c r="Y467">
        <v>54.81</v>
      </c>
      <c r="Z467">
        <v>0</v>
      </c>
      <c r="AA467">
        <v>0</v>
      </c>
      <c r="AB467">
        <v>0</v>
      </c>
      <c r="AC467">
        <v>0</v>
      </c>
      <c r="AD467">
        <v>1</v>
      </c>
      <c r="AE467">
        <v>0</v>
      </c>
      <c r="AF467" t="s">
        <v>3</v>
      </c>
      <c r="AG467">
        <v>3.8</v>
      </c>
      <c r="AH467">
        <v>3</v>
      </c>
      <c r="AI467">
        <v>-1</v>
      </c>
      <c r="AJ467" t="s">
        <v>3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</row>
    <row r="468" spans="1:44" x14ac:dyDescent="0.2">
      <c r="A468">
        <f>ROW(Source!A560)</f>
        <v>560</v>
      </c>
      <c r="B468">
        <v>1472512532</v>
      </c>
      <c r="C468">
        <v>1472498036</v>
      </c>
      <c r="D468">
        <v>1441836517</v>
      </c>
      <c r="E468">
        <v>1</v>
      </c>
      <c r="F468">
        <v>1</v>
      </c>
      <c r="G468">
        <v>15514512</v>
      </c>
      <c r="H468">
        <v>3</v>
      </c>
      <c r="I468" t="s">
        <v>962</v>
      </c>
      <c r="J468" t="s">
        <v>963</v>
      </c>
      <c r="K468" t="s">
        <v>964</v>
      </c>
      <c r="L468">
        <v>1346</v>
      </c>
      <c r="N468">
        <v>1009</v>
      </c>
      <c r="O468" t="s">
        <v>898</v>
      </c>
      <c r="P468" t="s">
        <v>898</v>
      </c>
      <c r="Q468">
        <v>1</v>
      </c>
      <c r="X468">
        <v>0.02</v>
      </c>
      <c r="Y468">
        <v>451.28</v>
      </c>
      <c r="Z468">
        <v>0</v>
      </c>
      <c r="AA468">
        <v>0</v>
      </c>
      <c r="AB468">
        <v>0</v>
      </c>
      <c r="AC468">
        <v>0</v>
      </c>
      <c r="AD468">
        <v>1</v>
      </c>
      <c r="AE468">
        <v>0</v>
      </c>
      <c r="AF468" t="s">
        <v>3</v>
      </c>
      <c r="AG468">
        <v>0.02</v>
      </c>
      <c r="AH468">
        <v>3</v>
      </c>
      <c r="AI468">
        <v>-1</v>
      </c>
      <c r="AJ468" t="s">
        <v>3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</row>
    <row r="469" spans="1:44" x14ac:dyDescent="0.2">
      <c r="A469">
        <f>ROW(Source!A560)</f>
        <v>560</v>
      </c>
      <c r="B469">
        <v>1472512534</v>
      </c>
      <c r="C469">
        <v>1472498036</v>
      </c>
      <c r="D469">
        <v>1441821379</v>
      </c>
      <c r="E469">
        <v>15514512</v>
      </c>
      <c r="F469">
        <v>1</v>
      </c>
      <c r="G469">
        <v>15514512</v>
      </c>
      <c r="H469">
        <v>3</v>
      </c>
      <c r="I469" t="s">
        <v>965</v>
      </c>
      <c r="J469" t="s">
        <v>3</v>
      </c>
      <c r="K469" t="s">
        <v>966</v>
      </c>
      <c r="L469">
        <v>1346</v>
      </c>
      <c r="N469">
        <v>1009</v>
      </c>
      <c r="O469" t="s">
        <v>898</v>
      </c>
      <c r="P469" t="s">
        <v>898</v>
      </c>
      <c r="Q469">
        <v>1</v>
      </c>
      <c r="X469">
        <v>0.05</v>
      </c>
      <c r="Y469">
        <v>89.933959999999999</v>
      </c>
      <c r="Z469">
        <v>0</v>
      </c>
      <c r="AA469">
        <v>0</v>
      </c>
      <c r="AB469">
        <v>0</v>
      </c>
      <c r="AC469">
        <v>0</v>
      </c>
      <c r="AD469">
        <v>1</v>
      </c>
      <c r="AE469">
        <v>0</v>
      </c>
      <c r="AF469" t="s">
        <v>3</v>
      </c>
      <c r="AG469">
        <v>0.05</v>
      </c>
      <c r="AH469">
        <v>3</v>
      </c>
      <c r="AI469">
        <v>-1</v>
      </c>
      <c r="AJ469" t="s">
        <v>3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</row>
    <row r="470" spans="1:44" x14ac:dyDescent="0.2">
      <c r="A470">
        <f>ROW(Source!A560)</f>
        <v>560</v>
      </c>
      <c r="B470">
        <v>1472512533</v>
      </c>
      <c r="C470">
        <v>1472498036</v>
      </c>
      <c r="D470">
        <v>1441834875</v>
      </c>
      <c r="E470">
        <v>1</v>
      </c>
      <c r="F470">
        <v>1</v>
      </c>
      <c r="G470">
        <v>15514512</v>
      </c>
      <c r="H470">
        <v>3</v>
      </c>
      <c r="I470" t="s">
        <v>967</v>
      </c>
      <c r="J470" t="s">
        <v>968</v>
      </c>
      <c r="K470" t="s">
        <v>969</v>
      </c>
      <c r="L470">
        <v>1346</v>
      </c>
      <c r="N470">
        <v>1009</v>
      </c>
      <c r="O470" t="s">
        <v>898</v>
      </c>
      <c r="P470" t="s">
        <v>898</v>
      </c>
      <c r="Q470">
        <v>1</v>
      </c>
      <c r="X470">
        <v>0.02</v>
      </c>
      <c r="Y470">
        <v>94.64</v>
      </c>
      <c r="Z470">
        <v>0</v>
      </c>
      <c r="AA470">
        <v>0</v>
      </c>
      <c r="AB470">
        <v>0</v>
      </c>
      <c r="AC470">
        <v>0</v>
      </c>
      <c r="AD470">
        <v>1</v>
      </c>
      <c r="AE470">
        <v>0</v>
      </c>
      <c r="AF470" t="s">
        <v>3</v>
      </c>
      <c r="AG470">
        <v>0.02</v>
      </c>
      <c r="AH470">
        <v>3</v>
      </c>
      <c r="AI470">
        <v>-1</v>
      </c>
      <c r="AJ470" t="s">
        <v>3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</row>
    <row r="471" spans="1:44" x14ac:dyDescent="0.2">
      <c r="A471">
        <f>ROW(Source!A561)</f>
        <v>561</v>
      </c>
      <c r="B471">
        <v>1472512556</v>
      </c>
      <c r="C471">
        <v>1472498043</v>
      </c>
      <c r="D471">
        <v>1441819193</v>
      </c>
      <c r="E471">
        <v>15514512</v>
      </c>
      <c r="F471">
        <v>1</v>
      </c>
      <c r="G471">
        <v>15514512</v>
      </c>
      <c r="H471">
        <v>1</v>
      </c>
      <c r="I471" t="s">
        <v>885</v>
      </c>
      <c r="J471" t="s">
        <v>3</v>
      </c>
      <c r="K471" t="s">
        <v>886</v>
      </c>
      <c r="L471">
        <v>1191</v>
      </c>
      <c r="N471">
        <v>1013</v>
      </c>
      <c r="O471" t="s">
        <v>887</v>
      </c>
      <c r="P471" t="s">
        <v>887</v>
      </c>
      <c r="Q471">
        <v>1</v>
      </c>
      <c r="X471">
        <v>3.44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1</v>
      </c>
      <c r="AE471">
        <v>1</v>
      </c>
      <c r="AF471" t="s">
        <v>3</v>
      </c>
      <c r="AG471">
        <v>3.44</v>
      </c>
      <c r="AH471">
        <v>3</v>
      </c>
      <c r="AI471">
        <v>-1</v>
      </c>
      <c r="AJ471" t="s">
        <v>3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</row>
    <row r="472" spans="1:44" x14ac:dyDescent="0.2">
      <c r="A472">
        <f>ROW(Source!A561)</f>
        <v>561</v>
      </c>
      <c r="B472">
        <v>1472512557</v>
      </c>
      <c r="C472">
        <v>1472498043</v>
      </c>
      <c r="D472">
        <v>1441833845</v>
      </c>
      <c r="E472">
        <v>1</v>
      </c>
      <c r="F472">
        <v>1</v>
      </c>
      <c r="G472">
        <v>15514512</v>
      </c>
      <c r="H472">
        <v>2</v>
      </c>
      <c r="I472" t="s">
        <v>970</v>
      </c>
      <c r="J472" t="s">
        <v>971</v>
      </c>
      <c r="K472" t="s">
        <v>972</v>
      </c>
      <c r="L472">
        <v>1368</v>
      </c>
      <c r="N472">
        <v>1011</v>
      </c>
      <c r="O472" t="s">
        <v>895</v>
      </c>
      <c r="P472" t="s">
        <v>895</v>
      </c>
      <c r="Q472">
        <v>1</v>
      </c>
      <c r="X472">
        <v>1.31</v>
      </c>
      <c r="Y472">
        <v>0</v>
      </c>
      <c r="Z472">
        <v>17.95</v>
      </c>
      <c r="AA472">
        <v>0.05</v>
      </c>
      <c r="AB472">
        <v>0</v>
      </c>
      <c r="AC472">
        <v>0</v>
      </c>
      <c r="AD472">
        <v>1</v>
      </c>
      <c r="AE472">
        <v>0</v>
      </c>
      <c r="AF472" t="s">
        <v>3</v>
      </c>
      <c r="AG472">
        <v>1.31</v>
      </c>
      <c r="AH472">
        <v>3</v>
      </c>
      <c r="AI472">
        <v>-1</v>
      </c>
      <c r="AJ472" t="s">
        <v>3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</row>
    <row r="473" spans="1:44" x14ac:dyDescent="0.2">
      <c r="A473">
        <f>ROW(Source!A561)</f>
        <v>561</v>
      </c>
      <c r="B473">
        <v>1472512558</v>
      </c>
      <c r="C473">
        <v>1472498043</v>
      </c>
      <c r="D473">
        <v>1441836514</v>
      </c>
      <c r="E473">
        <v>1</v>
      </c>
      <c r="F473">
        <v>1</v>
      </c>
      <c r="G473">
        <v>15514512</v>
      </c>
      <c r="H473">
        <v>3</v>
      </c>
      <c r="I473" t="s">
        <v>888</v>
      </c>
      <c r="J473" t="s">
        <v>889</v>
      </c>
      <c r="K473" t="s">
        <v>890</v>
      </c>
      <c r="L473">
        <v>1339</v>
      </c>
      <c r="N473">
        <v>1007</v>
      </c>
      <c r="O473" t="s">
        <v>891</v>
      </c>
      <c r="P473" t="s">
        <v>891</v>
      </c>
      <c r="Q473">
        <v>1</v>
      </c>
      <c r="X473">
        <v>3.7</v>
      </c>
      <c r="Y473">
        <v>54.81</v>
      </c>
      <c r="Z473">
        <v>0</v>
      </c>
      <c r="AA473">
        <v>0</v>
      </c>
      <c r="AB473">
        <v>0</v>
      </c>
      <c r="AC473">
        <v>0</v>
      </c>
      <c r="AD473">
        <v>1</v>
      </c>
      <c r="AE473">
        <v>0</v>
      </c>
      <c r="AF473" t="s">
        <v>3</v>
      </c>
      <c r="AG473">
        <v>3.7</v>
      </c>
      <c r="AH473">
        <v>3</v>
      </c>
      <c r="AI473">
        <v>-1</v>
      </c>
      <c r="AJ473" t="s">
        <v>3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</row>
    <row r="474" spans="1:44" x14ac:dyDescent="0.2">
      <c r="A474">
        <f>ROW(Source!A597)</f>
        <v>597</v>
      </c>
      <c r="B474">
        <v>1472512589</v>
      </c>
      <c r="C474">
        <v>1472498057</v>
      </c>
      <c r="D474">
        <v>1441819193</v>
      </c>
      <c r="E474">
        <v>15514512</v>
      </c>
      <c r="F474">
        <v>1</v>
      </c>
      <c r="G474">
        <v>15514512</v>
      </c>
      <c r="H474">
        <v>1</v>
      </c>
      <c r="I474" t="s">
        <v>885</v>
      </c>
      <c r="J474" t="s">
        <v>3</v>
      </c>
      <c r="K474" t="s">
        <v>886</v>
      </c>
      <c r="L474">
        <v>1191</v>
      </c>
      <c r="N474">
        <v>1013</v>
      </c>
      <c r="O474" t="s">
        <v>887</v>
      </c>
      <c r="P474" t="s">
        <v>887</v>
      </c>
      <c r="Q474">
        <v>1</v>
      </c>
      <c r="X474">
        <v>250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1</v>
      </c>
      <c r="AE474">
        <v>1</v>
      </c>
      <c r="AF474" t="s">
        <v>388</v>
      </c>
      <c r="AG474">
        <v>166.66666666666666</v>
      </c>
      <c r="AH474">
        <v>3</v>
      </c>
      <c r="AI474">
        <v>-1</v>
      </c>
      <c r="AJ474" t="s">
        <v>3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</row>
    <row r="475" spans="1:44" x14ac:dyDescent="0.2">
      <c r="A475">
        <f>ROW(Source!A597)</f>
        <v>597</v>
      </c>
      <c r="B475">
        <v>1472512590</v>
      </c>
      <c r="C475">
        <v>1472498057</v>
      </c>
      <c r="D475">
        <v>1441835475</v>
      </c>
      <c r="E475">
        <v>1</v>
      </c>
      <c r="F475">
        <v>1</v>
      </c>
      <c r="G475">
        <v>15514512</v>
      </c>
      <c r="H475">
        <v>3</v>
      </c>
      <c r="I475" t="s">
        <v>978</v>
      </c>
      <c r="J475" t="s">
        <v>979</v>
      </c>
      <c r="K475" t="s">
        <v>980</v>
      </c>
      <c r="L475">
        <v>1348</v>
      </c>
      <c r="N475">
        <v>1009</v>
      </c>
      <c r="O475" t="s">
        <v>905</v>
      </c>
      <c r="P475" t="s">
        <v>905</v>
      </c>
      <c r="Q475">
        <v>1000</v>
      </c>
      <c r="X475">
        <v>5.5999999999999999E-3</v>
      </c>
      <c r="Y475">
        <v>155908.07999999999</v>
      </c>
      <c r="Z475">
        <v>0</v>
      </c>
      <c r="AA475">
        <v>0</v>
      </c>
      <c r="AB475">
        <v>0</v>
      </c>
      <c r="AC475">
        <v>0</v>
      </c>
      <c r="AD475">
        <v>1</v>
      </c>
      <c r="AE475">
        <v>0</v>
      </c>
      <c r="AF475" t="s">
        <v>388</v>
      </c>
      <c r="AG475">
        <v>3.7333333333333333E-3</v>
      </c>
      <c r="AH475">
        <v>3</v>
      </c>
      <c r="AI475">
        <v>-1</v>
      </c>
      <c r="AJ475" t="s">
        <v>3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</row>
    <row r="476" spans="1:44" x14ac:dyDescent="0.2">
      <c r="A476">
        <f>ROW(Source!A597)</f>
        <v>597</v>
      </c>
      <c r="B476">
        <v>1472512591</v>
      </c>
      <c r="C476">
        <v>1472498057</v>
      </c>
      <c r="D476">
        <v>1441835549</v>
      </c>
      <c r="E476">
        <v>1</v>
      </c>
      <c r="F476">
        <v>1</v>
      </c>
      <c r="G476">
        <v>15514512</v>
      </c>
      <c r="H476">
        <v>3</v>
      </c>
      <c r="I476" t="s">
        <v>981</v>
      </c>
      <c r="J476" t="s">
        <v>982</v>
      </c>
      <c r="K476" t="s">
        <v>983</v>
      </c>
      <c r="L476">
        <v>1348</v>
      </c>
      <c r="N476">
        <v>1009</v>
      </c>
      <c r="O476" t="s">
        <v>905</v>
      </c>
      <c r="P476" t="s">
        <v>905</v>
      </c>
      <c r="Q476">
        <v>1000</v>
      </c>
      <c r="X476">
        <v>1.1000000000000001E-3</v>
      </c>
      <c r="Y476">
        <v>194655.19</v>
      </c>
      <c r="Z476">
        <v>0</v>
      </c>
      <c r="AA476">
        <v>0</v>
      </c>
      <c r="AB476">
        <v>0</v>
      </c>
      <c r="AC476">
        <v>0</v>
      </c>
      <c r="AD476">
        <v>1</v>
      </c>
      <c r="AE476">
        <v>0</v>
      </c>
      <c r="AF476" t="s">
        <v>388</v>
      </c>
      <c r="AG476">
        <v>7.3333333333333334E-4</v>
      </c>
      <c r="AH476">
        <v>3</v>
      </c>
      <c r="AI476">
        <v>-1</v>
      </c>
      <c r="AJ476" t="s">
        <v>3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</row>
    <row r="477" spans="1:44" x14ac:dyDescent="0.2">
      <c r="A477">
        <f>ROW(Source!A597)</f>
        <v>597</v>
      </c>
      <c r="B477">
        <v>1472512592</v>
      </c>
      <c r="C477">
        <v>1472498057</v>
      </c>
      <c r="D477">
        <v>1441838531</v>
      </c>
      <c r="E477">
        <v>1</v>
      </c>
      <c r="F477">
        <v>1</v>
      </c>
      <c r="G477">
        <v>15514512</v>
      </c>
      <c r="H477">
        <v>3</v>
      </c>
      <c r="I477" t="s">
        <v>987</v>
      </c>
      <c r="J477" t="s">
        <v>988</v>
      </c>
      <c r="K477" t="s">
        <v>989</v>
      </c>
      <c r="L477">
        <v>1348</v>
      </c>
      <c r="N477">
        <v>1009</v>
      </c>
      <c r="O477" t="s">
        <v>905</v>
      </c>
      <c r="P477" t="s">
        <v>905</v>
      </c>
      <c r="Q477">
        <v>1000</v>
      </c>
      <c r="X477">
        <v>8.8999999999999999E-3</v>
      </c>
      <c r="Y477">
        <v>370783.55</v>
      </c>
      <c r="Z477">
        <v>0</v>
      </c>
      <c r="AA477">
        <v>0</v>
      </c>
      <c r="AB477">
        <v>0</v>
      </c>
      <c r="AC477">
        <v>0</v>
      </c>
      <c r="AD477">
        <v>1</v>
      </c>
      <c r="AE477">
        <v>0</v>
      </c>
      <c r="AF477" t="s">
        <v>388</v>
      </c>
      <c r="AG477">
        <v>5.933333333333333E-3</v>
      </c>
      <c r="AH477">
        <v>3</v>
      </c>
      <c r="AI477">
        <v>-1</v>
      </c>
      <c r="AJ477" t="s">
        <v>3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</row>
    <row r="478" spans="1:44" x14ac:dyDescent="0.2">
      <c r="A478">
        <f>ROW(Source!A597)</f>
        <v>597</v>
      </c>
      <c r="B478">
        <v>1472512593</v>
      </c>
      <c r="C478">
        <v>1472498057</v>
      </c>
      <c r="D478">
        <v>1441834635</v>
      </c>
      <c r="E478">
        <v>1</v>
      </c>
      <c r="F478">
        <v>1</v>
      </c>
      <c r="G478">
        <v>15514512</v>
      </c>
      <c r="H478">
        <v>3</v>
      </c>
      <c r="I478" t="s">
        <v>993</v>
      </c>
      <c r="J478" t="s">
        <v>994</v>
      </c>
      <c r="K478" t="s">
        <v>995</v>
      </c>
      <c r="L478">
        <v>1339</v>
      </c>
      <c r="N478">
        <v>1007</v>
      </c>
      <c r="O478" t="s">
        <v>891</v>
      </c>
      <c r="P478" t="s">
        <v>891</v>
      </c>
      <c r="Q478">
        <v>1</v>
      </c>
      <c r="X478">
        <v>2.8</v>
      </c>
      <c r="Y478">
        <v>103.4</v>
      </c>
      <c r="Z478">
        <v>0</v>
      </c>
      <c r="AA478">
        <v>0</v>
      </c>
      <c r="AB478">
        <v>0</v>
      </c>
      <c r="AC478">
        <v>0</v>
      </c>
      <c r="AD478">
        <v>1</v>
      </c>
      <c r="AE478">
        <v>0</v>
      </c>
      <c r="AF478" t="s">
        <v>388</v>
      </c>
      <c r="AG478">
        <v>1.8666666666666665</v>
      </c>
      <c r="AH478">
        <v>3</v>
      </c>
      <c r="AI478">
        <v>-1</v>
      </c>
      <c r="AJ478" t="s">
        <v>3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</row>
    <row r="479" spans="1:44" x14ac:dyDescent="0.2">
      <c r="A479">
        <f>ROW(Source!A597)</f>
        <v>597</v>
      </c>
      <c r="B479">
        <v>1472512594</v>
      </c>
      <c r="C479">
        <v>1472498057</v>
      </c>
      <c r="D479">
        <v>1441834627</v>
      </c>
      <c r="E479">
        <v>1</v>
      </c>
      <c r="F479">
        <v>1</v>
      </c>
      <c r="G479">
        <v>15514512</v>
      </c>
      <c r="H479">
        <v>3</v>
      </c>
      <c r="I479" t="s">
        <v>996</v>
      </c>
      <c r="J479" t="s">
        <v>997</v>
      </c>
      <c r="K479" t="s">
        <v>998</v>
      </c>
      <c r="L479">
        <v>1339</v>
      </c>
      <c r="N479">
        <v>1007</v>
      </c>
      <c r="O479" t="s">
        <v>891</v>
      </c>
      <c r="P479" t="s">
        <v>891</v>
      </c>
      <c r="Q479">
        <v>1</v>
      </c>
      <c r="X479">
        <v>1.8</v>
      </c>
      <c r="Y479">
        <v>875.46</v>
      </c>
      <c r="Z479">
        <v>0</v>
      </c>
      <c r="AA479">
        <v>0</v>
      </c>
      <c r="AB479">
        <v>0</v>
      </c>
      <c r="AC479">
        <v>0</v>
      </c>
      <c r="AD479">
        <v>1</v>
      </c>
      <c r="AE479">
        <v>0</v>
      </c>
      <c r="AF479" t="s">
        <v>388</v>
      </c>
      <c r="AG479">
        <v>1.2</v>
      </c>
      <c r="AH479">
        <v>3</v>
      </c>
      <c r="AI479">
        <v>-1</v>
      </c>
      <c r="AJ479" t="s">
        <v>3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</row>
    <row r="480" spans="1:44" x14ac:dyDescent="0.2">
      <c r="A480">
        <f>ROW(Source!A597)</f>
        <v>597</v>
      </c>
      <c r="B480">
        <v>1472512595</v>
      </c>
      <c r="C480">
        <v>1472498057</v>
      </c>
      <c r="D480">
        <v>1441834671</v>
      </c>
      <c r="E480">
        <v>1</v>
      </c>
      <c r="F480">
        <v>1</v>
      </c>
      <c r="G480">
        <v>15514512</v>
      </c>
      <c r="H480">
        <v>3</v>
      </c>
      <c r="I480" t="s">
        <v>999</v>
      </c>
      <c r="J480" t="s">
        <v>1000</v>
      </c>
      <c r="K480" t="s">
        <v>1001</v>
      </c>
      <c r="L480">
        <v>1348</v>
      </c>
      <c r="N480">
        <v>1009</v>
      </c>
      <c r="O480" t="s">
        <v>905</v>
      </c>
      <c r="P480" t="s">
        <v>905</v>
      </c>
      <c r="Q480">
        <v>1000</v>
      </c>
      <c r="X480">
        <v>5.0000000000000001E-4</v>
      </c>
      <c r="Y480">
        <v>184462.17</v>
      </c>
      <c r="Z480">
        <v>0</v>
      </c>
      <c r="AA480">
        <v>0</v>
      </c>
      <c r="AB480">
        <v>0</v>
      </c>
      <c r="AC480">
        <v>0</v>
      </c>
      <c r="AD480">
        <v>1</v>
      </c>
      <c r="AE480">
        <v>0</v>
      </c>
      <c r="AF480" t="s">
        <v>388</v>
      </c>
      <c r="AG480">
        <v>3.3333333333333332E-4</v>
      </c>
      <c r="AH480">
        <v>3</v>
      </c>
      <c r="AI480">
        <v>-1</v>
      </c>
      <c r="AJ480" t="s">
        <v>3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</row>
    <row r="481" spans="1:44" x14ac:dyDescent="0.2">
      <c r="A481">
        <f>ROW(Source!A597)</f>
        <v>597</v>
      </c>
      <c r="B481">
        <v>1472512596</v>
      </c>
      <c r="C481">
        <v>1472498057</v>
      </c>
      <c r="D481">
        <v>1441834634</v>
      </c>
      <c r="E481">
        <v>1</v>
      </c>
      <c r="F481">
        <v>1</v>
      </c>
      <c r="G481">
        <v>15514512</v>
      </c>
      <c r="H481">
        <v>3</v>
      </c>
      <c r="I481" t="s">
        <v>1002</v>
      </c>
      <c r="J481" t="s">
        <v>1003</v>
      </c>
      <c r="K481" t="s">
        <v>1004</v>
      </c>
      <c r="L481">
        <v>1348</v>
      </c>
      <c r="N481">
        <v>1009</v>
      </c>
      <c r="O481" t="s">
        <v>905</v>
      </c>
      <c r="P481" t="s">
        <v>905</v>
      </c>
      <c r="Q481">
        <v>1000</v>
      </c>
      <c r="X481">
        <v>1.8E-3</v>
      </c>
      <c r="Y481">
        <v>88053.759999999995</v>
      </c>
      <c r="Z481">
        <v>0</v>
      </c>
      <c r="AA481">
        <v>0</v>
      </c>
      <c r="AB481">
        <v>0</v>
      </c>
      <c r="AC481">
        <v>0</v>
      </c>
      <c r="AD481">
        <v>1</v>
      </c>
      <c r="AE481">
        <v>0</v>
      </c>
      <c r="AF481" t="s">
        <v>388</v>
      </c>
      <c r="AG481">
        <v>1.1999999999999999E-3</v>
      </c>
      <c r="AH481">
        <v>3</v>
      </c>
      <c r="AI481">
        <v>-1</v>
      </c>
      <c r="AJ481" t="s">
        <v>3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</row>
    <row r="482" spans="1:44" x14ac:dyDescent="0.2">
      <c r="A482">
        <f>ROW(Source!A597)</f>
        <v>597</v>
      </c>
      <c r="B482">
        <v>1472512597</v>
      </c>
      <c r="C482">
        <v>1472498057</v>
      </c>
      <c r="D482">
        <v>1441834836</v>
      </c>
      <c r="E482">
        <v>1</v>
      </c>
      <c r="F482">
        <v>1</v>
      </c>
      <c r="G482">
        <v>15514512</v>
      </c>
      <c r="H482">
        <v>3</v>
      </c>
      <c r="I482" t="s">
        <v>1005</v>
      </c>
      <c r="J482" t="s">
        <v>1006</v>
      </c>
      <c r="K482" t="s">
        <v>1007</v>
      </c>
      <c r="L482">
        <v>1348</v>
      </c>
      <c r="N482">
        <v>1009</v>
      </c>
      <c r="O482" t="s">
        <v>905</v>
      </c>
      <c r="P482" t="s">
        <v>905</v>
      </c>
      <c r="Q482">
        <v>1000</v>
      </c>
      <c r="X482">
        <v>8.0099999999999998E-3</v>
      </c>
      <c r="Y482">
        <v>93194.67</v>
      </c>
      <c r="Z482">
        <v>0</v>
      </c>
      <c r="AA482">
        <v>0</v>
      </c>
      <c r="AB482">
        <v>0</v>
      </c>
      <c r="AC482">
        <v>0</v>
      </c>
      <c r="AD482">
        <v>1</v>
      </c>
      <c r="AE482">
        <v>0</v>
      </c>
      <c r="AF482" t="s">
        <v>388</v>
      </c>
      <c r="AG482">
        <v>5.3400000000000001E-3</v>
      </c>
      <c r="AH482">
        <v>3</v>
      </c>
      <c r="AI482">
        <v>-1</v>
      </c>
      <c r="AJ482" t="s">
        <v>3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</row>
    <row r="483" spans="1:44" x14ac:dyDescent="0.2">
      <c r="A483">
        <f>ROW(Source!A597)</f>
        <v>597</v>
      </c>
      <c r="B483">
        <v>1472512598</v>
      </c>
      <c r="C483">
        <v>1472498057</v>
      </c>
      <c r="D483">
        <v>1441822273</v>
      </c>
      <c r="E483">
        <v>15514512</v>
      </c>
      <c r="F483">
        <v>1</v>
      </c>
      <c r="G483">
        <v>15514512</v>
      </c>
      <c r="H483">
        <v>3</v>
      </c>
      <c r="I483" t="s">
        <v>967</v>
      </c>
      <c r="J483" t="s">
        <v>3</v>
      </c>
      <c r="K483" t="s">
        <v>969</v>
      </c>
      <c r="L483">
        <v>1348</v>
      </c>
      <c r="N483">
        <v>1009</v>
      </c>
      <c r="O483" t="s">
        <v>905</v>
      </c>
      <c r="P483" t="s">
        <v>905</v>
      </c>
      <c r="Q483">
        <v>1000</v>
      </c>
      <c r="X483">
        <v>7.9000000000000001E-4</v>
      </c>
      <c r="Y483">
        <v>94640</v>
      </c>
      <c r="Z483">
        <v>0</v>
      </c>
      <c r="AA483">
        <v>0</v>
      </c>
      <c r="AB483">
        <v>0</v>
      </c>
      <c r="AC483">
        <v>0</v>
      </c>
      <c r="AD483">
        <v>1</v>
      </c>
      <c r="AE483">
        <v>0</v>
      </c>
      <c r="AF483" t="s">
        <v>388</v>
      </c>
      <c r="AG483">
        <v>5.2666666666666671E-4</v>
      </c>
      <c r="AH483">
        <v>3</v>
      </c>
      <c r="AI483">
        <v>-1</v>
      </c>
      <c r="AJ483" t="s">
        <v>3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</row>
    <row r="484" spans="1:44" x14ac:dyDescent="0.2">
      <c r="A484">
        <f>ROW(Source!A598)</f>
        <v>598</v>
      </c>
      <c r="B484">
        <v>1472512602</v>
      </c>
      <c r="C484">
        <v>1472498108</v>
      </c>
      <c r="D484">
        <v>1441819193</v>
      </c>
      <c r="E484">
        <v>15514512</v>
      </c>
      <c r="F484">
        <v>1</v>
      </c>
      <c r="G484">
        <v>15514512</v>
      </c>
      <c r="H484">
        <v>1</v>
      </c>
      <c r="I484" t="s">
        <v>885</v>
      </c>
      <c r="J484" t="s">
        <v>3</v>
      </c>
      <c r="K484" t="s">
        <v>886</v>
      </c>
      <c r="L484">
        <v>1191</v>
      </c>
      <c r="N484">
        <v>1013</v>
      </c>
      <c r="O484" t="s">
        <v>887</v>
      </c>
      <c r="P484" t="s">
        <v>887</v>
      </c>
      <c r="Q484">
        <v>1</v>
      </c>
      <c r="X484">
        <v>6.8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1</v>
      </c>
      <c r="AE484">
        <v>1</v>
      </c>
      <c r="AF484" t="s">
        <v>28</v>
      </c>
      <c r="AG484">
        <v>13.6</v>
      </c>
      <c r="AH484">
        <v>3</v>
      </c>
      <c r="AI484">
        <v>-1</v>
      </c>
      <c r="AJ484" t="s">
        <v>3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</row>
    <row r="485" spans="1:44" x14ac:dyDescent="0.2">
      <c r="A485">
        <f>ROW(Source!A598)</f>
        <v>598</v>
      </c>
      <c r="B485">
        <v>1472512603</v>
      </c>
      <c r="C485">
        <v>1472498108</v>
      </c>
      <c r="D485">
        <v>1441834258</v>
      </c>
      <c r="E485">
        <v>1</v>
      </c>
      <c r="F485">
        <v>1</v>
      </c>
      <c r="G485">
        <v>15514512</v>
      </c>
      <c r="H485">
        <v>2</v>
      </c>
      <c r="I485" t="s">
        <v>892</v>
      </c>
      <c r="J485" t="s">
        <v>893</v>
      </c>
      <c r="K485" t="s">
        <v>894</v>
      </c>
      <c r="L485">
        <v>1368</v>
      </c>
      <c r="N485">
        <v>1011</v>
      </c>
      <c r="O485" t="s">
        <v>895</v>
      </c>
      <c r="P485" t="s">
        <v>895</v>
      </c>
      <c r="Q485">
        <v>1</v>
      </c>
      <c r="X485">
        <v>0.42</v>
      </c>
      <c r="Y485">
        <v>0</v>
      </c>
      <c r="Z485">
        <v>1303.01</v>
      </c>
      <c r="AA485">
        <v>826.2</v>
      </c>
      <c r="AB485">
        <v>0</v>
      </c>
      <c r="AC485">
        <v>0</v>
      </c>
      <c r="AD485">
        <v>1</v>
      </c>
      <c r="AE485">
        <v>0</v>
      </c>
      <c r="AF485" t="s">
        <v>28</v>
      </c>
      <c r="AG485">
        <v>0.84</v>
      </c>
      <c r="AH485">
        <v>3</v>
      </c>
      <c r="AI485">
        <v>-1</v>
      </c>
      <c r="AJ485" t="s">
        <v>3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</row>
    <row r="486" spans="1:44" x14ac:dyDescent="0.2">
      <c r="A486">
        <f>ROW(Source!A598)</f>
        <v>598</v>
      </c>
      <c r="B486">
        <v>1472512604</v>
      </c>
      <c r="C486">
        <v>1472498108</v>
      </c>
      <c r="D486">
        <v>1441836235</v>
      </c>
      <c r="E486">
        <v>1</v>
      </c>
      <c r="F486">
        <v>1</v>
      </c>
      <c r="G486">
        <v>15514512</v>
      </c>
      <c r="H486">
        <v>3</v>
      </c>
      <c r="I486" t="s">
        <v>912</v>
      </c>
      <c r="J486" t="s">
        <v>913</v>
      </c>
      <c r="K486" t="s">
        <v>914</v>
      </c>
      <c r="L486">
        <v>1346</v>
      </c>
      <c r="N486">
        <v>1009</v>
      </c>
      <c r="O486" t="s">
        <v>898</v>
      </c>
      <c r="P486" t="s">
        <v>898</v>
      </c>
      <c r="Q486">
        <v>1</v>
      </c>
      <c r="X486">
        <v>1</v>
      </c>
      <c r="Y486">
        <v>31.49</v>
      </c>
      <c r="Z486">
        <v>0</v>
      </c>
      <c r="AA486">
        <v>0</v>
      </c>
      <c r="AB486">
        <v>0</v>
      </c>
      <c r="AC486">
        <v>0</v>
      </c>
      <c r="AD486">
        <v>1</v>
      </c>
      <c r="AE486">
        <v>0</v>
      </c>
      <c r="AF486" t="s">
        <v>28</v>
      </c>
      <c r="AG486">
        <v>2</v>
      </c>
      <c r="AH486">
        <v>3</v>
      </c>
      <c r="AI486">
        <v>-1</v>
      </c>
      <c r="AJ486" t="s">
        <v>3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</row>
    <row r="487" spans="1:44" x14ac:dyDescent="0.2">
      <c r="A487">
        <f>ROW(Source!A598)</f>
        <v>598</v>
      </c>
      <c r="B487">
        <v>1472512606</v>
      </c>
      <c r="C487">
        <v>1472498108</v>
      </c>
      <c r="D487">
        <v>1441834666</v>
      </c>
      <c r="E487">
        <v>1</v>
      </c>
      <c r="F487">
        <v>1</v>
      </c>
      <c r="G487">
        <v>15514512</v>
      </c>
      <c r="H487">
        <v>3</v>
      </c>
      <c r="I487" t="s">
        <v>1018</v>
      </c>
      <c r="J487" t="s">
        <v>1019</v>
      </c>
      <c r="K487" t="s">
        <v>1020</v>
      </c>
      <c r="L487">
        <v>1346</v>
      </c>
      <c r="N487">
        <v>1009</v>
      </c>
      <c r="O487" t="s">
        <v>898</v>
      </c>
      <c r="P487" t="s">
        <v>898</v>
      </c>
      <c r="Q487">
        <v>1</v>
      </c>
      <c r="X487">
        <v>0.35</v>
      </c>
      <c r="Y487">
        <v>924.76</v>
      </c>
      <c r="Z487">
        <v>0</v>
      </c>
      <c r="AA487">
        <v>0</v>
      </c>
      <c r="AB487">
        <v>0</v>
      </c>
      <c r="AC487">
        <v>0</v>
      </c>
      <c r="AD487">
        <v>1</v>
      </c>
      <c r="AE487">
        <v>0</v>
      </c>
      <c r="AF487" t="s">
        <v>28</v>
      </c>
      <c r="AG487">
        <v>0.7</v>
      </c>
      <c r="AH487">
        <v>3</v>
      </c>
      <c r="AI487">
        <v>-1</v>
      </c>
      <c r="AJ487" t="s">
        <v>3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</row>
    <row r="488" spans="1:44" x14ac:dyDescent="0.2">
      <c r="A488">
        <f>ROW(Source!A599)</f>
        <v>599</v>
      </c>
      <c r="B488">
        <v>1472512625</v>
      </c>
      <c r="C488">
        <v>1472498127</v>
      </c>
      <c r="D488">
        <v>1441819193</v>
      </c>
      <c r="E488">
        <v>15514512</v>
      </c>
      <c r="F488">
        <v>1</v>
      </c>
      <c r="G488">
        <v>15514512</v>
      </c>
      <c r="H488">
        <v>1</v>
      </c>
      <c r="I488" t="s">
        <v>885</v>
      </c>
      <c r="J488" t="s">
        <v>3</v>
      </c>
      <c r="K488" t="s">
        <v>886</v>
      </c>
      <c r="L488">
        <v>1191</v>
      </c>
      <c r="N488">
        <v>1013</v>
      </c>
      <c r="O488" t="s">
        <v>887</v>
      </c>
      <c r="P488" t="s">
        <v>887</v>
      </c>
      <c r="Q488">
        <v>1</v>
      </c>
      <c r="X488">
        <v>6.16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1</v>
      </c>
      <c r="AE488">
        <v>1</v>
      </c>
      <c r="AF488" t="s">
        <v>28</v>
      </c>
      <c r="AG488">
        <v>12.32</v>
      </c>
      <c r="AH488">
        <v>3</v>
      </c>
      <c r="AI488">
        <v>-1</v>
      </c>
      <c r="AJ488" t="s">
        <v>3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</row>
    <row r="489" spans="1:44" x14ac:dyDescent="0.2">
      <c r="A489">
        <f>ROW(Source!A599)</f>
        <v>599</v>
      </c>
      <c r="B489">
        <v>1472512626</v>
      </c>
      <c r="C489">
        <v>1472498127</v>
      </c>
      <c r="D489">
        <v>1441834258</v>
      </c>
      <c r="E489">
        <v>1</v>
      </c>
      <c r="F489">
        <v>1</v>
      </c>
      <c r="G489">
        <v>15514512</v>
      </c>
      <c r="H489">
        <v>2</v>
      </c>
      <c r="I489" t="s">
        <v>892</v>
      </c>
      <c r="J489" t="s">
        <v>893</v>
      </c>
      <c r="K489" t="s">
        <v>894</v>
      </c>
      <c r="L489">
        <v>1368</v>
      </c>
      <c r="N489">
        <v>1011</v>
      </c>
      <c r="O489" t="s">
        <v>895</v>
      </c>
      <c r="P489" t="s">
        <v>895</v>
      </c>
      <c r="Q489">
        <v>1</v>
      </c>
      <c r="X489">
        <v>0.42</v>
      </c>
      <c r="Y489">
        <v>0</v>
      </c>
      <c r="Z489">
        <v>1303.01</v>
      </c>
      <c r="AA489">
        <v>826.2</v>
      </c>
      <c r="AB489">
        <v>0</v>
      </c>
      <c r="AC489">
        <v>0</v>
      </c>
      <c r="AD489">
        <v>1</v>
      </c>
      <c r="AE489">
        <v>0</v>
      </c>
      <c r="AF489" t="s">
        <v>28</v>
      </c>
      <c r="AG489">
        <v>0.84</v>
      </c>
      <c r="AH489">
        <v>3</v>
      </c>
      <c r="AI489">
        <v>-1</v>
      </c>
      <c r="AJ489" t="s">
        <v>3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</row>
    <row r="490" spans="1:44" x14ac:dyDescent="0.2">
      <c r="A490">
        <f>ROW(Source!A599)</f>
        <v>599</v>
      </c>
      <c r="B490">
        <v>1472512627</v>
      </c>
      <c r="C490">
        <v>1472498127</v>
      </c>
      <c r="D490">
        <v>1441836235</v>
      </c>
      <c r="E490">
        <v>1</v>
      </c>
      <c r="F490">
        <v>1</v>
      </c>
      <c r="G490">
        <v>15514512</v>
      </c>
      <c r="H490">
        <v>3</v>
      </c>
      <c r="I490" t="s">
        <v>912</v>
      </c>
      <c r="J490" t="s">
        <v>913</v>
      </c>
      <c r="K490" t="s">
        <v>914</v>
      </c>
      <c r="L490">
        <v>1346</v>
      </c>
      <c r="N490">
        <v>1009</v>
      </c>
      <c r="O490" t="s">
        <v>898</v>
      </c>
      <c r="P490" t="s">
        <v>898</v>
      </c>
      <c r="Q490">
        <v>1</v>
      </c>
      <c r="X490">
        <v>1</v>
      </c>
      <c r="Y490">
        <v>31.49</v>
      </c>
      <c r="Z490">
        <v>0</v>
      </c>
      <c r="AA490">
        <v>0</v>
      </c>
      <c r="AB490">
        <v>0</v>
      </c>
      <c r="AC490">
        <v>0</v>
      </c>
      <c r="AD490">
        <v>1</v>
      </c>
      <c r="AE490">
        <v>0</v>
      </c>
      <c r="AF490" t="s">
        <v>28</v>
      </c>
      <c r="AG490">
        <v>2</v>
      </c>
      <c r="AH490">
        <v>3</v>
      </c>
      <c r="AI490">
        <v>-1</v>
      </c>
      <c r="AJ490" t="s">
        <v>3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</row>
    <row r="491" spans="1:44" x14ac:dyDescent="0.2">
      <c r="A491">
        <f>ROW(Source!A600)</f>
        <v>600</v>
      </c>
      <c r="B491">
        <v>1472512643</v>
      </c>
      <c r="C491">
        <v>1472498165</v>
      </c>
      <c r="D491">
        <v>1441819193</v>
      </c>
      <c r="E491">
        <v>15514512</v>
      </c>
      <c r="F491">
        <v>1</v>
      </c>
      <c r="G491">
        <v>15514512</v>
      </c>
      <c r="H491">
        <v>1</v>
      </c>
      <c r="I491" t="s">
        <v>885</v>
      </c>
      <c r="J491" t="s">
        <v>3</v>
      </c>
      <c r="K491" t="s">
        <v>886</v>
      </c>
      <c r="L491">
        <v>1191</v>
      </c>
      <c r="N491">
        <v>1013</v>
      </c>
      <c r="O491" t="s">
        <v>887</v>
      </c>
      <c r="P491" t="s">
        <v>887</v>
      </c>
      <c r="Q491">
        <v>1</v>
      </c>
      <c r="X491">
        <v>1.34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1</v>
      </c>
      <c r="AE491">
        <v>1</v>
      </c>
      <c r="AF491" t="s">
        <v>3</v>
      </c>
      <c r="AG491">
        <v>1.34</v>
      </c>
      <c r="AH491">
        <v>3</v>
      </c>
      <c r="AI491">
        <v>-1</v>
      </c>
      <c r="AJ491" t="s">
        <v>3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</row>
    <row r="492" spans="1:44" x14ac:dyDescent="0.2">
      <c r="A492">
        <f>ROW(Source!A600)</f>
        <v>600</v>
      </c>
      <c r="B492">
        <v>1472512644</v>
      </c>
      <c r="C492">
        <v>1472498165</v>
      </c>
      <c r="D492">
        <v>1441834146</v>
      </c>
      <c r="E492">
        <v>1</v>
      </c>
      <c r="F492">
        <v>1</v>
      </c>
      <c r="G492">
        <v>15514512</v>
      </c>
      <c r="H492">
        <v>2</v>
      </c>
      <c r="I492" t="s">
        <v>1036</v>
      </c>
      <c r="J492" t="s">
        <v>1037</v>
      </c>
      <c r="K492" t="s">
        <v>1038</v>
      </c>
      <c r="L492">
        <v>1368</v>
      </c>
      <c r="N492">
        <v>1011</v>
      </c>
      <c r="O492" t="s">
        <v>895</v>
      </c>
      <c r="P492" t="s">
        <v>895</v>
      </c>
      <c r="Q492">
        <v>1</v>
      </c>
      <c r="X492">
        <v>0.09</v>
      </c>
      <c r="Y492">
        <v>0</v>
      </c>
      <c r="Z492">
        <v>20.55</v>
      </c>
      <c r="AA492">
        <v>0.31</v>
      </c>
      <c r="AB492">
        <v>0</v>
      </c>
      <c r="AC492">
        <v>0</v>
      </c>
      <c r="AD492">
        <v>1</v>
      </c>
      <c r="AE492">
        <v>0</v>
      </c>
      <c r="AF492" t="s">
        <v>3</v>
      </c>
      <c r="AG492">
        <v>0.09</v>
      </c>
      <c r="AH492">
        <v>3</v>
      </c>
      <c r="AI492">
        <v>-1</v>
      </c>
      <c r="AJ492" t="s">
        <v>3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</row>
    <row r="493" spans="1:44" x14ac:dyDescent="0.2">
      <c r="A493">
        <f>ROW(Source!A600)</f>
        <v>600</v>
      </c>
      <c r="B493">
        <v>1472512645</v>
      </c>
      <c r="C493">
        <v>1472498165</v>
      </c>
      <c r="D493">
        <v>1441836235</v>
      </c>
      <c r="E493">
        <v>1</v>
      </c>
      <c r="F493">
        <v>1</v>
      </c>
      <c r="G493">
        <v>15514512</v>
      </c>
      <c r="H493">
        <v>3</v>
      </c>
      <c r="I493" t="s">
        <v>912</v>
      </c>
      <c r="J493" t="s">
        <v>913</v>
      </c>
      <c r="K493" t="s">
        <v>914</v>
      </c>
      <c r="L493">
        <v>1346</v>
      </c>
      <c r="N493">
        <v>1009</v>
      </c>
      <c r="O493" t="s">
        <v>898</v>
      </c>
      <c r="P493" t="s">
        <v>898</v>
      </c>
      <c r="Q493">
        <v>1</v>
      </c>
      <c r="X493">
        <v>0.03</v>
      </c>
      <c r="Y493">
        <v>31.49</v>
      </c>
      <c r="Z493">
        <v>0</v>
      </c>
      <c r="AA493">
        <v>0</v>
      </c>
      <c r="AB493">
        <v>0</v>
      </c>
      <c r="AC493">
        <v>0</v>
      </c>
      <c r="AD493">
        <v>1</v>
      </c>
      <c r="AE493">
        <v>0</v>
      </c>
      <c r="AF493" t="s">
        <v>3</v>
      </c>
      <c r="AG493">
        <v>0.03</v>
      </c>
      <c r="AH493">
        <v>3</v>
      </c>
      <c r="AI493">
        <v>-1</v>
      </c>
      <c r="AJ493" t="s">
        <v>3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</row>
    <row r="494" spans="1:44" x14ac:dyDescent="0.2">
      <c r="A494">
        <f>ROW(Source!A600)</f>
        <v>600</v>
      </c>
      <c r="B494">
        <v>1472512646</v>
      </c>
      <c r="C494">
        <v>1472498165</v>
      </c>
      <c r="D494">
        <v>1441836393</v>
      </c>
      <c r="E494">
        <v>1</v>
      </c>
      <c r="F494">
        <v>1</v>
      </c>
      <c r="G494">
        <v>15514512</v>
      </c>
      <c r="H494">
        <v>3</v>
      </c>
      <c r="I494" t="s">
        <v>1033</v>
      </c>
      <c r="J494" t="s">
        <v>1034</v>
      </c>
      <c r="K494" t="s">
        <v>1035</v>
      </c>
      <c r="L494">
        <v>1296</v>
      </c>
      <c r="N494">
        <v>1002</v>
      </c>
      <c r="O494" t="s">
        <v>918</v>
      </c>
      <c r="P494" t="s">
        <v>918</v>
      </c>
      <c r="Q494">
        <v>1</v>
      </c>
      <c r="X494">
        <v>2.9999999999999997E-4</v>
      </c>
      <c r="Y494">
        <v>4241.6400000000003</v>
      </c>
      <c r="Z494">
        <v>0</v>
      </c>
      <c r="AA494">
        <v>0</v>
      </c>
      <c r="AB494">
        <v>0</v>
      </c>
      <c r="AC494">
        <v>0</v>
      </c>
      <c r="AD494">
        <v>1</v>
      </c>
      <c r="AE494">
        <v>0</v>
      </c>
      <c r="AF494" t="s">
        <v>3</v>
      </c>
      <c r="AG494">
        <v>2.9999999999999997E-4</v>
      </c>
      <c r="AH494">
        <v>3</v>
      </c>
      <c r="AI494">
        <v>-1</v>
      </c>
      <c r="AJ494" t="s">
        <v>3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</row>
    <row r="495" spans="1:44" x14ac:dyDescent="0.2">
      <c r="A495">
        <f>ROW(Source!A601)</f>
        <v>601</v>
      </c>
      <c r="B495">
        <v>1472512663</v>
      </c>
      <c r="C495">
        <v>1472498203</v>
      </c>
      <c r="D495">
        <v>1441819193</v>
      </c>
      <c r="E495">
        <v>15514512</v>
      </c>
      <c r="F495">
        <v>1</v>
      </c>
      <c r="G495">
        <v>15514512</v>
      </c>
      <c r="H495">
        <v>1</v>
      </c>
      <c r="I495" t="s">
        <v>885</v>
      </c>
      <c r="J495" t="s">
        <v>3</v>
      </c>
      <c r="K495" t="s">
        <v>886</v>
      </c>
      <c r="L495">
        <v>1191</v>
      </c>
      <c r="N495">
        <v>1013</v>
      </c>
      <c r="O495" t="s">
        <v>887</v>
      </c>
      <c r="P495" t="s">
        <v>887</v>
      </c>
      <c r="Q495">
        <v>1</v>
      </c>
      <c r="X495">
        <v>0.74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1</v>
      </c>
      <c r="AE495">
        <v>1</v>
      </c>
      <c r="AF495" t="s">
        <v>516</v>
      </c>
      <c r="AG495">
        <v>2.2199999999999998</v>
      </c>
      <c r="AH495">
        <v>3</v>
      </c>
      <c r="AI495">
        <v>-1</v>
      </c>
      <c r="AJ495" t="s">
        <v>3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</row>
    <row r="496" spans="1:44" x14ac:dyDescent="0.2">
      <c r="A496">
        <f>ROW(Source!A601)</f>
        <v>601</v>
      </c>
      <c r="B496">
        <v>1472512664</v>
      </c>
      <c r="C496">
        <v>1472498203</v>
      </c>
      <c r="D496">
        <v>1441836235</v>
      </c>
      <c r="E496">
        <v>1</v>
      </c>
      <c r="F496">
        <v>1</v>
      </c>
      <c r="G496">
        <v>15514512</v>
      </c>
      <c r="H496">
        <v>3</v>
      </c>
      <c r="I496" t="s">
        <v>912</v>
      </c>
      <c r="J496" t="s">
        <v>913</v>
      </c>
      <c r="K496" t="s">
        <v>914</v>
      </c>
      <c r="L496">
        <v>1346</v>
      </c>
      <c r="N496">
        <v>1009</v>
      </c>
      <c r="O496" t="s">
        <v>898</v>
      </c>
      <c r="P496" t="s">
        <v>898</v>
      </c>
      <c r="Q496">
        <v>1</v>
      </c>
      <c r="X496">
        <v>0.01</v>
      </c>
      <c r="Y496">
        <v>31.49</v>
      </c>
      <c r="Z496">
        <v>0</v>
      </c>
      <c r="AA496">
        <v>0</v>
      </c>
      <c r="AB496">
        <v>0</v>
      </c>
      <c r="AC496">
        <v>0</v>
      </c>
      <c r="AD496">
        <v>1</v>
      </c>
      <c r="AE496">
        <v>0</v>
      </c>
      <c r="AF496" t="s">
        <v>516</v>
      </c>
      <c r="AG496">
        <v>0.03</v>
      </c>
      <c r="AH496">
        <v>3</v>
      </c>
      <c r="AI496">
        <v>-1</v>
      </c>
      <c r="AJ496" t="s">
        <v>3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</row>
    <row r="497" spans="1:44" x14ac:dyDescent="0.2">
      <c r="A497">
        <f>ROW(Source!A602)</f>
        <v>602</v>
      </c>
      <c r="B497">
        <v>1472512691</v>
      </c>
      <c r="C497">
        <v>1472498210</v>
      </c>
      <c r="D497">
        <v>1441819193</v>
      </c>
      <c r="E497">
        <v>15514512</v>
      </c>
      <c r="F497">
        <v>1</v>
      </c>
      <c r="G497">
        <v>15514512</v>
      </c>
      <c r="H497">
        <v>1</v>
      </c>
      <c r="I497" t="s">
        <v>885</v>
      </c>
      <c r="J497" t="s">
        <v>3</v>
      </c>
      <c r="K497" t="s">
        <v>886</v>
      </c>
      <c r="L497">
        <v>1191</v>
      </c>
      <c r="N497">
        <v>1013</v>
      </c>
      <c r="O497" t="s">
        <v>887</v>
      </c>
      <c r="P497" t="s">
        <v>887</v>
      </c>
      <c r="Q497">
        <v>1</v>
      </c>
      <c r="X497">
        <v>0.37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1</v>
      </c>
      <c r="AE497">
        <v>1</v>
      </c>
      <c r="AF497" t="s">
        <v>28</v>
      </c>
      <c r="AG497">
        <v>0.74</v>
      </c>
      <c r="AH497">
        <v>3</v>
      </c>
      <c r="AI497">
        <v>-1</v>
      </c>
      <c r="AJ497" t="s">
        <v>3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</row>
    <row r="498" spans="1:44" x14ac:dyDescent="0.2">
      <c r="A498">
        <f>ROW(Source!A602)</f>
        <v>602</v>
      </c>
      <c r="B498">
        <v>1472512692</v>
      </c>
      <c r="C498">
        <v>1472498210</v>
      </c>
      <c r="D498">
        <v>1441834258</v>
      </c>
      <c r="E498">
        <v>1</v>
      </c>
      <c r="F498">
        <v>1</v>
      </c>
      <c r="G498">
        <v>15514512</v>
      </c>
      <c r="H498">
        <v>2</v>
      </c>
      <c r="I498" t="s">
        <v>892</v>
      </c>
      <c r="J498" t="s">
        <v>893</v>
      </c>
      <c r="K498" t="s">
        <v>894</v>
      </c>
      <c r="L498">
        <v>1368</v>
      </c>
      <c r="N498">
        <v>1011</v>
      </c>
      <c r="O498" t="s">
        <v>895</v>
      </c>
      <c r="P498" t="s">
        <v>895</v>
      </c>
      <c r="Q498">
        <v>1</v>
      </c>
      <c r="X498">
        <v>0.06</v>
      </c>
      <c r="Y498">
        <v>0</v>
      </c>
      <c r="Z498">
        <v>1303.01</v>
      </c>
      <c r="AA498">
        <v>826.2</v>
      </c>
      <c r="AB498">
        <v>0</v>
      </c>
      <c r="AC498">
        <v>0</v>
      </c>
      <c r="AD498">
        <v>1</v>
      </c>
      <c r="AE498">
        <v>0</v>
      </c>
      <c r="AF498" t="s">
        <v>28</v>
      </c>
      <c r="AG498">
        <v>0.12</v>
      </c>
      <c r="AH498">
        <v>3</v>
      </c>
      <c r="AI498">
        <v>-1</v>
      </c>
      <c r="AJ498" t="s">
        <v>3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</row>
    <row r="499" spans="1:44" x14ac:dyDescent="0.2">
      <c r="A499">
        <f>ROW(Source!A603)</f>
        <v>603</v>
      </c>
      <c r="B499">
        <v>1472512722</v>
      </c>
      <c r="C499">
        <v>1472498217</v>
      </c>
      <c r="D499">
        <v>1441819193</v>
      </c>
      <c r="E499">
        <v>15514512</v>
      </c>
      <c r="F499">
        <v>1</v>
      </c>
      <c r="G499">
        <v>15514512</v>
      </c>
      <c r="H499">
        <v>1</v>
      </c>
      <c r="I499" t="s">
        <v>885</v>
      </c>
      <c r="J499" t="s">
        <v>3</v>
      </c>
      <c r="K499" t="s">
        <v>886</v>
      </c>
      <c r="L499">
        <v>1191</v>
      </c>
      <c r="N499">
        <v>1013</v>
      </c>
      <c r="O499" t="s">
        <v>887</v>
      </c>
      <c r="P499" t="s">
        <v>887</v>
      </c>
      <c r="Q499">
        <v>1</v>
      </c>
      <c r="X499">
        <v>360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1</v>
      </c>
      <c r="AE499">
        <v>1</v>
      </c>
      <c r="AF499" t="s">
        <v>388</v>
      </c>
      <c r="AG499">
        <v>240</v>
      </c>
      <c r="AH499">
        <v>3</v>
      </c>
      <c r="AI499">
        <v>-1</v>
      </c>
      <c r="AJ499" t="s">
        <v>3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</row>
    <row r="500" spans="1:44" x14ac:dyDescent="0.2">
      <c r="A500">
        <f>ROW(Source!A603)</f>
        <v>603</v>
      </c>
      <c r="B500">
        <v>1472512723</v>
      </c>
      <c r="C500">
        <v>1472498217</v>
      </c>
      <c r="D500">
        <v>1441835475</v>
      </c>
      <c r="E500">
        <v>1</v>
      </c>
      <c r="F500">
        <v>1</v>
      </c>
      <c r="G500">
        <v>15514512</v>
      </c>
      <c r="H500">
        <v>3</v>
      </c>
      <c r="I500" t="s">
        <v>978</v>
      </c>
      <c r="J500" t="s">
        <v>979</v>
      </c>
      <c r="K500" t="s">
        <v>980</v>
      </c>
      <c r="L500">
        <v>1348</v>
      </c>
      <c r="N500">
        <v>1009</v>
      </c>
      <c r="O500" t="s">
        <v>905</v>
      </c>
      <c r="P500" t="s">
        <v>905</v>
      </c>
      <c r="Q500">
        <v>1000</v>
      </c>
      <c r="X500">
        <v>7.7999999999999996E-3</v>
      </c>
      <c r="Y500">
        <v>155908.07999999999</v>
      </c>
      <c r="Z500">
        <v>0</v>
      </c>
      <c r="AA500">
        <v>0</v>
      </c>
      <c r="AB500">
        <v>0</v>
      </c>
      <c r="AC500">
        <v>0</v>
      </c>
      <c r="AD500">
        <v>1</v>
      </c>
      <c r="AE500">
        <v>0</v>
      </c>
      <c r="AF500" t="s">
        <v>388</v>
      </c>
      <c r="AG500">
        <v>5.1999999999999998E-3</v>
      </c>
      <c r="AH500">
        <v>3</v>
      </c>
      <c r="AI500">
        <v>-1</v>
      </c>
      <c r="AJ500" t="s">
        <v>3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</row>
    <row r="501" spans="1:44" x14ac:dyDescent="0.2">
      <c r="A501">
        <f>ROW(Source!A603)</f>
        <v>603</v>
      </c>
      <c r="B501">
        <v>1472512724</v>
      </c>
      <c r="C501">
        <v>1472498217</v>
      </c>
      <c r="D501">
        <v>1441835549</v>
      </c>
      <c r="E501">
        <v>1</v>
      </c>
      <c r="F501">
        <v>1</v>
      </c>
      <c r="G501">
        <v>15514512</v>
      </c>
      <c r="H501">
        <v>3</v>
      </c>
      <c r="I501" t="s">
        <v>981</v>
      </c>
      <c r="J501" t="s">
        <v>982</v>
      </c>
      <c r="K501" t="s">
        <v>983</v>
      </c>
      <c r="L501">
        <v>1348</v>
      </c>
      <c r="N501">
        <v>1009</v>
      </c>
      <c r="O501" t="s">
        <v>905</v>
      </c>
      <c r="P501" t="s">
        <v>905</v>
      </c>
      <c r="Q501">
        <v>1000</v>
      </c>
      <c r="X501">
        <v>1.1000000000000001E-3</v>
      </c>
      <c r="Y501">
        <v>194655.19</v>
      </c>
      <c r="Z501">
        <v>0</v>
      </c>
      <c r="AA501">
        <v>0</v>
      </c>
      <c r="AB501">
        <v>0</v>
      </c>
      <c r="AC501">
        <v>0</v>
      </c>
      <c r="AD501">
        <v>1</v>
      </c>
      <c r="AE501">
        <v>0</v>
      </c>
      <c r="AF501" t="s">
        <v>388</v>
      </c>
      <c r="AG501">
        <v>7.3333333333333334E-4</v>
      </c>
      <c r="AH501">
        <v>3</v>
      </c>
      <c r="AI501">
        <v>-1</v>
      </c>
      <c r="AJ501" t="s">
        <v>3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</row>
    <row r="502" spans="1:44" x14ac:dyDescent="0.2">
      <c r="A502">
        <f>ROW(Source!A603)</f>
        <v>603</v>
      </c>
      <c r="B502">
        <v>1472512726</v>
      </c>
      <c r="C502">
        <v>1472498217</v>
      </c>
      <c r="D502">
        <v>1441838531</v>
      </c>
      <c r="E502">
        <v>1</v>
      </c>
      <c r="F502">
        <v>1</v>
      </c>
      <c r="G502">
        <v>15514512</v>
      </c>
      <c r="H502">
        <v>3</v>
      </c>
      <c r="I502" t="s">
        <v>987</v>
      </c>
      <c r="J502" t="s">
        <v>988</v>
      </c>
      <c r="K502" t="s">
        <v>989</v>
      </c>
      <c r="L502">
        <v>1348</v>
      </c>
      <c r="N502">
        <v>1009</v>
      </c>
      <c r="O502" t="s">
        <v>905</v>
      </c>
      <c r="P502" t="s">
        <v>905</v>
      </c>
      <c r="Q502">
        <v>1000</v>
      </c>
      <c r="X502">
        <v>1.2699999999999999E-2</v>
      </c>
      <c r="Y502">
        <v>370783.55</v>
      </c>
      <c r="Z502">
        <v>0</v>
      </c>
      <c r="AA502">
        <v>0</v>
      </c>
      <c r="AB502">
        <v>0</v>
      </c>
      <c r="AC502">
        <v>0</v>
      </c>
      <c r="AD502">
        <v>1</v>
      </c>
      <c r="AE502">
        <v>0</v>
      </c>
      <c r="AF502" t="s">
        <v>388</v>
      </c>
      <c r="AG502">
        <v>8.4666666666666657E-3</v>
      </c>
      <c r="AH502">
        <v>3</v>
      </c>
      <c r="AI502">
        <v>-1</v>
      </c>
      <c r="AJ502" t="s">
        <v>3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</row>
    <row r="503" spans="1:44" x14ac:dyDescent="0.2">
      <c r="A503">
        <f>ROW(Source!A603)</f>
        <v>603</v>
      </c>
      <c r="B503">
        <v>1472512727</v>
      </c>
      <c r="C503">
        <v>1472498217</v>
      </c>
      <c r="D503">
        <v>1441834635</v>
      </c>
      <c r="E503">
        <v>1</v>
      </c>
      <c r="F503">
        <v>1</v>
      </c>
      <c r="G503">
        <v>15514512</v>
      </c>
      <c r="H503">
        <v>3</v>
      </c>
      <c r="I503" t="s">
        <v>993</v>
      </c>
      <c r="J503" t="s">
        <v>994</v>
      </c>
      <c r="K503" t="s">
        <v>995</v>
      </c>
      <c r="L503">
        <v>1339</v>
      </c>
      <c r="N503">
        <v>1007</v>
      </c>
      <c r="O503" t="s">
        <v>891</v>
      </c>
      <c r="P503" t="s">
        <v>891</v>
      </c>
      <c r="Q503">
        <v>1</v>
      </c>
      <c r="X503">
        <v>6.8</v>
      </c>
      <c r="Y503">
        <v>103.4</v>
      </c>
      <c r="Z503">
        <v>0</v>
      </c>
      <c r="AA503">
        <v>0</v>
      </c>
      <c r="AB503">
        <v>0</v>
      </c>
      <c r="AC503">
        <v>0</v>
      </c>
      <c r="AD503">
        <v>1</v>
      </c>
      <c r="AE503">
        <v>0</v>
      </c>
      <c r="AF503" t="s">
        <v>388</v>
      </c>
      <c r="AG503">
        <v>4.5333333333333332</v>
      </c>
      <c r="AH503">
        <v>3</v>
      </c>
      <c r="AI503">
        <v>-1</v>
      </c>
      <c r="AJ503" t="s">
        <v>3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</row>
    <row r="504" spans="1:44" x14ac:dyDescent="0.2">
      <c r="A504">
        <f>ROW(Source!A603)</f>
        <v>603</v>
      </c>
      <c r="B504">
        <v>1472512729</v>
      </c>
      <c r="C504">
        <v>1472498217</v>
      </c>
      <c r="D504">
        <v>1441834627</v>
      </c>
      <c r="E504">
        <v>1</v>
      </c>
      <c r="F504">
        <v>1</v>
      </c>
      <c r="G504">
        <v>15514512</v>
      </c>
      <c r="H504">
        <v>3</v>
      </c>
      <c r="I504" t="s">
        <v>996</v>
      </c>
      <c r="J504" t="s">
        <v>997</v>
      </c>
      <c r="K504" t="s">
        <v>998</v>
      </c>
      <c r="L504">
        <v>1339</v>
      </c>
      <c r="N504">
        <v>1007</v>
      </c>
      <c r="O504" t="s">
        <v>891</v>
      </c>
      <c r="P504" t="s">
        <v>891</v>
      </c>
      <c r="Q504">
        <v>1</v>
      </c>
      <c r="X504">
        <v>3.2</v>
      </c>
      <c r="Y504">
        <v>875.46</v>
      </c>
      <c r="Z504">
        <v>0</v>
      </c>
      <c r="AA504">
        <v>0</v>
      </c>
      <c r="AB504">
        <v>0</v>
      </c>
      <c r="AC504">
        <v>0</v>
      </c>
      <c r="AD504">
        <v>1</v>
      </c>
      <c r="AE504">
        <v>0</v>
      </c>
      <c r="AF504" t="s">
        <v>388</v>
      </c>
      <c r="AG504">
        <v>2.1333333333333333</v>
      </c>
      <c r="AH504">
        <v>3</v>
      </c>
      <c r="AI504">
        <v>-1</v>
      </c>
      <c r="AJ504" t="s">
        <v>3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</row>
    <row r="505" spans="1:44" x14ac:dyDescent="0.2">
      <c r="A505">
        <f>ROW(Source!A603)</f>
        <v>603</v>
      </c>
      <c r="B505">
        <v>1472512730</v>
      </c>
      <c r="C505">
        <v>1472498217</v>
      </c>
      <c r="D505">
        <v>1441834671</v>
      </c>
      <c r="E505">
        <v>1</v>
      </c>
      <c r="F505">
        <v>1</v>
      </c>
      <c r="G505">
        <v>15514512</v>
      </c>
      <c r="H505">
        <v>3</v>
      </c>
      <c r="I505" t="s">
        <v>999</v>
      </c>
      <c r="J505" t="s">
        <v>1000</v>
      </c>
      <c r="K505" t="s">
        <v>1001</v>
      </c>
      <c r="L505">
        <v>1348</v>
      </c>
      <c r="N505">
        <v>1009</v>
      </c>
      <c r="O505" t="s">
        <v>905</v>
      </c>
      <c r="P505" t="s">
        <v>905</v>
      </c>
      <c r="Q505">
        <v>1000</v>
      </c>
      <c r="X505">
        <v>1.5E-3</v>
      </c>
      <c r="Y505">
        <v>184462.17</v>
      </c>
      <c r="Z505">
        <v>0</v>
      </c>
      <c r="AA505">
        <v>0</v>
      </c>
      <c r="AB505">
        <v>0</v>
      </c>
      <c r="AC505">
        <v>0</v>
      </c>
      <c r="AD505">
        <v>1</v>
      </c>
      <c r="AE505">
        <v>0</v>
      </c>
      <c r="AF505" t="s">
        <v>388</v>
      </c>
      <c r="AG505">
        <v>1E-3</v>
      </c>
      <c r="AH505">
        <v>3</v>
      </c>
      <c r="AI505">
        <v>-1</v>
      </c>
      <c r="AJ505" t="s">
        <v>3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</row>
    <row r="506" spans="1:44" x14ac:dyDescent="0.2">
      <c r="A506">
        <f>ROW(Source!A603)</f>
        <v>603</v>
      </c>
      <c r="B506">
        <v>1472512731</v>
      </c>
      <c r="C506">
        <v>1472498217</v>
      </c>
      <c r="D506">
        <v>1441834634</v>
      </c>
      <c r="E506">
        <v>1</v>
      </c>
      <c r="F506">
        <v>1</v>
      </c>
      <c r="G506">
        <v>15514512</v>
      </c>
      <c r="H506">
        <v>3</v>
      </c>
      <c r="I506" t="s">
        <v>1002</v>
      </c>
      <c r="J506" t="s">
        <v>1003</v>
      </c>
      <c r="K506" t="s">
        <v>1004</v>
      </c>
      <c r="L506">
        <v>1348</v>
      </c>
      <c r="N506">
        <v>1009</v>
      </c>
      <c r="O506" t="s">
        <v>905</v>
      </c>
      <c r="P506" t="s">
        <v>905</v>
      </c>
      <c r="Q506">
        <v>1000</v>
      </c>
      <c r="X506">
        <v>1.8E-3</v>
      </c>
      <c r="Y506">
        <v>88053.759999999995</v>
      </c>
      <c r="Z506">
        <v>0</v>
      </c>
      <c r="AA506">
        <v>0</v>
      </c>
      <c r="AB506">
        <v>0</v>
      </c>
      <c r="AC506">
        <v>0</v>
      </c>
      <c r="AD506">
        <v>1</v>
      </c>
      <c r="AE506">
        <v>0</v>
      </c>
      <c r="AF506" t="s">
        <v>388</v>
      </c>
      <c r="AG506">
        <v>1.1999999999999999E-3</v>
      </c>
      <c r="AH506">
        <v>3</v>
      </c>
      <c r="AI506">
        <v>-1</v>
      </c>
      <c r="AJ506" t="s">
        <v>3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</row>
    <row r="507" spans="1:44" x14ac:dyDescent="0.2">
      <c r="A507">
        <f>ROW(Source!A603)</f>
        <v>603</v>
      </c>
      <c r="B507">
        <v>1472512733</v>
      </c>
      <c r="C507">
        <v>1472498217</v>
      </c>
      <c r="D507">
        <v>1441834836</v>
      </c>
      <c r="E507">
        <v>1</v>
      </c>
      <c r="F507">
        <v>1</v>
      </c>
      <c r="G507">
        <v>15514512</v>
      </c>
      <c r="H507">
        <v>3</v>
      </c>
      <c r="I507" t="s">
        <v>1005</v>
      </c>
      <c r="J507" t="s">
        <v>1006</v>
      </c>
      <c r="K507" t="s">
        <v>1007</v>
      </c>
      <c r="L507">
        <v>1348</v>
      </c>
      <c r="N507">
        <v>1009</v>
      </c>
      <c r="O507" t="s">
        <v>905</v>
      </c>
      <c r="P507" t="s">
        <v>905</v>
      </c>
      <c r="Q507">
        <v>1000</v>
      </c>
      <c r="X507">
        <v>0.01</v>
      </c>
      <c r="Y507">
        <v>93194.67</v>
      </c>
      <c r="Z507">
        <v>0</v>
      </c>
      <c r="AA507">
        <v>0</v>
      </c>
      <c r="AB507">
        <v>0</v>
      </c>
      <c r="AC507">
        <v>0</v>
      </c>
      <c r="AD507">
        <v>1</v>
      </c>
      <c r="AE507">
        <v>0</v>
      </c>
      <c r="AF507" t="s">
        <v>388</v>
      </c>
      <c r="AG507">
        <v>6.6666666666666671E-3</v>
      </c>
      <c r="AH507">
        <v>3</v>
      </c>
      <c r="AI507">
        <v>-1</v>
      </c>
      <c r="AJ507" t="s">
        <v>3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</row>
    <row r="508" spans="1:44" x14ac:dyDescent="0.2">
      <c r="A508">
        <f>ROW(Source!A603)</f>
        <v>603</v>
      </c>
      <c r="B508">
        <v>1472512734</v>
      </c>
      <c r="C508">
        <v>1472498217</v>
      </c>
      <c r="D508">
        <v>1441822273</v>
      </c>
      <c r="E508">
        <v>15514512</v>
      </c>
      <c r="F508">
        <v>1</v>
      </c>
      <c r="G508">
        <v>15514512</v>
      </c>
      <c r="H508">
        <v>3</v>
      </c>
      <c r="I508" t="s">
        <v>967</v>
      </c>
      <c r="J508" t="s">
        <v>3</v>
      </c>
      <c r="K508" t="s">
        <v>969</v>
      </c>
      <c r="L508">
        <v>1348</v>
      </c>
      <c r="N508">
        <v>1009</v>
      </c>
      <c r="O508" t="s">
        <v>905</v>
      </c>
      <c r="P508" t="s">
        <v>905</v>
      </c>
      <c r="Q508">
        <v>1000</v>
      </c>
      <c r="X508">
        <v>1.1000000000000001E-3</v>
      </c>
      <c r="Y508">
        <v>94640</v>
      </c>
      <c r="Z508">
        <v>0</v>
      </c>
      <c r="AA508">
        <v>0</v>
      </c>
      <c r="AB508">
        <v>0</v>
      </c>
      <c r="AC508">
        <v>0</v>
      </c>
      <c r="AD508">
        <v>1</v>
      </c>
      <c r="AE508">
        <v>0</v>
      </c>
      <c r="AF508" t="s">
        <v>388</v>
      </c>
      <c r="AG508">
        <v>7.3333333333333334E-4</v>
      </c>
      <c r="AH508">
        <v>3</v>
      </c>
      <c r="AI508">
        <v>-1</v>
      </c>
      <c r="AJ508" t="s">
        <v>3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</row>
    <row r="509" spans="1:44" x14ac:dyDescent="0.2">
      <c r="A509">
        <f>ROW(Source!A604)</f>
        <v>604</v>
      </c>
      <c r="B509">
        <v>1472512739</v>
      </c>
      <c r="C509">
        <v>1472498251</v>
      </c>
      <c r="D509">
        <v>1441819193</v>
      </c>
      <c r="E509">
        <v>15514512</v>
      </c>
      <c r="F509">
        <v>1</v>
      </c>
      <c r="G509">
        <v>15514512</v>
      </c>
      <c r="H509">
        <v>1</v>
      </c>
      <c r="I509" t="s">
        <v>885</v>
      </c>
      <c r="J509" t="s">
        <v>3</v>
      </c>
      <c r="K509" t="s">
        <v>886</v>
      </c>
      <c r="L509">
        <v>1191</v>
      </c>
      <c r="N509">
        <v>1013</v>
      </c>
      <c r="O509" t="s">
        <v>887</v>
      </c>
      <c r="P509" t="s">
        <v>887</v>
      </c>
      <c r="Q509">
        <v>1</v>
      </c>
      <c r="X509">
        <v>7.6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1</v>
      </c>
      <c r="AE509">
        <v>1</v>
      </c>
      <c r="AF509" t="s">
        <v>28</v>
      </c>
      <c r="AG509">
        <v>15.2</v>
      </c>
      <c r="AH509">
        <v>3</v>
      </c>
      <c r="AI509">
        <v>-1</v>
      </c>
      <c r="AJ509" t="s">
        <v>3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</row>
    <row r="510" spans="1:44" x14ac:dyDescent="0.2">
      <c r="A510">
        <f>ROW(Source!A604)</f>
        <v>604</v>
      </c>
      <c r="B510">
        <v>1472512740</v>
      </c>
      <c r="C510">
        <v>1472498251</v>
      </c>
      <c r="D510">
        <v>1441834258</v>
      </c>
      <c r="E510">
        <v>1</v>
      </c>
      <c r="F510">
        <v>1</v>
      </c>
      <c r="G510">
        <v>15514512</v>
      </c>
      <c r="H510">
        <v>2</v>
      </c>
      <c r="I510" t="s">
        <v>892</v>
      </c>
      <c r="J510" t="s">
        <v>893</v>
      </c>
      <c r="K510" t="s">
        <v>894</v>
      </c>
      <c r="L510">
        <v>1368</v>
      </c>
      <c r="N510">
        <v>1011</v>
      </c>
      <c r="O510" t="s">
        <v>895</v>
      </c>
      <c r="P510" t="s">
        <v>895</v>
      </c>
      <c r="Q510">
        <v>1</v>
      </c>
      <c r="X510">
        <v>0.42</v>
      </c>
      <c r="Y510">
        <v>0</v>
      </c>
      <c r="Z510">
        <v>1303.01</v>
      </c>
      <c r="AA510">
        <v>826.2</v>
      </c>
      <c r="AB510">
        <v>0</v>
      </c>
      <c r="AC510">
        <v>0</v>
      </c>
      <c r="AD510">
        <v>1</v>
      </c>
      <c r="AE510">
        <v>0</v>
      </c>
      <c r="AF510" t="s">
        <v>28</v>
      </c>
      <c r="AG510">
        <v>0.84</v>
      </c>
      <c r="AH510">
        <v>3</v>
      </c>
      <c r="AI510">
        <v>-1</v>
      </c>
      <c r="AJ510" t="s">
        <v>3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</row>
    <row r="511" spans="1:44" x14ac:dyDescent="0.2">
      <c r="A511">
        <f>ROW(Source!A604)</f>
        <v>604</v>
      </c>
      <c r="B511">
        <v>1472512741</v>
      </c>
      <c r="C511">
        <v>1472498251</v>
      </c>
      <c r="D511">
        <v>1441836235</v>
      </c>
      <c r="E511">
        <v>1</v>
      </c>
      <c r="F511">
        <v>1</v>
      </c>
      <c r="G511">
        <v>15514512</v>
      </c>
      <c r="H511">
        <v>3</v>
      </c>
      <c r="I511" t="s">
        <v>912</v>
      </c>
      <c r="J511" t="s">
        <v>913</v>
      </c>
      <c r="K511" t="s">
        <v>914</v>
      </c>
      <c r="L511">
        <v>1346</v>
      </c>
      <c r="N511">
        <v>1009</v>
      </c>
      <c r="O511" t="s">
        <v>898</v>
      </c>
      <c r="P511" t="s">
        <v>898</v>
      </c>
      <c r="Q511">
        <v>1</v>
      </c>
      <c r="X511">
        <v>1.2</v>
      </c>
      <c r="Y511">
        <v>31.49</v>
      </c>
      <c r="Z511">
        <v>0</v>
      </c>
      <c r="AA511">
        <v>0</v>
      </c>
      <c r="AB511">
        <v>0</v>
      </c>
      <c r="AC511">
        <v>0</v>
      </c>
      <c r="AD511">
        <v>1</v>
      </c>
      <c r="AE511">
        <v>0</v>
      </c>
      <c r="AF511" t="s">
        <v>28</v>
      </c>
      <c r="AG511">
        <v>2.4</v>
      </c>
      <c r="AH511">
        <v>3</v>
      </c>
      <c r="AI511">
        <v>-1</v>
      </c>
      <c r="AJ511" t="s">
        <v>3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</row>
    <row r="512" spans="1:44" x14ac:dyDescent="0.2">
      <c r="A512">
        <f>ROW(Source!A604)</f>
        <v>604</v>
      </c>
      <c r="B512">
        <v>1472512742</v>
      </c>
      <c r="C512">
        <v>1472498251</v>
      </c>
      <c r="D512">
        <v>1441834666</v>
      </c>
      <c r="E512">
        <v>1</v>
      </c>
      <c r="F512">
        <v>1</v>
      </c>
      <c r="G512">
        <v>15514512</v>
      </c>
      <c r="H512">
        <v>3</v>
      </c>
      <c r="I512" t="s">
        <v>1018</v>
      </c>
      <c r="J512" t="s">
        <v>1019</v>
      </c>
      <c r="K512" t="s">
        <v>1020</v>
      </c>
      <c r="L512">
        <v>1346</v>
      </c>
      <c r="N512">
        <v>1009</v>
      </c>
      <c r="O512" t="s">
        <v>898</v>
      </c>
      <c r="P512" t="s">
        <v>898</v>
      </c>
      <c r="Q512">
        <v>1</v>
      </c>
      <c r="X512">
        <v>0.35</v>
      </c>
      <c r="Y512">
        <v>924.76</v>
      </c>
      <c r="Z512">
        <v>0</v>
      </c>
      <c r="AA512">
        <v>0</v>
      </c>
      <c r="AB512">
        <v>0</v>
      </c>
      <c r="AC512">
        <v>0</v>
      </c>
      <c r="AD512">
        <v>1</v>
      </c>
      <c r="AE512">
        <v>0</v>
      </c>
      <c r="AF512" t="s">
        <v>28</v>
      </c>
      <c r="AG512">
        <v>0.7</v>
      </c>
      <c r="AH512">
        <v>3</v>
      </c>
      <c r="AI512">
        <v>-1</v>
      </c>
      <c r="AJ512" t="s">
        <v>3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</row>
    <row r="513" spans="1:44" x14ac:dyDescent="0.2">
      <c r="A513">
        <f>ROW(Source!A605)</f>
        <v>605</v>
      </c>
      <c r="B513">
        <v>1472512773</v>
      </c>
      <c r="C513">
        <v>1472498266</v>
      </c>
      <c r="D513">
        <v>1441819193</v>
      </c>
      <c r="E513">
        <v>15514512</v>
      </c>
      <c r="F513">
        <v>1</v>
      </c>
      <c r="G513">
        <v>15514512</v>
      </c>
      <c r="H513">
        <v>1</v>
      </c>
      <c r="I513" t="s">
        <v>885</v>
      </c>
      <c r="J513" t="s">
        <v>3</v>
      </c>
      <c r="K513" t="s">
        <v>886</v>
      </c>
      <c r="L513">
        <v>1191</v>
      </c>
      <c r="N513">
        <v>1013</v>
      </c>
      <c r="O513" t="s">
        <v>887</v>
      </c>
      <c r="P513" t="s">
        <v>887</v>
      </c>
      <c r="Q513">
        <v>1</v>
      </c>
      <c r="X513">
        <v>6.96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1</v>
      </c>
      <c r="AE513">
        <v>1</v>
      </c>
      <c r="AF513" t="s">
        <v>28</v>
      </c>
      <c r="AG513">
        <v>13.92</v>
      </c>
      <c r="AH513">
        <v>3</v>
      </c>
      <c r="AI513">
        <v>-1</v>
      </c>
      <c r="AJ513" t="s">
        <v>3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</row>
    <row r="514" spans="1:44" x14ac:dyDescent="0.2">
      <c r="A514">
        <f>ROW(Source!A605)</f>
        <v>605</v>
      </c>
      <c r="B514">
        <v>1472512774</v>
      </c>
      <c r="C514">
        <v>1472498266</v>
      </c>
      <c r="D514">
        <v>1441834258</v>
      </c>
      <c r="E514">
        <v>1</v>
      </c>
      <c r="F514">
        <v>1</v>
      </c>
      <c r="G514">
        <v>15514512</v>
      </c>
      <c r="H514">
        <v>2</v>
      </c>
      <c r="I514" t="s">
        <v>892</v>
      </c>
      <c r="J514" t="s">
        <v>893</v>
      </c>
      <c r="K514" t="s">
        <v>894</v>
      </c>
      <c r="L514">
        <v>1368</v>
      </c>
      <c r="N514">
        <v>1011</v>
      </c>
      <c r="O514" t="s">
        <v>895</v>
      </c>
      <c r="P514" t="s">
        <v>895</v>
      </c>
      <c r="Q514">
        <v>1</v>
      </c>
      <c r="X514">
        <v>0.42</v>
      </c>
      <c r="Y514">
        <v>0</v>
      </c>
      <c r="Z514">
        <v>1303.01</v>
      </c>
      <c r="AA514">
        <v>826.2</v>
      </c>
      <c r="AB514">
        <v>0</v>
      </c>
      <c r="AC514">
        <v>0</v>
      </c>
      <c r="AD514">
        <v>1</v>
      </c>
      <c r="AE514">
        <v>0</v>
      </c>
      <c r="AF514" t="s">
        <v>28</v>
      </c>
      <c r="AG514">
        <v>0.84</v>
      </c>
      <c r="AH514">
        <v>3</v>
      </c>
      <c r="AI514">
        <v>-1</v>
      </c>
      <c r="AJ514" t="s">
        <v>3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</row>
    <row r="515" spans="1:44" x14ac:dyDescent="0.2">
      <c r="A515">
        <f>ROW(Source!A605)</f>
        <v>605</v>
      </c>
      <c r="B515">
        <v>1472512775</v>
      </c>
      <c r="C515">
        <v>1472498266</v>
      </c>
      <c r="D515">
        <v>1441836235</v>
      </c>
      <c r="E515">
        <v>1</v>
      </c>
      <c r="F515">
        <v>1</v>
      </c>
      <c r="G515">
        <v>15514512</v>
      </c>
      <c r="H515">
        <v>3</v>
      </c>
      <c r="I515" t="s">
        <v>912</v>
      </c>
      <c r="J515" t="s">
        <v>913</v>
      </c>
      <c r="K515" t="s">
        <v>914</v>
      </c>
      <c r="L515">
        <v>1346</v>
      </c>
      <c r="N515">
        <v>1009</v>
      </c>
      <c r="O515" t="s">
        <v>898</v>
      </c>
      <c r="P515" t="s">
        <v>898</v>
      </c>
      <c r="Q515">
        <v>1</v>
      </c>
      <c r="X515">
        <v>0.9</v>
      </c>
      <c r="Y515">
        <v>31.49</v>
      </c>
      <c r="Z515">
        <v>0</v>
      </c>
      <c r="AA515">
        <v>0</v>
      </c>
      <c r="AB515">
        <v>0</v>
      </c>
      <c r="AC515">
        <v>0</v>
      </c>
      <c r="AD515">
        <v>1</v>
      </c>
      <c r="AE515">
        <v>0</v>
      </c>
      <c r="AF515" t="s">
        <v>28</v>
      </c>
      <c r="AG515">
        <v>1.8</v>
      </c>
      <c r="AH515">
        <v>3</v>
      </c>
      <c r="AI515">
        <v>-1</v>
      </c>
      <c r="AJ515" t="s">
        <v>3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</row>
    <row r="516" spans="1:44" x14ac:dyDescent="0.2">
      <c r="A516">
        <f>ROW(Source!A606)</f>
        <v>606</v>
      </c>
      <c r="B516">
        <v>1472512779</v>
      </c>
      <c r="C516">
        <v>1472498279</v>
      </c>
      <c r="D516">
        <v>1441819193</v>
      </c>
      <c r="E516">
        <v>15514512</v>
      </c>
      <c r="F516">
        <v>1</v>
      </c>
      <c r="G516">
        <v>15514512</v>
      </c>
      <c r="H516">
        <v>1</v>
      </c>
      <c r="I516" t="s">
        <v>885</v>
      </c>
      <c r="J516" t="s">
        <v>3</v>
      </c>
      <c r="K516" t="s">
        <v>886</v>
      </c>
      <c r="L516">
        <v>1191</v>
      </c>
      <c r="N516">
        <v>1013</v>
      </c>
      <c r="O516" t="s">
        <v>887</v>
      </c>
      <c r="P516" t="s">
        <v>887</v>
      </c>
      <c r="Q516">
        <v>1</v>
      </c>
      <c r="X516">
        <v>17.34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1</v>
      </c>
      <c r="AE516">
        <v>1</v>
      </c>
      <c r="AF516" t="s">
        <v>3</v>
      </c>
      <c r="AG516">
        <v>17.34</v>
      </c>
      <c r="AH516">
        <v>3</v>
      </c>
      <c r="AI516">
        <v>-1</v>
      </c>
      <c r="AJ516" t="s">
        <v>3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</row>
    <row r="517" spans="1:44" x14ac:dyDescent="0.2">
      <c r="A517">
        <f>ROW(Source!A606)</f>
        <v>606</v>
      </c>
      <c r="B517">
        <v>1472512780</v>
      </c>
      <c r="C517">
        <v>1472498279</v>
      </c>
      <c r="D517">
        <v>1441836235</v>
      </c>
      <c r="E517">
        <v>1</v>
      </c>
      <c r="F517">
        <v>1</v>
      </c>
      <c r="G517">
        <v>15514512</v>
      </c>
      <c r="H517">
        <v>3</v>
      </c>
      <c r="I517" t="s">
        <v>912</v>
      </c>
      <c r="J517" t="s">
        <v>913</v>
      </c>
      <c r="K517" t="s">
        <v>914</v>
      </c>
      <c r="L517">
        <v>1346</v>
      </c>
      <c r="N517">
        <v>1009</v>
      </c>
      <c r="O517" t="s">
        <v>898</v>
      </c>
      <c r="P517" t="s">
        <v>898</v>
      </c>
      <c r="Q517">
        <v>1</v>
      </c>
      <c r="X517">
        <v>0.2</v>
      </c>
      <c r="Y517">
        <v>31.49</v>
      </c>
      <c r="Z517">
        <v>0</v>
      </c>
      <c r="AA517">
        <v>0</v>
      </c>
      <c r="AB517">
        <v>0</v>
      </c>
      <c r="AC517">
        <v>0</v>
      </c>
      <c r="AD517">
        <v>1</v>
      </c>
      <c r="AE517">
        <v>0</v>
      </c>
      <c r="AF517" t="s">
        <v>3</v>
      </c>
      <c r="AG517">
        <v>0.2</v>
      </c>
      <c r="AH517">
        <v>3</v>
      </c>
      <c r="AI517">
        <v>-1</v>
      </c>
      <c r="AJ517" t="s">
        <v>3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</row>
    <row r="518" spans="1:44" x14ac:dyDescent="0.2">
      <c r="A518">
        <f>ROW(Source!A606)</f>
        <v>606</v>
      </c>
      <c r="B518">
        <v>1472512781</v>
      </c>
      <c r="C518">
        <v>1472498279</v>
      </c>
      <c r="D518">
        <v>1441834659</v>
      </c>
      <c r="E518">
        <v>1</v>
      </c>
      <c r="F518">
        <v>1</v>
      </c>
      <c r="G518">
        <v>15514512</v>
      </c>
      <c r="H518">
        <v>3</v>
      </c>
      <c r="I518" t="s">
        <v>1039</v>
      </c>
      <c r="J518" t="s">
        <v>1040</v>
      </c>
      <c r="K518" t="s">
        <v>1041</v>
      </c>
      <c r="L518">
        <v>1348</v>
      </c>
      <c r="N518">
        <v>1009</v>
      </c>
      <c r="O518" t="s">
        <v>905</v>
      </c>
      <c r="P518" t="s">
        <v>905</v>
      </c>
      <c r="Q518">
        <v>1000</v>
      </c>
      <c r="X518">
        <v>1.4999999999999999E-4</v>
      </c>
      <c r="Y518">
        <v>113415.03999999999</v>
      </c>
      <c r="Z518">
        <v>0</v>
      </c>
      <c r="AA518">
        <v>0</v>
      </c>
      <c r="AB518">
        <v>0</v>
      </c>
      <c r="AC518">
        <v>0</v>
      </c>
      <c r="AD518">
        <v>1</v>
      </c>
      <c r="AE518">
        <v>0</v>
      </c>
      <c r="AF518" t="s">
        <v>3</v>
      </c>
      <c r="AG518">
        <v>1.4999999999999999E-4</v>
      </c>
      <c r="AH518">
        <v>3</v>
      </c>
      <c r="AI518">
        <v>-1</v>
      </c>
      <c r="AJ518" t="s">
        <v>3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</row>
    <row r="519" spans="1:44" x14ac:dyDescent="0.2">
      <c r="A519">
        <f>ROW(Source!A606)</f>
        <v>606</v>
      </c>
      <c r="B519">
        <v>1472512782</v>
      </c>
      <c r="C519">
        <v>1472498279</v>
      </c>
      <c r="D519">
        <v>1441852762</v>
      </c>
      <c r="E519">
        <v>1</v>
      </c>
      <c r="F519">
        <v>1</v>
      </c>
      <c r="G519">
        <v>15514512</v>
      </c>
      <c r="H519">
        <v>3</v>
      </c>
      <c r="I519" t="s">
        <v>1042</v>
      </c>
      <c r="J519" t="s">
        <v>1043</v>
      </c>
      <c r="K519" t="s">
        <v>1044</v>
      </c>
      <c r="L519">
        <v>1355</v>
      </c>
      <c r="N519">
        <v>16987630</v>
      </c>
      <c r="O519" t="s">
        <v>141</v>
      </c>
      <c r="P519" t="s">
        <v>141</v>
      </c>
      <c r="Q519">
        <v>100</v>
      </c>
      <c r="X519">
        <v>0.5</v>
      </c>
      <c r="Y519">
        <v>214.54</v>
      </c>
      <c r="Z519">
        <v>0</v>
      </c>
      <c r="AA519">
        <v>0</v>
      </c>
      <c r="AB519">
        <v>0</v>
      </c>
      <c r="AC519">
        <v>0</v>
      </c>
      <c r="AD519">
        <v>1</v>
      </c>
      <c r="AE519">
        <v>0</v>
      </c>
      <c r="AF519" t="s">
        <v>3</v>
      </c>
      <c r="AG519">
        <v>0.5</v>
      </c>
      <c r="AH519">
        <v>3</v>
      </c>
      <c r="AI519">
        <v>-1</v>
      </c>
      <c r="AJ519" t="s">
        <v>3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</row>
    <row r="520" spans="1:44" x14ac:dyDescent="0.2">
      <c r="A520">
        <f>ROW(Source!A607)</f>
        <v>607</v>
      </c>
      <c r="B520">
        <v>1472512788</v>
      </c>
      <c r="C520">
        <v>1472498303</v>
      </c>
      <c r="D520">
        <v>1441819193</v>
      </c>
      <c r="E520">
        <v>15514512</v>
      </c>
      <c r="F520">
        <v>1</v>
      </c>
      <c r="G520">
        <v>15514512</v>
      </c>
      <c r="H520">
        <v>1</v>
      </c>
      <c r="I520" t="s">
        <v>885</v>
      </c>
      <c r="J520" t="s">
        <v>3</v>
      </c>
      <c r="K520" t="s">
        <v>886</v>
      </c>
      <c r="L520">
        <v>1191</v>
      </c>
      <c r="N520">
        <v>1013</v>
      </c>
      <c r="O520" t="s">
        <v>887</v>
      </c>
      <c r="P520" t="s">
        <v>887</v>
      </c>
      <c r="Q520">
        <v>1</v>
      </c>
      <c r="X520">
        <v>34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1</v>
      </c>
      <c r="AE520">
        <v>1</v>
      </c>
      <c r="AF520" t="s">
        <v>477</v>
      </c>
      <c r="AG520">
        <v>11.333333333333334</v>
      </c>
      <c r="AH520">
        <v>3</v>
      </c>
      <c r="AI520">
        <v>-1</v>
      </c>
      <c r="AJ520" t="s">
        <v>3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</row>
    <row r="521" spans="1:44" x14ac:dyDescent="0.2">
      <c r="A521">
        <f>ROW(Source!A607)</f>
        <v>607</v>
      </c>
      <c r="B521">
        <v>1472512789</v>
      </c>
      <c r="C521">
        <v>1472498303</v>
      </c>
      <c r="D521">
        <v>1441835475</v>
      </c>
      <c r="E521">
        <v>1</v>
      </c>
      <c r="F521">
        <v>1</v>
      </c>
      <c r="G521">
        <v>15514512</v>
      </c>
      <c r="H521">
        <v>3</v>
      </c>
      <c r="I521" t="s">
        <v>978</v>
      </c>
      <c r="J521" t="s">
        <v>979</v>
      </c>
      <c r="K521" t="s">
        <v>980</v>
      </c>
      <c r="L521">
        <v>1348</v>
      </c>
      <c r="N521">
        <v>1009</v>
      </c>
      <c r="O521" t="s">
        <v>905</v>
      </c>
      <c r="P521" t="s">
        <v>905</v>
      </c>
      <c r="Q521">
        <v>1000</v>
      </c>
      <c r="X521">
        <v>5.0000000000000001E-4</v>
      </c>
      <c r="Y521">
        <v>155908.07999999999</v>
      </c>
      <c r="Z521">
        <v>0</v>
      </c>
      <c r="AA521">
        <v>0</v>
      </c>
      <c r="AB521">
        <v>0</v>
      </c>
      <c r="AC521">
        <v>0</v>
      </c>
      <c r="AD521">
        <v>1</v>
      </c>
      <c r="AE521">
        <v>0</v>
      </c>
      <c r="AF521" t="s">
        <v>477</v>
      </c>
      <c r="AG521">
        <v>1.6666666666666666E-4</v>
      </c>
      <c r="AH521">
        <v>3</v>
      </c>
      <c r="AI521">
        <v>-1</v>
      </c>
      <c r="AJ521" t="s">
        <v>3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</row>
    <row r="522" spans="1:44" x14ac:dyDescent="0.2">
      <c r="A522">
        <f>ROW(Source!A607)</f>
        <v>607</v>
      </c>
      <c r="B522">
        <v>1472512790</v>
      </c>
      <c r="C522">
        <v>1472498303</v>
      </c>
      <c r="D522">
        <v>1441835549</v>
      </c>
      <c r="E522">
        <v>1</v>
      </c>
      <c r="F522">
        <v>1</v>
      </c>
      <c r="G522">
        <v>15514512</v>
      </c>
      <c r="H522">
        <v>3</v>
      </c>
      <c r="I522" t="s">
        <v>981</v>
      </c>
      <c r="J522" t="s">
        <v>982</v>
      </c>
      <c r="K522" t="s">
        <v>983</v>
      </c>
      <c r="L522">
        <v>1348</v>
      </c>
      <c r="N522">
        <v>1009</v>
      </c>
      <c r="O522" t="s">
        <v>905</v>
      </c>
      <c r="P522" t="s">
        <v>905</v>
      </c>
      <c r="Q522">
        <v>1000</v>
      </c>
      <c r="X522">
        <v>1E-4</v>
      </c>
      <c r="Y522">
        <v>194655.19</v>
      </c>
      <c r="Z522">
        <v>0</v>
      </c>
      <c r="AA522">
        <v>0</v>
      </c>
      <c r="AB522">
        <v>0</v>
      </c>
      <c r="AC522">
        <v>0</v>
      </c>
      <c r="AD522">
        <v>1</v>
      </c>
      <c r="AE522">
        <v>0</v>
      </c>
      <c r="AF522" t="s">
        <v>477</v>
      </c>
      <c r="AG522">
        <v>3.3333333333333335E-5</v>
      </c>
      <c r="AH522">
        <v>3</v>
      </c>
      <c r="AI522">
        <v>-1</v>
      </c>
      <c r="AJ522" t="s">
        <v>3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</row>
    <row r="523" spans="1:44" x14ac:dyDescent="0.2">
      <c r="A523">
        <f>ROW(Source!A607)</f>
        <v>607</v>
      </c>
      <c r="B523">
        <v>1472512791</v>
      </c>
      <c r="C523">
        <v>1472498303</v>
      </c>
      <c r="D523">
        <v>1441838531</v>
      </c>
      <c r="E523">
        <v>1</v>
      </c>
      <c r="F523">
        <v>1</v>
      </c>
      <c r="G523">
        <v>15514512</v>
      </c>
      <c r="H523">
        <v>3</v>
      </c>
      <c r="I523" t="s">
        <v>987</v>
      </c>
      <c r="J523" t="s">
        <v>988</v>
      </c>
      <c r="K523" t="s">
        <v>989</v>
      </c>
      <c r="L523">
        <v>1348</v>
      </c>
      <c r="N523">
        <v>1009</v>
      </c>
      <c r="O523" t="s">
        <v>905</v>
      </c>
      <c r="P523" t="s">
        <v>905</v>
      </c>
      <c r="Q523">
        <v>1000</v>
      </c>
      <c r="X523">
        <v>1.1999999999999999E-3</v>
      </c>
      <c r="Y523">
        <v>370783.55</v>
      </c>
      <c r="Z523">
        <v>0</v>
      </c>
      <c r="AA523">
        <v>0</v>
      </c>
      <c r="AB523">
        <v>0</v>
      </c>
      <c r="AC523">
        <v>0</v>
      </c>
      <c r="AD523">
        <v>1</v>
      </c>
      <c r="AE523">
        <v>0</v>
      </c>
      <c r="AF523" t="s">
        <v>477</v>
      </c>
      <c r="AG523">
        <v>3.9999999999999996E-4</v>
      </c>
      <c r="AH523">
        <v>3</v>
      </c>
      <c r="AI523">
        <v>-1</v>
      </c>
      <c r="AJ523" t="s">
        <v>3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</row>
    <row r="524" spans="1:44" x14ac:dyDescent="0.2">
      <c r="A524">
        <f>ROW(Source!A607)</f>
        <v>607</v>
      </c>
      <c r="B524">
        <v>1472512792</v>
      </c>
      <c r="C524">
        <v>1472498303</v>
      </c>
      <c r="D524">
        <v>1441834671</v>
      </c>
      <c r="E524">
        <v>1</v>
      </c>
      <c r="F524">
        <v>1</v>
      </c>
      <c r="G524">
        <v>15514512</v>
      </c>
      <c r="H524">
        <v>3</v>
      </c>
      <c r="I524" t="s">
        <v>999</v>
      </c>
      <c r="J524" t="s">
        <v>1000</v>
      </c>
      <c r="K524" t="s">
        <v>1001</v>
      </c>
      <c r="L524">
        <v>1348</v>
      </c>
      <c r="N524">
        <v>1009</v>
      </c>
      <c r="O524" t="s">
        <v>905</v>
      </c>
      <c r="P524" t="s">
        <v>905</v>
      </c>
      <c r="Q524">
        <v>1000</v>
      </c>
      <c r="X524">
        <v>5.0000000000000001E-4</v>
      </c>
      <c r="Y524">
        <v>184462.17</v>
      </c>
      <c r="Z524">
        <v>0</v>
      </c>
      <c r="AA524">
        <v>0</v>
      </c>
      <c r="AB524">
        <v>0</v>
      </c>
      <c r="AC524">
        <v>0</v>
      </c>
      <c r="AD524">
        <v>1</v>
      </c>
      <c r="AE524">
        <v>0</v>
      </c>
      <c r="AF524" t="s">
        <v>477</v>
      </c>
      <c r="AG524">
        <v>1.6666666666666666E-4</v>
      </c>
      <c r="AH524">
        <v>3</v>
      </c>
      <c r="AI524">
        <v>-1</v>
      </c>
      <c r="AJ524" t="s">
        <v>3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</row>
    <row r="525" spans="1:44" x14ac:dyDescent="0.2">
      <c r="A525">
        <f>ROW(Source!A607)</f>
        <v>607</v>
      </c>
      <c r="B525">
        <v>1472512793</v>
      </c>
      <c r="C525">
        <v>1472498303</v>
      </c>
      <c r="D525">
        <v>1441834634</v>
      </c>
      <c r="E525">
        <v>1</v>
      </c>
      <c r="F525">
        <v>1</v>
      </c>
      <c r="G525">
        <v>15514512</v>
      </c>
      <c r="H525">
        <v>3</v>
      </c>
      <c r="I525" t="s">
        <v>1002</v>
      </c>
      <c r="J525" t="s">
        <v>1003</v>
      </c>
      <c r="K525" t="s">
        <v>1004</v>
      </c>
      <c r="L525">
        <v>1348</v>
      </c>
      <c r="N525">
        <v>1009</v>
      </c>
      <c r="O525" t="s">
        <v>905</v>
      </c>
      <c r="P525" t="s">
        <v>905</v>
      </c>
      <c r="Q525">
        <v>1000</v>
      </c>
      <c r="X525">
        <v>1.1000000000000001E-3</v>
      </c>
      <c r="Y525">
        <v>88053.759999999995</v>
      </c>
      <c r="Z525">
        <v>0</v>
      </c>
      <c r="AA525">
        <v>0</v>
      </c>
      <c r="AB525">
        <v>0</v>
      </c>
      <c r="AC525">
        <v>0</v>
      </c>
      <c r="AD525">
        <v>1</v>
      </c>
      <c r="AE525">
        <v>0</v>
      </c>
      <c r="AF525" t="s">
        <v>477</v>
      </c>
      <c r="AG525">
        <v>3.6666666666666667E-4</v>
      </c>
      <c r="AH525">
        <v>3</v>
      </c>
      <c r="AI525">
        <v>-1</v>
      </c>
      <c r="AJ525" t="s">
        <v>3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</row>
    <row r="526" spans="1:44" x14ac:dyDescent="0.2">
      <c r="A526">
        <f>ROW(Source!A607)</f>
        <v>607</v>
      </c>
      <c r="B526">
        <v>1472512794</v>
      </c>
      <c r="C526">
        <v>1472498303</v>
      </c>
      <c r="D526">
        <v>1441834836</v>
      </c>
      <c r="E526">
        <v>1</v>
      </c>
      <c r="F526">
        <v>1</v>
      </c>
      <c r="G526">
        <v>15514512</v>
      </c>
      <c r="H526">
        <v>3</v>
      </c>
      <c r="I526" t="s">
        <v>1005</v>
      </c>
      <c r="J526" t="s">
        <v>1006</v>
      </c>
      <c r="K526" t="s">
        <v>1007</v>
      </c>
      <c r="L526">
        <v>1348</v>
      </c>
      <c r="N526">
        <v>1009</v>
      </c>
      <c r="O526" t="s">
        <v>905</v>
      </c>
      <c r="P526" t="s">
        <v>905</v>
      </c>
      <c r="Q526">
        <v>1000</v>
      </c>
      <c r="X526">
        <v>5.4000000000000001E-4</v>
      </c>
      <c r="Y526">
        <v>93194.67</v>
      </c>
      <c r="Z526">
        <v>0</v>
      </c>
      <c r="AA526">
        <v>0</v>
      </c>
      <c r="AB526">
        <v>0</v>
      </c>
      <c r="AC526">
        <v>0</v>
      </c>
      <c r="AD526">
        <v>1</v>
      </c>
      <c r="AE526">
        <v>0</v>
      </c>
      <c r="AF526" t="s">
        <v>477</v>
      </c>
      <c r="AG526">
        <v>1.8000000000000001E-4</v>
      </c>
      <c r="AH526">
        <v>3</v>
      </c>
      <c r="AI526">
        <v>-1</v>
      </c>
      <c r="AJ526" t="s">
        <v>3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</row>
    <row r="527" spans="1:44" x14ac:dyDescent="0.2">
      <c r="A527">
        <f>ROW(Source!A607)</f>
        <v>607</v>
      </c>
      <c r="B527">
        <v>1472512795</v>
      </c>
      <c r="C527">
        <v>1472498303</v>
      </c>
      <c r="D527">
        <v>1441822273</v>
      </c>
      <c r="E527">
        <v>15514512</v>
      </c>
      <c r="F527">
        <v>1</v>
      </c>
      <c r="G527">
        <v>15514512</v>
      </c>
      <c r="H527">
        <v>3</v>
      </c>
      <c r="I527" t="s">
        <v>967</v>
      </c>
      <c r="J527" t="s">
        <v>3</v>
      </c>
      <c r="K527" t="s">
        <v>969</v>
      </c>
      <c r="L527">
        <v>1348</v>
      </c>
      <c r="N527">
        <v>1009</v>
      </c>
      <c r="O527" t="s">
        <v>905</v>
      </c>
      <c r="P527" t="s">
        <v>905</v>
      </c>
      <c r="Q527">
        <v>1000</v>
      </c>
      <c r="X527">
        <v>6.0000000000000002E-5</v>
      </c>
      <c r="Y527">
        <v>94640</v>
      </c>
      <c r="Z527">
        <v>0</v>
      </c>
      <c r="AA527">
        <v>0</v>
      </c>
      <c r="AB527">
        <v>0</v>
      </c>
      <c r="AC527">
        <v>0</v>
      </c>
      <c r="AD527">
        <v>1</v>
      </c>
      <c r="AE527">
        <v>0</v>
      </c>
      <c r="AF527" t="s">
        <v>477</v>
      </c>
      <c r="AG527">
        <v>2.0000000000000002E-5</v>
      </c>
      <c r="AH527">
        <v>3</v>
      </c>
      <c r="AI527">
        <v>-1</v>
      </c>
      <c r="AJ527" t="s">
        <v>3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</row>
    <row r="528" spans="1:44" x14ac:dyDescent="0.2">
      <c r="A528">
        <f>ROW(Source!A608)</f>
        <v>608</v>
      </c>
      <c r="B528">
        <v>1472512814</v>
      </c>
      <c r="C528">
        <v>1472498353</v>
      </c>
      <c r="D528">
        <v>1441819193</v>
      </c>
      <c r="E528">
        <v>15514512</v>
      </c>
      <c r="F528">
        <v>1</v>
      </c>
      <c r="G528">
        <v>15514512</v>
      </c>
      <c r="H528">
        <v>1</v>
      </c>
      <c r="I528" t="s">
        <v>885</v>
      </c>
      <c r="J528" t="s">
        <v>3</v>
      </c>
      <c r="K528" t="s">
        <v>886</v>
      </c>
      <c r="L528">
        <v>1191</v>
      </c>
      <c r="N528">
        <v>1013</v>
      </c>
      <c r="O528" t="s">
        <v>887</v>
      </c>
      <c r="P528" t="s">
        <v>887</v>
      </c>
      <c r="Q528">
        <v>1</v>
      </c>
      <c r="X528">
        <v>40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1</v>
      </c>
      <c r="AE528">
        <v>1</v>
      </c>
      <c r="AF528" t="s">
        <v>477</v>
      </c>
      <c r="AG528">
        <v>13.333333333333334</v>
      </c>
      <c r="AH528">
        <v>3</v>
      </c>
      <c r="AI528">
        <v>-1</v>
      </c>
      <c r="AJ528" t="s">
        <v>3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</row>
    <row r="529" spans="1:44" x14ac:dyDescent="0.2">
      <c r="A529">
        <f>ROW(Source!A608)</f>
        <v>608</v>
      </c>
      <c r="B529">
        <v>1472512815</v>
      </c>
      <c r="C529">
        <v>1472498353</v>
      </c>
      <c r="D529">
        <v>1441835475</v>
      </c>
      <c r="E529">
        <v>1</v>
      </c>
      <c r="F529">
        <v>1</v>
      </c>
      <c r="G529">
        <v>15514512</v>
      </c>
      <c r="H529">
        <v>3</v>
      </c>
      <c r="I529" t="s">
        <v>978</v>
      </c>
      <c r="J529" t="s">
        <v>979</v>
      </c>
      <c r="K529" t="s">
        <v>980</v>
      </c>
      <c r="L529">
        <v>1348</v>
      </c>
      <c r="N529">
        <v>1009</v>
      </c>
      <c r="O529" t="s">
        <v>905</v>
      </c>
      <c r="P529" t="s">
        <v>905</v>
      </c>
      <c r="Q529">
        <v>1000</v>
      </c>
      <c r="X529">
        <v>5.0000000000000001E-4</v>
      </c>
      <c r="Y529">
        <v>155908.07999999999</v>
      </c>
      <c r="Z529">
        <v>0</v>
      </c>
      <c r="AA529">
        <v>0</v>
      </c>
      <c r="AB529">
        <v>0</v>
      </c>
      <c r="AC529">
        <v>0</v>
      </c>
      <c r="AD529">
        <v>1</v>
      </c>
      <c r="AE529">
        <v>0</v>
      </c>
      <c r="AF529" t="s">
        <v>477</v>
      </c>
      <c r="AG529">
        <v>1.6666666666666666E-4</v>
      </c>
      <c r="AH529">
        <v>3</v>
      </c>
      <c r="AI529">
        <v>-1</v>
      </c>
      <c r="AJ529" t="s">
        <v>3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</row>
    <row r="530" spans="1:44" x14ac:dyDescent="0.2">
      <c r="A530">
        <f>ROW(Source!A608)</f>
        <v>608</v>
      </c>
      <c r="B530">
        <v>1472512816</v>
      </c>
      <c r="C530">
        <v>1472498353</v>
      </c>
      <c r="D530">
        <v>1441835549</v>
      </c>
      <c r="E530">
        <v>1</v>
      </c>
      <c r="F530">
        <v>1</v>
      </c>
      <c r="G530">
        <v>15514512</v>
      </c>
      <c r="H530">
        <v>3</v>
      </c>
      <c r="I530" t="s">
        <v>981</v>
      </c>
      <c r="J530" t="s">
        <v>982</v>
      </c>
      <c r="K530" t="s">
        <v>983</v>
      </c>
      <c r="L530">
        <v>1348</v>
      </c>
      <c r="N530">
        <v>1009</v>
      </c>
      <c r="O530" t="s">
        <v>905</v>
      </c>
      <c r="P530" t="s">
        <v>905</v>
      </c>
      <c r="Q530">
        <v>1000</v>
      </c>
      <c r="X530">
        <v>1E-4</v>
      </c>
      <c r="Y530">
        <v>194655.19</v>
      </c>
      <c r="Z530">
        <v>0</v>
      </c>
      <c r="AA530">
        <v>0</v>
      </c>
      <c r="AB530">
        <v>0</v>
      </c>
      <c r="AC530">
        <v>0</v>
      </c>
      <c r="AD530">
        <v>1</v>
      </c>
      <c r="AE530">
        <v>0</v>
      </c>
      <c r="AF530" t="s">
        <v>477</v>
      </c>
      <c r="AG530">
        <v>3.3333333333333335E-5</v>
      </c>
      <c r="AH530">
        <v>3</v>
      </c>
      <c r="AI530">
        <v>-1</v>
      </c>
      <c r="AJ530" t="s">
        <v>3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</row>
    <row r="531" spans="1:44" x14ac:dyDescent="0.2">
      <c r="A531">
        <f>ROW(Source!A608)</f>
        <v>608</v>
      </c>
      <c r="B531">
        <v>1472512817</v>
      </c>
      <c r="C531">
        <v>1472498353</v>
      </c>
      <c r="D531">
        <v>1441838531</v>
      </c>
      <c r="E531">
        <v>1</v>
      </c>
      <c r="F531">
        <v>1</v>
      </c>
      <c r="G531">
        <v>15514512</v>
      </c>
      <c r="H531">
        <v>3</v>
      </c>
      <c r="I531" t="s">
        <v>987</v>
      </c>
      <c r="J531" t="s">
        <v>988</v>
      </c>
      <c r="K531" t="s">
        <v>989</v>
      </c>
      <c r="L531">
        <v>1348</v>
      </c>
      <c r="N531">
        <v>1009</v>
      </c>
      <c r="O531" t="s">
        <v>905</v>
      </c>
      <c r="P531" t="s">
        <v>905</v>
      </c>
      <c r="Q531">
        <v>1000</v>
      </c>
      <c r="X531">
        <v>1.6000000000000001E-3</v>
      </c>
      <c r="Y531">
        <v>370783.55</v>
      </c>
      <c r="Z531">
        <v>0</v>
      </c>
      <c r="AA531">
        <v>0</v>
      </c>
      <c r="AB531">
        <v>0</v>
      </c>
      <c r="AC531">
        <v>0</v>
      </c>
      <c r="AD531">
        <v>1</v>
      </c>
      <c r="AE531">
        <v>0</v>
      </c>
      <c r="AF531" t="s">
        <v>477</v>
      </c>
      <c r="AG531">
        <v>5.3333333333333336E-4</v>
      </c>
      <c r="AH531">
        <v>3</v>
      </c>
      <c r="AI531">
        <v>-1</v>
      </c>
      <c r="AJ531" t="s">
        <v>3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</row>
    <row r="532" spans="1:44" x14ac:dyDescent="0.2">
      <c r="A532">
        <f>ROW(Source!A608)</f>
        <v>608</v>
      </c>
      <c r="B532">
        <v>1472512818</v>
      </c>
      <c r="C532">
        <v>1472498353</v>
      </c>
      <c r="D532">
        <v>1441834671</v>
      </c>
      <c r="E532">
        <v>1</v>
      </c>
      <c r="F532">
        <v>1</v>
      </c>
      <c r="G532">
        <v>15514512</v>
      </c>
      <c r="H532">
        <v>3</v>
      </c>
      <c r="I532" t="s">
        <v>999</v>
      </c>
      <c r="J532" t="s">
        <v>1000</v>
      </c>
      <c r="K532" t="s">
        <v>1001</v>
      </c>
      <c r="L532">
        <v>1348</v>
      </c>
      <c r="N532">
        <v>1009</v>
      </c>
      <c r="O532" t="s">
        <v>905</v>
      </c>
      <c r="P532" t="s">
        <v>905</v>
      </c>
      <c r="Q532">
        <v>1000</v>
      </c>
      <c r="X532">
        <v>5.0000000000000001E-4</v>
      </c>
      <c r="Y532">
        <v>184462.17</v>
      </c>
      <c r="Z532">
        <v>0</v>
      </c>
      <c r="AA532">
        <v>0</v>
      </c>
      <c r="AB532">
        <v>0</v>
      </c>
      <c r="AC532">
        <v>0</v>
      </c>
      <c r="AD532">
        <v>1</v>
      </c>
      <c r="AE532">
        <v>0</v>
      </c>
      <c r="AF532" t="s">
        <v>477</v>
      </c>
      <c r="AG532">
        <v>1.6666666666666666E-4</v>
      </c>
      <c r="AH532">
        <v>3</v>
      </c>
      <c r="AI532">
        <v>-1</v>
      </c>
      <c r="AJ532" t="s">
        <v>3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</row>
    <row r="533" spans="1:44" x14ac:dyDescent="0.2">
      <c r="A533">
        <f>ROW(Source!A608)</f>
        <v>608</v>
      </c>
      <c r="B533">
        <v>1472512819</v>
      </c>
      <c r="C533">
        <v>1472498353</v>
      </c>
      <c r="D533">
        <v>1441834634</v>
      </c>
      <c r="E533">
        <v>1</v>
      </c>
      <c r="F533">
        <v>1</v>
      </c>
      <c r="G533">
        <v>15514512</v>
      </c>
      <c r="H533">
        <v>3</v>
      </c>
      <c r="I533" t="s">
        <v>1002</v>
      </c>
      <c r="J533" t="s">
        <v>1003</v>
      </c>
      <c r="K533" t="s">
        <v>1004</v>
      </c>
      <c r="L533">
        <v>1348</v>
      </c>
      <c r="N533">
        <v>1009</v>
      </c>
      <c r="O533" t="s">
        <v>905</v>
      </c>
      <c r="P533" t="s">
        <v>905</v>
      </c>
      <c r="Q533">
        <v>1000</v>
      </c>
      <c r="X533">
        <v>1.1000000000000001E-3</v>
      </c>
      <c r="Y533">
        <v>88053.759999999995</v>
      </c>
      <c r="Z533">
        <v>0</v>
      </c>
      <c r="AA533">
        <v>0</v>
      </c>
      <c r="AB533">
        <v>0</v>
      </c>
      <c r="AC533">
        <v>0</v>
      </c>
      <c r="AD533">
        <v>1</v>
      </c>
      <c r="AE533">
        <v>0</v>
      </c>
      <c r="AF533" t="s">
        <v>477</v>
      </c>
      <c r="AG533">
        <v>3.6666666666666667E-4</v>
      </c>
      <c r="AH533">
        <v>3</v>
      </c>
      <c r="AI533">
        <v>-1</v>
      </c>
      <c r="AJ533" t="s">
        <v>3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</row>
    <row r="534" spans="1:44" x14ac:dyDescent="0.2">
      <c r="A534">
        <f>ROW(Source!A608)</f>
        <v>608</v>
      </c>
      <c r="B534">
        <v>1472512820</v>
      </c>
      <c r="C534">
        <v>1472498353</v>
      </c>
      <c r="D534">
        <v>1441834836</v>
      </c>
      <c r="E534">
        <v>1</v>
      </c>
      <c r="F534">
        <v>1</v>
      </c>
      <c r="G534">
        <v>15514512</v>
      </c>
      <c r="H534">
        <v>3</v>
      </c>
      <c r="I534" t="s">
        <v>1005</v>
      </c>
      <c r="J534" t="s">
        <v>1006</v>
      </c>
      <c r="K534" t="s">
        <v>1007</v>
      </c>
      <c r="L534">
        <v>1348</v>
      </c>
      <c r="N534">
        <v>1009</v>
      </c>
      <c r="O534" t="s">
        <v>905</v>
      </c>
      <c r="P534" t="s">
        <v>905</v>
      </c>
      <c r="Q534">
        <v>1000</v>
      </c>
      <c r="X534">
        <v>5.4000000000000001E-4</v>
      </c>
      <c r="Y534">
        <v>93194.67</v>
      </c>
      <c r="Z534">
        <v>0</v>
      </c>
      <c r="AA534">
        <v>0</v>
      </c>
      <c r="AB534">
        <v>0</v>
      </c>
      <c r="AC534">
        <v>0</v>
      </c>
      <c r="AD534">
        <v>1</v>
      </c>
      <c r="AE534">
        <v>0</v>
      </c>
      <c r="AF534" t="s">
        <v>477</v>
      </c>
      <c r="AG534">
        <v>1.8000000000000001E-4</v>
      </c>
      <c r="AH534">
        <v>3</v>
      </c>
      <c r="AI534">
        <v>-1</v>
      </c>
      <c r="AJ534" t="s">
        <v>3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</row>
    <row r="535" spans="1:44" x14ac:dyDescent="0.2">
      <c r="A535">
        <f>ROW(Source!A608)</f>
        <v>608</v>
      </c>
      <c r="B535">
        <v>1472512821</v>
      </c>
      <c r="C535">
        <v>1472498353</v>
      </c>
      <c r="D535">
        <v>1441822273</v>
      </c>
      <c r="E535">
        <v>15514512</v>
      </c>
      <c r="F535">
        <v>1</v>
      </c>
      <c r="G535">
        <v>15514512</v>
      </c>
      <c r="H535">
        <v>3</v>
      </c>
      <c r="I535" t="s">
        <v>967</v>
      </c>
      <c r="J535" t="s">
        <v>3</v>
      </c>
      <c r="K535" t="s">
        <v>969</v>
      </c>
      <c r="L535">
        <v>1348</v>
      </c>
      <c r="N535">
        <v>1009</v>
      </c>
      <c r="O535" t="s">
        <v>905</v>
      </c>
      <c r="P535" t="s">
        <v>905</v>
      </c>
      <c r="Q535">
        <v>1000</v>
      </c>
      <c r="X535">
        <v>6.0000000000000002E-5</v>
      </c>
      <c r="Y535">
        <v>94640</v>
      </c>
      <c r="Z535">
        <v>0</v>
      </c>
      <c r="AA535">
        <v>0</v>
      </c>
      <c r="AB535">
        <v>0</v>
      </c>
      <c r="AC535">
        <v>0</v>
      </c>
      <c r="AD535">
        <v>1</v>
      </c>
      <c r="AE535">
        <v>0</v>
      </c>
      <c r="AF535" t="s">
        <v>477</v>
      </c>
      <c r="AG535">
        <v>2.0000000000000002E-5</v>
      </c>
      <c r="AH535">
        <v>3</v>
      </c>
      <c r="AI535">
        <v>-1</v>
      </c>
      <c r="AJ535" t="s">
        <v>3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</row>
    <row r="536" spans="1:44" x14ac:dyDescent="0.2">
      <c r="A536">
        <f>ROW(Source!A609)</f>
        <v>609</v>
      </c>
      <c r="B536">
        <v>1472512848</v>
      </c>
      <c r="C536">
        <v>1472498394</v>
      </c>
      <c r="D536">
        <v>1441819193</v>
      </c>
      <c r="E536">
        <v>15514512</v>
      </c>
      <c r="F536">
        <v>1</v>
      </c>
      <c r="G536">
        <v>15514512</v>
      </c>
      <c r="H536">
        <v>1</v>
      </c>
      <c r="I536" t="s">
        <v>885</v>
      </c>
      <c r="J536" t="s">
        <v>3</v>
      </c>
      <c r="K536" t="s">
        <v>886</v>
      </c>
      <c r="L536">
        <v>1191</v>
      </c>
      <c r="N536">
        <v>1013</v>
      </c>
      <c r="O536" t="s">
        <v>887</v>
      </c>
      <c r="P536" t="s">
        <v>887</v>
      </c>
      <c r="Q536">
        <v>1</v>
      </c>
      <c r="X536">
        <v>0.57999999999999996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1</v>
      </c>
      <c r="AE536">
        <v>1</v>
      </c>
      <c r="AF536" t="s">
        <v>3</v>
      </c>
      <c r="AG536">
        <v>0.57999999999999996</v>
      </c>
      <c r="AH536">
        <v>3</v>
      </c>
      <c r="AI536">
        <v>-1</v>
      </c>
      <c r="AJ536" t="s">
        <v>3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</row>
    <row r="537" spans="1:44" x14ac:dyDescent="0.2">
      <c r="A537">
        <f>ROW(Source!A609)</f>
        <v>609</v>
      </c>
      <c r="B537">
        <v>1472512849</v>
      </c>
      <c r="C537">
        <v>1472498394</v>
      </c>
      <c r="D537">
        <v>1441836235</v>
      </c>
      <c r="E537">
        <v>1</v>
      </c>
      <c r="F537">
        <v>1</v>
      </c>
      <c r="G537">
        <v>15514512</v>
      </c>
      <c r="H537">
        <v>3</v>
      </c>
      <c r="I537" t="s">
        <v>912</v>
      </c>
      <c r="J537" t="s">
        <v>913</v>
      </c>
      <c r="K537" t="s">
        <v>914</v>
      </c>
      <c r="L537">
        <v>1346</v>
      </c>
      <c r="N537">
        <v>1009</v>
      </c>
      <c r="O537" t="s">
        <v>898</v>
      </c>
      <c r="P537" t="s">
        <v>898</v>
      </c>
      <c r="Q537">
        <v>1</v>
      </c>
      <c r="X537">
        <v>0.02</v>
      </c>
      <c r="Y537">
        <v>31.49</v>
      </c>
      <c r="Z537">
        <v>0</v>
      </c>
      <c r="AA537">
        <v>0</v>
      </c>
      <c r="AB537">
        <v>0</v>
      </c>
      <c r="AC537">
        <v>0</v>
      </c>
      <c r="AD537">
        <v>1</v>
      </c>
      <c r="AE537">
        <v>0</v>
      </c>
      <c r="AF537" t="s">
        <v>3</v>
      </c>
      <c r="AG537">
        <v>0.02</v>
      </c>
      <c r="AH537">
        <v>3</v>
      </c>
      <c r="AI537">
        <v>-1</v>
      </c>
      <c r="AJ537" t="s">
        <v>3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</row>
    <row r="538" spans="1:44" x14ac:dyDescent="0.2">
      <c r="A538">
        <f>ROW(Source!A610)</f>
        <v>610</v>
      </c>
      <c r="B538">
        <v>1472512855</v>
      </c>
      <c r="C538">
        <v>1472498403</v>
      </c>
      <c r="D538">
        <v>1441819193</v>
      </c>
      <c r="E538">
        <v>15514512</v>
      </c>
      <c r="F538">
        <v>1</v>
      </c>
      <c r="G538">
        <v>15514512</v>
      </c>
      <c r="H538">
        <v>1</v>
      </c>
      <c r="I538" t="s">
        <v>885</v>
      </c>
      <c r="J538" t="s">
        <v>3</v>
      </c>
      <c r="K538" t="s">
        <v>886</v>
      </c>
      <c r="L538">
        <v>1191</v>
      </c>
      <c r="N538">
        <v>1013</v>
      </c>
      <c r="O538" t="s">
        <v>887</v>
      </c>
      <c r="P538" t="s">
        <v>887</v>
      </c>
      <c r="Q538">
        <v>1</v>
      </c>
      <c r="X538">
        <v>1.86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1</v>
      </c>
      <c r="AE538">
        <v>1</v>
      </c>
      <c r="AF538" t="s">
        <v>516</v>
      </c>
      <c r="AG538">
        <v>5.58</v>
      </c>
      <c r="AH538">
        <v>3</v>
      </c>
      <c r="AI538">
        <v>-1</v>
      </c>
      <c r="AJ538" t="s">
        <v>3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</row>
    <row r="539" spans="1:44" x14ac:dyDescent="0.2">
      <c r="A539">
        <f>ROW(Source!A610)</f>
        <v>610</v>
      </c>
      <c r="B539">
        <v>1472512856</v>
      </c>
      <c r="C539">
        <v>1472498403</v>
      </c>
      <c r="D539">
        <v>1441834146</v>
      </c>
      <c r="E539">
        <v>1</v>
      </c>
      <c r="F539">
        <v>1</v>
      </c>
      <c r="G539">
        <v>15514512</v>
      </c>
      <c r="H539">
        <v>2</v>
      </c>
      <c r="I539" t="s">
        <v>1036</v>
      </c>
      <c r="J539" t="s">
        <v>1037</v>
      </c>
      <c r="K539" t="s">
        <v>1038</v>
      </c>
      <c r="L539">
        <v>1368</v>
      </c>
      <c r="N539">
        <v>1011</v>
      </c>
      <c r="O539" t="s">
        <v>895</v>
      </c>
      <c r="P539" t="s">
        <v>895</v>
      </c>
      <c r="Q539">
        <v>1</v>
      </c>
      <c r="X539">
        <v>0.17</v>
      </c>
      <c r="Y539">
        <v>0</v>
      </c>
      <c r="Z539">
        <v>20.55</v>
      </c>
      <c r="AA539">
        <v>0.31</v>
      </c>
      <c r="AB539">
        <v>0</v>
      </c>
      <c r="AC539">
        <v>0</v>
      </c>
      <c r="AD539">
        <v>1</v>
      </c>
      <c r="AE539">
        <v>0</v>
      </c>
      <c r="AF539" t="s">
        <v>516</v>
      </c>
      <c r="AG539">
        <v>0.51</v>
      </c>
      <c r="AH539">
        <v>3</v>
      </c>
      <c r="AI539">
        <v>-1</v>
      </c>
      <c r="AJ539" t="s">
        <v>3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</row>
    <row r="540" spans="1:44" x14ac:dyDescent="0.2">
      <c r="A540">
        <f>ROW(Source!A610)</f>
        <v>610</v>
      </c>
      <c r="B540">
        <v>1472512857</v>
      </c>
      <c r="C540">
        <v>1472498403</v>
      </c>
      <c r="D540">
        <v>1441836235</v>
      </c>
      <c r="E540">
        <v>1</v>
      </c>
      <c r="F540">
        <v>1</v>
      </c>
      <c r="G540">
        <v>15514512</v>
      </c>
      <c r="H540">
        <v>3</v>
      </c>
      <c r="I540" t="s">
        <v>912</v>
      </c>
      <c r="J540" t="s">
        <v>913</v>
      </c>
      <c r="K540" t="s">
        <v>914</v>
      </c>
      <c r="L540">
        <v>1346</v>
      </c>
      <c r="N540">
        <v>1009</v>
      </c>
      <c r="O540" t="s">
        <v>898</v>
      </c>
      <c r="P540" t="s">
        <v>898</v>
      </c>
      <c r="Q540">
        <v>1</v>
      </c>
      <c r="X540">
        <v>0.03</v>
      </c>
      <c r="Y540">
        <v>31.49</v>
      </c>
      <c r="Z540">
        <v>0</v>
      </c>
      <c r="AA540">
        <v>0</v>
      </c>
      <c r="AB540">
        <v>0</v>
      </c>
      <c r="AC540">
        <v>0</v>
      </c>
      <c r="AD540">
        <v>1</v>
      </c>
      <c r="AE540">
        <v>0</v>
      </c>
      <c r="AF540" t="s">
        <v>516</v>
      </c>
      <c r="AG540">
        <v>0.09</v>
      </c>
      <c r="AH540">
        <v>3</v>
      </c>
      <c r="AI540">
        <v>-1</v>
      </c>
      <c r="AJ540" t="s">
        <v>3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</row>
    <row r="541" spans="1:44" x14ac:dyDescent="0.2">
      <c r="A541">
        <f>ROW(Source!A611)</f>
        <v>611</v>
      </c>
      <c r="B541">
        <v>1472512864</v>
      </c>
      <c r="C541">
        <v>1472498423</v>
      </c>
      <c r="D541">
        <v>1441819193</v>
      </c>
      <c r="E541">
        <v>15514512</v>
      </c>
      <c r="F541">
        <v>1</v>
      </c>
      <c r="G541">
        <v>15514512</v>
      </c>
      <c r="H541">
        <v>1</v>
      </c>
      <c r="I541" t="s">
        <v>885</v>
      </c>
      <c r="J541" t="s">
        <v>3</v>
      </c>
      <c r="K541" t="s">
        <v>886</v>
      </c>
      <c r="L541">
        <v>1191</v>
      </c>
      <c r="N541">
        <v>1013</v>
      </c>
      <c r="O541" t="s">
        <v>887</v>
      </c>
      <c r="P541" t="s">
        <v>887</v>
      </c>
      <c r="Q541">
        <v>1</v>
      </c>
      <c r="X541">
        <v>2.48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1</v>
      </c>
      <c r="AE541">
        <v>1</v>
      </c>
      <c r="AF541" t="s">
        <v>3</v>
      </c>
      <c r="AG541">
        <v>2.48</v>
      </c>
      <c r="AH541">
        <v>3</v>
      </c>
      <c r="AI541">
        <v>-1</v>
      </c>
      <c r="AJ541" t="s">
        <v>3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</row>
    <row r="542" spans="1:44" x14ac:dyDescent="0.2">
      <c r="A542">
        <f>ROW(Source!A611)</f>
        <v>611</v>
      </c>
      <c r="B542">
        <v>1472512865</v>
      </c>
      <c r="C542">
        <v>1472498423</v>
      </c>
      <c r="D542">
        <v>1441834146</v>
      </c>
      <c r="E542">
        <v>1</v>
      </c>
      <c r="F542">
        <v>1</v>
      </c>
      <c r="G542">
        <v>15514512</v>
      </c>
      <c r="H542">
        <v>2</v>
      </c>
      <c r="I542" t="s">
        <v>1036</v>
      </c>
      <c r="J542" t="s">
        <v>1037</v>
      </c>
      <c r="K542" t="s">
        <v>1038</v>
      </c>
      <c r="L542">
        <v>1368</v>
      </c>
      <c r="N542">
        <v>1011</v>
      </c>
      <c r="O542" t="s">
        <v>895</v>
      </c>
      <c r="P542" t="s">
        <v>895</v>
      </c>
      <c r="Q542">
        <v>1</v>
      </c>
      <c r="X542">
        <v>0.17</v>
      </c>
      <c r="Y542">
        <v>0</v>
      </c>
      <c r="Z542">
        <v>20.55</v>
      </c>
      <c r="AA542">
        <v>0.31</v>
      </c>
      <c r="AB542">
        <v>0</v>
      </c>
      <c r="AC542">
        <v>0</v>
      </c>
      <c r="AD542">
        <v>1</v>
      </c>
      <c r="AE542">
        <v>0</v>
      </c>
      <c r="AF542" t="s">
        <v>3</v>
      </c>
      <c r="AG542">
        <v>0.17</v>
      </c>
      <c r="AH542">
        <v>3</v>
      </c>
      <c r="AI542">
        <v>-1</v>
      </c>
      <c r="AJ542" t="s">
        <v>3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</row>
    <row r="543" spans="1:44" x14ac:dyDescent="0.2">
      <c r="A543">
        <f>ROW(Source!A611)</f>
        <v>611</v>
      </c>
      <c r="B543">
        <v>1472512866</v>
      </c>
      <c r="C543">
        <v>1472498423</v>
      </c>
      <c r="D543">
        <v>1441836235</v>
      </c>
      <c r="E543">
        <v>1</v>
      </c>
      <c r="F543">
        <v>1</v>
      </c>
      <c r="G543">
        <v>15514512</v>
      </c>
      <c r="H543">
        <v>3</v>
      </c>
      <c r="I543" t="s">
        <v>912</v>
      </c>
      <c r="J543" t="s">
        <v>913</v>
      </c>
      <c r="K543" t="s">
        <v>914</v>
      </c>
      <c r="L543">
        <v>1346</v>
      </c>
      <c r="N543">
        <v>1009</v>
      </c>
      <c r="O543" t="s">
        <v>898</v>
      </c>
      <c r="P543" t="s">
        <v>898</v>
      </c>
      <c r="Q543">
        <v>1</v>
      </c>
      <c r="X543">
        <v>0.03</v>
      </c>
      <c r="Y543">
        <v>31.49</v>
      </c>
      <c r="Z543">
        <v>0</v>
      </c>
      <c r="AA543">
        <v>0</v>
      </c>
      <c r="AB543">
        <v>0</v>
      </c>
      <c r="AC543">
        <v>0</v>
      </c>
      <c r="AD543">
        <v>1</v>
      </c>
      <c r="AE543">
        <v>0</v>
      </c>
      <c r="AF543" t="s">
        <v>3</v>
      </c>
      <c r="AG543">
        <v>0.03</v>
      </c>
      <c r="AH543">
        <v>3</v>
      </c>
      <c r="AI543">
        <v>-1</v>
      </c>
      <c r="AJ543" t="s">
        <v>3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</row>
    <row r="544" spans="1:44" x14ac:dyDescent="0.2">
      <c r="A544">
        <f>ROW(Source!A612)</f>
        <v>612</v>
      </c>
      <c r="B544">
        <v>1472512886</v>
      </c>
      <c r="C544">
        <v>1472498467</v>
      </c>
      <c r="D544">
        <v>1441819193</v>
      </c>
      <c r="E544">
        <v>15514512</v>
      </c>
      <c r="F544">
        <v>1</v>
      </c>
      <c r="G544">
        <v>15514512</v>
      </c>
      <c r="H544">
        <v>1</v>
      </c>
      <c r="I544" t="s">
        <v>885</v>
      </c>
      <c r="J544" t="s">
        <v>3</v>
      </c>
      <c r="K544" t="s">
        <v>886</v>
      </c>
      <c r="L544">
        <v>1191</v>
      </c>
      <c r="N544">
        <v>1013</v>
      </c>
      <c r="O544" t="s">
        <v>887</v>
      </c>
      <c r="P544" t="s">
        <v>887</v>
      </c>
      <c r="Q544">
        <v>1</v>
      </c>
      <c r="X544">
        <v>0.78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1</v>
      </c>
      <c r="AE544">
        <v>1</v>
      </c>
      <c r="AF544" t="s">
        <v>516</v>
      </c>
      <c r="AG544">
        <v>2.34</v>
      </c>
      <c r="AH544">
        <v>3</v>
      </c>
      <c r="AI544">
        <v>-1</v>
      </c>
      <c r="AJ544" t="s">
        <v>3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</row>
    <row r="545" spans="1:44" x14ac:dyDescent="0.2">
      <c r="A545">
        <f>ROW(Source!A612)</f>
        <v>612</v>
      </c>
      <c r="B545">
        <v>1472512888</v>
      </c>
      <c r="C545">
        <v>1472498467</v>
      </c>
      <c r="D545">
        <v>1441836235</v>
      </c>
      <c r="E545">
        <v>1</v>
      </c>
      <c r="F545">
        <v>1</v>
      </c>
      <c r="G545">
        <v>15514512</v>
      </c>
      <c r="H545">
        <v>3</v>
      </c>
      <c r="I545" t="s">
        <v>912</v>
      </c>
      <c r="J545" t="s">
        <v>913</v>
      </c>
      <c r="K545" t="s">
        <v>914</v>
      </c>
      <c r="L545">
        <v>1346</v>
      </c>
      <c r="N545">
        <v>1009</v>
      </c>
      <c r="O545" t="s">
        <v>898</v>
      </c>
      <c r="P545" t="s">
        <v>898</v>
      </c>
      <c r="Q545">
        <v>1</v>
      </c>
      <c r="X545">
        <v>0.01</v>
      </c>
      <c r="Y545">
        <v>31.49</v>
      </c>
      <c r="Z545">
        <v>0</v>
      </c>
      <c r="AA545">
        <v>0</v>
      </c>
      <c r="AB545">
        <v>0</v>
      </c>
      <c r="AC545">
        <v>0</v>
      </c>
      <c r="AD545">
        <v>1</v>
      </c>
      <c r="AE545">
        <v>0</v>
      </c>
      <c r="AF545" t="s">
        <v>516</v>
      </c>
      <c r="AG545">
        <v>0.03</v>
      </c>
      <c r="AH545">
        <v>3</v>
      </c>
      <c r="AI545">
        <v>-1</v>
      </c>
      <c r="AJ545" t="s">
        <v>3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</row>
    <row r="546" spans="1:44" x14ac:dyDescent="0.2">
      <c r="A546">
        <f>ROW(Source!A613)</f>
        <v>613</v>
      </c>
      <c r="B546">
        <v>1472512895</v>
      </c>
      <c r="C546">
        <v>1472498474</v>
      </c>
      <c r="D546">
        <v>1441819193</v>
      </c>
      <c r="E546">
        <v>15514512</v>
      </c>
      <c r="F546">
        <v>1</v>
      </c>
      <c r="G546">
        <v>15514512</v>
      </c>
      <c r="H546">
        <v>1</v>
      </c>
      <c r="I546" t="s">
        <v>885</v>
      </c>
      <c r="J546" t="s">
        <v>3</v>
      </c>
      <c r="K546" t="s">
        <v>886</v>
      </c>
      <c r="L546">
        <v>1191</v>
      </c>
      <c r="N546">
        <v>1013</v>
      </c>
      <c r="O546" t="s">
        <v>887</v>
      </c>
      <c r="P546" t="s">
        <v>887</v>
      </c>
      <c r="Q546">
        <v>1</v>
      </c>
      <c r="X546">
        <v>1.42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1</v>
      </c>
      <c r="AE546">
        <v>1</v>
      </c>
      <c r="AF546" t="s">
        <v>3</v>
      </c>
      <c r="AG546">
        <v>1.42</v>
      </c>
      <c r="AH546">
        <v>3</v>
      </c>
      <c r="AI546">
        <v>-1</v>
      </c>
      <c r="AJ546" t="s">
        <v>3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</row>
    <row r="547" spans="1:44" x14ac:dyDescent="0.2">
      <c r="A547">
        <f>ROW(Source!A613)</f>
        <v>613</v>
      </c>
      <c r="B547">
        <v>1472512896</v>
      </c>
      <c r="C547">
        <v>1472498474</v>
      </c>
      <c r="D547">
        <v>1441833954</v>
      </c>
      <c r="E547">
        <v>1</v>
      </c>
      <c r="F547">
        <v>1</v>
      </c>
      <c r="G547">
        <v>15514512</v>
      </c>
      <c r="H547">
        <v>2</v>
      </c>
      <c r="I547" t="s">
        <v>940</v>
      </c>
      <c r="J547" t="s">
        <v>941</v>
      </c>
      <c r="K547" t="s">
        <v>942</v>
      </c>
      <c r="L547">
        <v>1368</v>
      </c>
      <c r="N547">
        <v>1011</v>
      </c>
      <c r="O547" t="s">
        <v>895</v>
      </c>
      <c r="P547" t="s">
        <v>895</v>
      </c>
      <c r="Q547">
        <v>1</v>
      </c>
      <c r="X547">
        <v>0.03</v>
      </c>
      <c r="Y547">
        <v>0</v>
      </c>
      <c r="Z547">
        <v>59.51</v>
      </c>
      <c r="AA547">
        <v>0.82</v>
      </c>
      <c r="AB547">
        <v>0</v>
      </c>
      <c r="AC547">
        <v>0</v>
      </c>
      <c r="AD547">
        <v>1</v>
      </c>
      <c r="AE547">
        <v>0</v>
      </c>
      <c r="AF547" t="s">
        <v>3</v>
      </c>
      <c r="AG547">
        <v>0.03</v>
      </c>
      <c r="AH547">
        <v>3</v>
      </c>
      <c r="AI547">
        <v>-1</v>
      </c>
      <c r="AJ547" t="s">
        <v>3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</row>
    <row r="548" spans="1:44" x14ac:dyDescent="0.2">
      <c r="A548">
        <f>ROW(Source!A613)</f>
        <v>613</v>
      </c>
      <c r="B548">
        <v>1472512897</v>
      </c>
      <c r="C548">
        <v>1472498474</v>
      </c>
      <c r="D548">
        <v>1441836235</v>
      </c>
      <c r="E548">
        <v>1</v>
      </c>
      <c r="F548">
        <v>1</v>
      </c>
      <c r="G548">
        <v>15514512</v>
      </c>
      <c r="H548">
        <v>3</v>
      </c>
      <c r="I548" t="s">
        <v>912</v>
      </c>
      <c r="J548" t="s">
        <v>913</v>
      </c>
      <c r="K548" t="s">
        <v>914</v>
      </c>
      <c r="L548">
        <v>1346</v>
      </c>
      <c r="N548">
        <v>1009</v>
      </c>
      <c r="O548" t="s">
        <v>898</v>
      </c>
      <c r="P548" t="s">
        <v>898</v>
      </c>
      <c r="Q548">
        <v>1</v>
      </c>
      <c r="X548">
        <v>0.01</v>
      </c>
      <c r="Y548">
        <v>31.49</v>
      </c>
      <c r="Z548">
        <v>0</v>
      </c>
      <c r="AA548">
        <v>0</v>
      </c>
      <c r="AB548">
        <v>0</v>
      </c>
      <c r="AC548">
        <v>0</v>
      </c>
      <c r="AD548">
        <v>1</v>
      </c>
      <c r="AE548">
        <v>0</v>
      </c>
      <c r="AF548" t="s">
        <v>3</v>
      </c>
      <c r="AG548">
        <v>0.01</v>
      </c>
      <c r="AH548">
        <v>3</v>
      </c>
      <c r="AI548">
        <v>-1</v>
      </c>
      <c r="AJ548" t="s">
        <v>3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</row>
    <row r="549" spans="1:44" x14ac:dyDescent="0.2">
      <c r="A549">
        <f>ROW(Source!A613)</f>
        <v>613</v>
      </c>
      <c r="B549">
        <v>1472512898</v>
      </c>
      <c r="C549">
        <v>1472498474</v>
      </c>
      <c r="D549">
        <v>1441836393</v>
      </c>
      <c r="E549">
        <v>1</v>
      </c>
      <c r="F549">
        <v>1</v>
      </c>
      <c r="G549">
        <v>15514512</v>
      </c>
      <c r="H549">
        <v>3</v>
      </c>
      <c r="I549" t="s">
        <v>1033</v>
      </c>
      <c r="J549" t="s">
        <v>1034</v>
      </c>
      <c r="K549" t="s">
        <v>1035</v>
      </c>
      <c r="L549">
        <v>1296</v>
      </c>
      <c r="N549">
        <v>1002</v>
      </c>
      <c r="O549" t="s">
        <v>918</v>
      </c>
      <c r="P549" t="s">
        <v>918</v>
      </c>
      <c r="Q549">
        <v>1</v>
      </c>
      <c r="X549">
        <v>1E-4</v>
      </c>
      <c r="Y549">
        <v>4241.6400000000003</v>
      </c>
      <c r="Z549">
        <v>0</v>
      </c>
      <c r="AA549">
        <v>0</v>
      </c>
      <c r="AB549">
        <v>0</v>
      </c>
      <c r="AC549">
        <v>0</v>
      </c>
      <c r="AD549">
        <v>1</v>
      </c>
      <c r="AE549">
        <v>0</v>
      </c>
      <c r="AF549" t="s">
        <v>3</v>
      </c>
      <c r="AG549">
        <v>1E-4</v>
      </c>
      <c r="AH549">
        <v>3</v>
      </c>
      <c r="AI549">
        <v>-1</v>
      </c>
      <c r="AJ549" t="s">
        <v>3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</row>
    <row r="550" spans="1:44" x14ac:dyDescent="0.2">
      <c r="A550">
        <f>ROW(Source!A615)</f>
        <v>615</v>
      </c>
      <c r="B550">
        <v>1472512905</v>
      </c>
      <c r="C550">
        <v>1472498490</v>
      </c>
      <c r="D550">
        <v>1441819193</v>
      </c>
      <c r="E550">
        <v>15514512</v>
      </c>
      <c r="F550">
        <v>1</v>
      </c>
      <c r="G550">
        <v>15514512</v>
      </c>
      <c r="H550">
        <v>1</v>
      </c>
      <c r="I550" t="s">
        <v>885</v>
      </c>
      <c r="J550" t="s">
        <v>3</v>
      </c>
      <c r="K550" t="s">
        <v>886</v>
      </c>
      <c r="L550">
        <v>1191</v>
      </c>
      <c r="N550">
        <v>1013</v>
      </c>
      <c r="O550" t="s">
        <v>887</v>
      </c>
      <c r="P550" t="s">
        <v>887</v>
      </c>
      <c r="Q550">
        <v>1</v>
      </c>
      <c r="X550">
        <v>0.9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1</v>
      </c>
      <c r="AE550">
        <v>1</v>
      </c>
      <c r="AF550" t="s">
        <v>106</v>
      </c>
      <c r="AG550">
        <v>3.6</v>
      </c>
      <c r="AH550">
        <v>3</v>
      </c>
      <c r="AI550">
        <v>-1</v>
      </c>
      <c r="AJ550" t="s">
        <v>3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</row>
    <row r="551" spans="1:44" x14ac:dyDescent="0.2">
      <c r="A551">
        <f>ROW(Source!A616)</f>
        <v>616</v>
      </c>
      <c r="B551">
        <v>1472512919</v>
      </c>
      <c r="C551">
        <v>1472498501</v>
      </c>
      <c r="D551">
        <v>1441819193</v>
      </c>
      <c r="E551">
        <v>15514512</v>
      </c>
      <c r="F551">
        <v>1</v>
      </c>
      <c r="G551">
        <v>15514512</v>
      </c>
      <c r="H551">
        <v>1</v>
      </c>
      <c r="I551" t="s">
        <v>885</v>
      </c>
      <c r="J551" t="s">
        <v>3</v>
      </c>
      <c r="K551" t="s">
        <v>886</v>
      </c>
      <c r="L551">
        <v>1191</v>
      </c>
      <c r="N551">
        <v>1013</v>
      </c>
      <c r="O551" t="s">
        <v>887</v>
      </c>
      <c r="P551" t="s">
        <v>887</v>
      </c>
      <c r="Q551">
        <v>1</v>
      </c>
      <c r="X551">
        <v>2.64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1</v>
      </c>
      <c r="AE551">
        <v>1</v>
      </c>
      <c r="AF551" t="s">
        <v>106</v>
      </c>
      <c r="AG551">
        <v>10.56</v>
      </c>
      <c r="AH551">
        <v>3</v>
      </c>
      <c r="AI551">
        <v>-1</v>
      </c>
      <c r="AJ551" t="s">
        <v>3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</row>
    <row r="552" spans="1:44" x14ac:dyDescent="0.2">
      <c r="A552">
        <f>ROW(Source!A617)</f>
        <v>617</v>
      </c>
      <c r="B552">
        <v>1472512944</v>
      </c>
      <c r="C552">
        <v>1472498522</v>
      </c>
      <c r="D552">
        <v>1441819193</v>
      </c>
      <c r="E552">
        <v>15514512</v>
      </c>
      <c r="F552">
        <v>1</v>
      </c>
      <c r="G552">
        <v>15514512</v>
      </c>
      <c r="H552">
        <v>1</v>
      </c>
      <c r="I552" t="s">
        <v>885</v>
      </c>
      <c r="J552" t="s">
        <v>3</v>
      </c>
      <c r="K552" t="s">
        <v>886</v>
      </c>
      <c r="L552">
        <v>1191</v>
      </c>
      <c r="N552">
        <v>1013</v>
      </c>
      <c r="O552" t="s">
        <v>887</v>
      </c>
      <c r="P552" t="s">
        <v>887</v>
      </c>
      <c r="Q552">
        <v>1</v>
      </c>
      <c r="X552">
        <v>0.78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1</v>
      </c>
      <c r="AE552">
        <v>1</v>
      </c>
      <c r="AF552" t="s">
        <v>106</v>
      </c>
      <c r="AG552">
        <v>3.12</v>
      </c>
      <c r="AH552">
        <v>3</v>
      </c>
      <c r="AI552">
        <v>-1</v>
      </c>
      <c r="AJ552" t="s">
        <v>3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</row>
    <row r="553" spans="1:44" x14ac:dyDescent="0.2">
      <c r="A553">
        <f>ROW(Source!A618)</f>
        <v>618</v>
      </c>
      <c r="B553">
        <v>1472512955</v>
      </c>
      <c r="C553">
        <v>1472498526</v>
      </c>
      <c r="D553">
        <v>1441819193</v>
      </c>
      <c r="E553">
        <v>15514512</v>
      </c>
      <c r="F553">
        <v>1</v>
      </c>
      <c r="G553">
        <v>15514512</v>
      </c>
      <c r="H553">
        <v>1</v>
      </c>
      <c r="I553" t="s">
        <v>885</v>
      </c>
      <c r="J553" t="s">
        <v>3</v>
      </c>
      <c r="K553" t="s">
        <v>886</v>
      </c>
      <c r="L553">
        <v>1191</v>
      </c>
      <c r="N553">
        <v>1013</v>
      </c>
      <c r="O553" t="s">
        <v>887</v>
      </c>
      <c r="P553" t="s">
        <v>887</v>
      </c>
      <c r="Q553">
        <v>1</v>
      </c>
      <c r="X553">
        <v>2.2400000000000002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1</v>
      </c>
      <c r="AE553">
        <v>1</v>
      </c>
      <c r="AF553" t="s">
        <v>106</v>
      </c>
      <c r="AG553">
        <v>8.9600000000000009</v>
      </c>
      <c r="AH553">
        <v>3</v>
      </c>
      <c r="AI553">
        <v>-1</v>
      </c>
      <c r="AJ553" t="s">
        <v>3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</row>
    <row r="554" spans="1:44" x14ac:dyDescent="0.2">
      <c r="A554">
        <f>ROW(Source!A619)</f>
        <v>619</v>
      </c>
      <c r="B554">
        <v>1472512973</v>
      </c>
      <c r="C554">
        <v>1472498532</v>
      </c>
      <c r="D554">
        <v>1441819193</v>
      </c>
      <c r="E554">
        <v>15514512</v>
      </c>
      <c r="F554">
        <v>1</v>
      </c>
      <c r="G554">
        <v>15514512</v>
      </c>
      <c r="H554">
        <v>1</v>
      </c>
      <c r="I554" t="s">
        <v>885</v>
      </c>
      <c r="J554" t="s">
        <v>3</v>
      </c>
      <c r="K554" t="s">
        <v>886</v>
      </c>
      <c r="L554">
        <v>1191</v>
      </c>
      <c r="N554">
        <v>1013</v>
      </c>
      <c r="O554" t="s">
        <v>887</v>
      </c>
      <c r="P554" t="s">
        <v>887</v>
      </c>
      <c r="Q554">
        <v>1</v>
      </c>
      <c r="X554">
        <v>10.64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1</v>
      </c>
      <c r="AE554">
        <v>1</v>
      </c>
      <c r="AF554" t="s">
        <v>3</v>
      </c>
      <c r="AG554">
        <v>10.64</v>
      </c>
      <c r="AH554">
        <v>3</v>
      </c>
      <c r="AI554">
        <v>-1</v>
      </c>
      <c r="AJ554" t="s">
        <v>3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</row>
    <row r="555" spans="1:44" x14ac:dyDescent="0.2">
      <c r="A555">
        <f>ROW(Source!A619)</f>
        <v>619</v>
      </c>
      <c r="B555">
        <v>1472512974</v>
      </c>
      <c r="C555">
        <v>1472498532</v>
      </c>
      <c r="D555">
        <v>1441833890</v>
      </c>
      <c r="E555">
        <v>1</v>
      </c>
      <c r="F555">
        <v>1</v>
      </c>
      <c r="G555">
        <v>15514512</v>
      </c>
      <c r="H555">
        <v>2</v>
      </c>
      <c r="I555" t="s">
        <v>959</v>
      </c>
      <c r="J555" t="s">
        <v>960</v>
      </c>
      <c r="K555" t="s">
        <v>961</v>
      </c>
      <c r="L555">
        <v>1368</v>
      </c>
      <c r="N555">
        <v>1011</v>
      </c>
      <c r="O555" t="s">
        <v>895</v>
      </c>
      <c r="P555" t="s">
        <v>895</v>
      </c>
      <c r="Q555">
        <v>1</v>
      </c>
      <c r="X555">
        <v>1.5</v>
      </c>
      <c r="Y555">
        <v>0</v>
      </c>
      <c r="Z555">
        <v>33.799999999999997</v>
      </c>
      <c r="AA555">
        <v>0.54</v>
      </c>
      <c r="AB555">
        <v>0</v>
      </c>
      <c r="AC555">
        <v>0</v>
      </c>
      <c r="AD555">
        <v>1</v>
      </c>
      <c r="AE555">
        <v>0</v>
      </c>
      <c r="AF555" t="s">
        <v>3</v>
      </c>
      <c r="AG555">
        <v>1.5</v>
      </c>
      <c r="AH555">
        <v>3</v>
      </c>
      <c r="AI555">
        <v>-1</v>
      </c>
      <c r="AJ555" t="s">
        <v>3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</row>
    <row r="556" spans="1:44" x14ac:dyDescent="0.2">
      <c r="A556">
        <f>ROW(Source!A619)</f>
        <v>619</v>
      </c>
      <c r="B556">
        <v>1472512975</v>
      </c>
      <c r="C556">
        <v>1472498532</v>
      </c>
      <c r="D556">
        <v>1441836514</v>
      </c>
      <c r="E556">
        <v>1</v>
      </c>
      <c r="F556">
        <v>1</v>
      </c>
      <c r="G556">
        <v>15514512</v>
      </c>
      <c r="H556">
        <v>3</v>
      </c>
      <c r="I556" t="s">
        <v>888</v>
      </c>
      <c r="J556" t="s">
        <v>889</v>
      </c>
      <c r="K556" t="s">
        <v>890</v>
      </c>
      <c r="L556">
        <v>1339</v>
      </c>
      <c r="N556">
        <v>1007</v>
      </c>
      <c r="O556" t="s">
        <v>891</v>
      </c>
      <c r="P556" t="s">
        <v>891</v>
      </c>
      <c r="Q556">
        <v>1</v>
      </c>
      <c r="X556">
        <v>1</v>
      </c>
      <c r="Y556">
        <v>54.81</v>
      </c>
      <c r="Z556">
        <v>0</v>
      </c>
      <c r="AA556">
        <v>0</v>
      </c>
      <c r="AB556">
        <v>0</v>
      </c>
      <c r="AC556">
        <v>0</v>
      </c>
      <c r="AD556">
        <v>1</v>
      </c>
      <c r="AE556">
        <v>0</v>
      </c>
      <c r="AF556" t="s">
        <v>3</v>
      </c>
      <c r="AG556">
        <v>1</v>
      </c>
      <c r="AH556">
        <v>3</v>
      </c>
      <c r="AI556">
        <v>-1</v>
      </c>
      <c r="AJ556" t="s">
        <v>3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</row>
    <row r="557" spans="1:44" x14ac:dyDescent="0.2">
      <c r="A557">
        <f>ROW(Source!A619)</f>
        <v>619</v>
      </c>
      <c r="B557">
        <v>1472512976</v>
      </c>
      <c r="C557">
        <v>1472498532</v>
      </c>
      <c r="D557">
        <v>1441836517</v>
      </c>
      <c r="E557">
        <v>1</v>
      </c>
      <c r="F557">
        <v>1</v>
      </c>
      <c r="G557">
        <v>15514512</v>
      </c>
      <c r="H557">
        <v>3</v>
      </c>
      <c r="I557" t="s">
        <v>962</v>
      </c>
      <c r="J557" t="s">
        <v>963</v>
      </c>
      <c r="K557" t="s">
        <v>964</v>
      </c>
      <c r="L557">
        <v>1346</v>
      </c>
      <c r="N557">
        <v>1009</v>
      </c>
      <c r="O557" t="s">
        <v>898</v>
      </c>
      <c r="P557" t="s">
        <v>898</v>
      </c>
      <c r="Q557">
        <v>1</v>
      </c>
      <c r="X557">
        <v>0.02</v>
      </c>
      <c r="Y557">
        <v>451.28</v>
      </c>
      <c r="Z557">
        <v>0</v>
      </c>
      <c r="AA557">
        <v>0</v>
      </c>
      <c r="AB557">
        <v>0</v>
      </c>
      <c r="AC557">
        <v>0</v>
      </c>
      <c r="AD557">
        <v>1</v>
      </c>
      <c r="AE557">
        <v>0</v>
      </c>
      <c r="AF557" t="s">
        <v>3</v>
      </c>
      <c r="AG557">
        <v>0.02</v>
      </c>
      <c r="AH557">
        <v>3</v>
      </c>
      <c r="AI557">
        <v>-1</v>
      </c>
      <c r="AJ557" t="s">
        <v>3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</row>
    <row r="558" spans="1:44" x14ac:dyDescent="0.2">
      <c r="A558">
        <f>ROW(Source!A619)</f>
        <v>619</v>
      </c>
      <c r="B558">
        <v>1472512978</v>
      </c>
      <c r="C558">
        <v>1472498532</v>
      </c>
      <c r="D558">
        <v>1441821379</v>
      </c>
      <c r="E558">
        <v>15514512</v>
      </c>
      <c r="F558">
        <v>1</v>
      </c>
      <c r="G558">
        <v>15514512</v>
      </c>
      <c r="H558">
        <v>3</v>
      </c>
      <c r="I558" t="s">
        <v>965</v>
      </c>
      <c r="J558" t="s">
        <v>3</v>
      </c>
      <c r="K558" t="s">
        <v>966</v>
      </c>
      <c r="L558">
        <v>1346</v>
      </c>
      <c r="N558">
        <v>1009</v>
      </c>
      <c r="O558" t="s">
        <v>898</v>
      </c>
      <c r="P558" t="s">
        <v>898</v>
      </c>
      <c r="Q558">
        <v>1</v>
      </c>
      <c r="X558">
        <v>0.05</v>
      </c>
      <c r="Y558">
        <v>89.933959999999999</v>
      </c>
      <c r="Z558">
        <v>0</v>
      </c>
      <c r="AA558">
        <v>0</v>
      </c>
      <c r="AB558">
        <v>0</v>
      </c>
      <c r="AC558">
        <v>0</v>
      </c>
      <c r="AD558">
        <v>1</v>
      </c>
      <c r="AE558">
        <v>0</v>
      </c>
      <c r="AF558" t="s">
        <v>3</v>
      </c>
      <c r="AG558">
        <v>0.05</v>
      </c>
      <c r="AH558">
        <v>3</v>
      </c>
      <c r="AI558">
        <v>-1</v>
      </c>
      <c r="AJ558" t="s">
        <v>3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</row>
    <row r="559" spans="1:44" x14ac:dyDescent="0.2">
      <c r="A559">
        <f>ROW(Source!A619)</f>
        <v>619</v>
      </c>
      <c r="B559">
        <v>1472512977</v>
      </c>
      <c r="C559">
        <v>1472498532</v>
      </c>
      <c r="D559">
        <v>1441834875</v>
      </c>
      <c r="E559">
        <v>1</v>
      </c>
      <c r="F559">
        <v>1</v>
      </c>
      <c r="G559">
        <v>15514512</v>
      </c>
      <c r="H559">
        <v>3</v>
      </c>
      <c r="I559" t="s">
        <v>967</v>
      </c>
      <c r="J559" t="s">
        <v>968</v>
      </c>
      <c r="K559" t="s">
        <v>969</v>
      </c>
      <c r="L559">
        <v>1346</v>
      </c>
      <c r="N559">
        <v>1009</v>
      </c>
      <c r="O559" t="s">
        <v>898</v>
      </c>
      <c r="P559" t="s">
        <v>898</v>
      </c>
      <c r="Q559">
        <v>1</v>
      </c>
      <c r="X559">
        <v>0.02</v>
      </c>
      <c r="Y559">
        <v>94.64</v>
      </c>
      <c r="Z559">
        <v>0</v>
      </c>
      <c r="AA559">
        <v>0</v>
      </c>
      <c r="AB559">
        <v>0</v>
      </c>
      <c r="AC559">
        <v>0</v>
      </c>
      <c r="AD559">
        <v>1</v>
      </c>
      <c r="AE559">
        <v>0</v>
      </c>
      <c r="AF559" t="s">
        <v>3</v>
      </c>
      <c r="AG559">
        <v>0.02</v>
      </c>
      <c r="AH559">
        <v>3</v>
      </c>
      <c r="AI559">
        <v>-1</v>
      </c>
      <c r="AJ559" t="s">
        <v>3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</row>
    <row r="560" spans="1:44" x14ac:dyDescent="0.2">
      <c r="A560">
        <f>ROW(Source!A620)</f>
        <v>620</v>
      </c>
      <c r="B560">
        <v>1472512995</v>
      </c>
      <c r="C560">
        <v>1472498540</v>
      </c>
      <c r="D560">
        <v>1441819193</v>
      </c>
      <c r="E560">
        <v>15514512</v>
      </c>
      <c r="F560">
        <v>1</v>
      </c>
      <c r="G560">
        <v>15514512</v>
      </c>
      <c r="H560">
        <v>1</v>
      </c>
      <c r="I560" t="s">
        <v>885</v>
      </c>
      <c r="J560" t="s">
        <v>3</v>
      </c>
      <c r="K560" t="s">
        <v>886</v>
      </c>
      <c r="L560">
        <v>1191</v>
      </c>
      <c r="N560">
        <v>1013</v>
      </c>
      <c r="O560" t="s">
        <v>887</v>
      </c>
      <c r="P560" t="s">
        <v>887</v>
      </c>
      <c r="Q560">
        <v>1</v>
      </c>
      <c r="X560">
        <v>10.64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1</v>
      </c>
      <c r="AE560">
        <v>1</v>
      </c>
      <c r="AF560" t="s">
        <v>3</v>
      </c>
      <c r="AG560">
        <v>10.64</v>
      </c>
      <c r="AH560">
        <v>3</v>
      </c>
      <c r="AI560">
        <v>-1</v>
      </c>
      <c r="AJ560" t="s">
        <v>3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</row>
    <row r="561" spans="1:44" x14ac:dyDescent="0.2">
      <c r="A561">
        <f>ROW(Source!A620)</f>
        <v>620</v>
      </c>
      <c r="B561">
        <v>1472512996</v>
      </c>
      <c r="C561">
        <v>1472498540</v>
      </c>
      <c r="D561">
        <v>1441833890</v>
      </c>
      <c r="E561">
        <v>1</v>
      </c>
      <c r="F561">
        <v>1</v>
      </c>
      <c r="G561">
        <v>15514512</v>
      </c>
      <c r="H561">
        <v>2</v>
      </c>
      <c r="I561" t="s">
        <v>959</v>
      </c>
      <c r="J561" t="s">
        <v>960</v>
      </c>
      <c r="K561" t="s">
        <v>961</v>
      </c>
      <c r="L561">
        <v>1368</v>
      </c>
      <c r="N561">
        <v>1011</v>
      </c>
      <c r="O561" t="s">
        <v>895</v>
      </c>
      <c r="P561" t="s">
        <v>895</v>
      </c>
      <c r="Q561">
        <v>1</v>
      </c>
      <c r="X561">
        <v>1.5</v>
      </c>
      <c r="Y561">
        <v>0</v>
      </c>
      <c r="Z561">
        <v>33.799999999999997</v>
      </c>
      <c r="AA561">
        <v>0.54</v>
      </c>
      <c r="AB561">
        <v>0</v>
      </c>
      <c r="AC561">
        <v>0</v>
      </c>
      <c r="AD561">
        <v>1</v>
      </c>
      <c r="AE561">
        <v>0</v>
      </c>
      <c r="AF561" t="s">
        <v>3</v>
      </c>
      <c r="AG561">
        <v>1.5</v>
      </c>
      <c r="AH561">
        <v>3</v>
      </c>
      <c r="AI561">
        <v>-1</v>
      </c>
      <c r="AJ561" t="s">
        <v>3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</row>
    <row r="562" spans="1:44" x14ac:dyDescent="0.2">
      <c r="A562">
        <f>ROW(Source!A620)</f>
        <v>620</v>
      </c>
      <c r="B562">
        <v>1472512997</v>
      </c>
      <c r="C562">
        <v>1472498540</v>
      </c>
      <c r="D562">
        <v>1441836514</v>
      </c>
      <c r="E562">
        <v>1</v>
      </c>
      <c r="F562">
        <v>1</v>
      </c>
      <c r="G562">
        <v>15514512</v>
      </c>
      <c r="H562">
        <v>3</v>
      </c>
      <c r="I562" t="s">
        <v>888</v>
      </c>
      <c r="J562" t="s">
        <v>889</v>
      </c>
      <c r="K562" t="s">
        <v>890</v>
      </c>
      <c r="L562">
        <v>1339</v>
      </c>
      <c r="N562">
        <v>1007</v>
      </c>
      <c r="O562" t="s">
        <v>891</v>
      </c>
      <c r="P562" t="s">
        <v>891</v>
      </c>
      <c r="Q562">
        <v>1</v>
      </c>
      <c r="X562">
        <v>3.8</v>
      </c>
      <c r="Y562">
        <v>54.81</v>
      </c>
      <c r="Z562">
        <v>0</v>
      </c>
      <c r="AA562">
        <v>0</v>
      </c>
      <c r="AB562">
        <v>0</v>
      </c>
      <c r="AC562">
        <v>0</v>
      </c>
      <c r="AD562">
        <v>1</v>
      </c>
      <c r="AE562">
        <v>0</v>
      </c>
      <c r="AF562" t="s">
        <v>3</v>
      </c>
      <c r="AG562">
        <v>3.8</v>
      </c>
      <c r="AH562">
        <v>3</v>
      </c>
      <c r="AI562">
        <v>-1</v>
      </c>
      <c r="AJ562" t="s">
        <v>3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</row>
    <row r="563" spans="1:44" x14ac:dyDescent="0.2">
      <c r="A563">
        <f>ROW(Source!A620)</f>
        <v>620</v>
      </c>
      <c r="B563">
        <v>1472512998</v>
      </c>
      <c r="C563">
        <v>1472498540</v>
      </c>
      <c r="D563">
        <v>1441836517</v>
      </c>
      <c r="E563">
        <v>1</v>
      </c>
      <c r="F563">
        <v>1</v>
      </c>
      <c r="G563">
        <v>15514512</v>
      </c>
      <c r="H563">
        <v>3</v>
      </c>
      <c r="I563" t="s">
        <v>962</v>
      </c>
      <c r="J563" t="s">
        <v>963</v>
      </c>
      <c r="K563" t="s">
        <v>964</v>
      </c>
      <c r="L563">
        <v>1346</v>
      </c>
      <c r="N563">
        <v>1009</v>
      </c>
      <c r="O563" t="s">
        <v>898</v>
      </c>
      <c r="P563" t="s">
        <v>898</v>
      </c>
      <c r="Q563">
        <v>1</v>
      </c>
      <c r="X563">
        <v>0.02</v>
      </c>
      <c r="Y563">
        <v>451.28</v>
      </c>
      <c r="Z563">
        <v>0</v>
      </c>
      <c r="AA563">
        <v>0</v>
      </c>
      <c r="AB563">
        <v>0</v>
      </c>
      <c r="AC563">
        <v>0</v>
      </c>
      <c r="AD563">
        <v>1</v>
      </c>
      <c r="AE563">
        <v>0</v>
      </c>
      <c r="AF563" t="s">
        <v>3</v>
      </c>
      <c r="AG563">
        <v>0.02</v>
      </c>
      <c r="AH563">
        <v>3</v>
      </c>
      <c r="AI563">
        <v>-1</v>
      </c>
      <c r="AJ563" t="s">
        <v>3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</row>
    <row r="564" spans="1:44" x14ac:dyDescent="0.2">
      <c r="A564">
        <f>ROW(Source!A620)</f>
        <v>620</v>
      </c>
      <c r="B564">
        <v>1472513000</v>
      </c>
      <c r="C564">
        <v>1472498540</v>
      </c>
      <c r="D564">
        <v>1441821379</v>
      </c>
      <c r="E564">
        <v>15514512</v>
      </c>
      <c r="F564">
        <v>1</v>
      </c>
      <c r="G564">
        <v>15514512</v>
      </c>
      <c r="H564">
        <v>3</v>
      </c>
      <c r="I564" t="s">
        <v>965</v>
      </c>
      <c r="J564" t="s">
        <v>3</v>
      </c>
      <c r="K564" t="s">
        <v>966</v>
      </c>
      <c r="L564">
        <v>1346</v>
      </c>
      <c r="N564">
        <v>1009</v>
      </c>
      <c r="O564" t="s">
        <v>898</v>
      </c>
      <c r="P564" t="s">
        <v>898</v>
      </c>
      <c r="Q564">
        <v>1</v>
      </c>
      <c r="X564">
        <v>0.05</v>
      </c>
      <c r="Y564">
        <v>89.933959999999999</v>
      </c>
      <c r="Z564">
        <v>0</v>
      </c>
      <c r="AA564">
        <v>0</v>
      </c>
      <c r="AB564">
        <v>0</v>
      </c>
      <c r="AC564">
        <v>0</v>
      </c>
      <c r="AD564">
        <v>1</v>
      </c>
      <c r="AE564">
        <v>0</v>
      </c>
      <c r="AF564" t="s">
        <v>3</v>
      </c>
      <c r="AG564">
        <v>0.05</v>
      </c>
      <c r="AH564">
        <v>3</v>
      </c>
      <c r="AI564">
        <v>-1</v>
      </c>
      <c r="AJ564" t="s">
        <v>3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</row>
    <row r="565" spans="1:44" x14ac:dyDescent="0.2">
      <c r="A565">
        <f>ROW(Source!A620)</f>
        <v>620</v>
      </c>
      <c r="B565">
        <v>1472512999</v>
      </c>
      <c r="C565">
        <v>1472498540</v>
      </c>
      <c r="D565">
        <v>1441834875</v>
      </c>
      <c r="E565">
        <v>1</v>
      </c>
      <c r="F565">
        <v>1</v>
      </c>
      <c r="G565">
        <v>15514512</v>
      </c>
      <c r="H565">
        <v>3</v>
      </c>
      <c r="I565" t="s">
        <v>967</v>
      </c>
      <c r="J565" t="s">
        <v>968</v>
      </c>
      <c r="K565" t="s">
        <v>969</v>
      </c>
      <c r="L565">
        <v>1346</v>
      </c>
      <c r="N565">
        <v>1009</v>
      </c>
      <c r="O565" t="s">
        <v>898</v>
      </c>
      <c r="P565" t="s">
        <v>898</v>
      </c>
      <c r="Q565">
        <v>1</v>
      </c>
      <c r="X565">
        <v>0.02</v>
      </c>
      <c r="Y565">
        <v>94.64</v>
      </c>
      <c r="Z565">
        <v>0</v>
      </c>
      <c r="AA565">
        <v>0</v>
      </c>
      <c r="AB565">
        <v>0</v>
      </c>
      <c r="AC565">
        <v>0</v>
      </c>
      <c r="AD565">
        <v>1</v>
      </c>
      <c r="AE565">
        <v>0</v>
      </c>
      <c r="AF565" t="s">
        <v>3</v>
      </c>
      <c r="AG565">
        <v>0.02</v>
      </c>
      <c r="AH565">
        <v>3</v>
      </c>
      <c r="AI565">
        <v>-1</v>
      </c>
      <c r="AJ565" t="s">
        <v>3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</row>
    <row r="566" spans="1:44" x14ac:dyDescent="0.2">
      <c r="A566">
        <f>ROW(Source!A621)</f>
        <v>621</v>
      </c>
      <c r="B566">
        <v>1472513017</v>
      </c>
      <c r="C566">
        <v>1472498549</v>
      </c>
      <c r="D566">
        <v>1441819193</v>
      </c>
      <c r="E566">
        <v>15514512</v>
      </c>
      <c r="F566">
        <v>1</v>
      </c>
      <c r="G566">
        <v>15514512</v>
      </c>
      <c r="H566">
        <v>1</v>
      </c>
      <c r="I566" t="s">
        <v>885</v>
      </c>
      <c r="J566" t="s">
        <v>3</v>
      </c>
      <c r="K566" t="s">
        <v>886</v>
      </c>
      <c r="L566">
        <v>1191</v>
      </c>
      <c r="N566">
        <v>1013</v>
      </c>
      <c r="O566" t="s">
        <v>887</v>
      </c>
      <c r="P566" t="s">
        <v>887</v>
      </c>
      <c r="Q566">
        <v>1</v>
      </c>
      <c r="X566">
        <v>3.44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1</v>
      </c>
      <c r="AE566">
        <v>1</v>
      </c>
      <c r="AF566" t="s">
        <v>3</v>
      </c>
      <c r="AG566">
        <v>3.44</v>
      </c>
      <c r="AH566">
        <v>3</v>
      </c>
      <c r="AI566">
        <v>-1</v>
      </c>
      <c r="AJ566" t="s">
        <v>3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</row>
    <row r="567" spans="1:44" x14ac:dyDescent="0.2">
      <c r="A567">
        <f>ROW(Source!A621)</f>
        <v>621</v>
      </c>
      <c r="B567">
        <v>1472513018</v>
      </c>
      <c r="C567">
        <v>1472498549</v>
      </c>
      <c r="D567">
        <v>1441833845</v>
      </c>
      <c r="E567">
        <v>1</v>
      </c>
      <c r="F567">
        <v>1</v>
      </c>
      <c r="G567">
        <v>15514512</v>
      </c>
      <c r="H567">
        <v>2</v>
      </c>
      <c r="I567" t="s">
        <v>970</v>
      </c>
      <c r="J567" t="s">
        <v>971</v>
      </c>
      <c r="K567" t="s">
        <v>972</v>
      </c>
      <c r="L567">
        <v>1368</v>
      </c>
      <c r="N567">
        <v>1011</v>
      </c>
      <c r="O567" t="s">
        <v>895</v>
      </c>
      <c r="P567" t="s">
        <v>895</v>
      </c>
      <c r="Q567">
        <v>1</v>
      </c>
      <c r="X567">
        <v>1.31</v>
      </c>
      <c r="Y567">
        <v>0</v>
      </c>
      <c r="Z567">
        <v>17.95</v>
      </c>
      <c r="AA567">
        <v>0.05</v>
      </c>
      <c r="AB567">
        <v>0</v>
      </c>
      <c r="AC567">
        <v>0</v>
      </c>
      <c r="AD567">
        <v>1</v>
      </c>
      <c r="AE567">
        <v>0</v>
      </c>
      <c r="AF567" t="s">
        <v>3</v>
      </c>
      <c r="AG567">
        <v>1.31</v>
      </c>
      <c r="AH567">
        <v>3</v>
      </c>
      <c r="AI567">
        <v>-1</v>
      </c>
      <c r="AJ567" t="s">
        <v>3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</row>
    <row r="568" spans="1:44" x14ac:dyDescent="0.2">
      <c r="A568">
        <f>ROW(Source!A621)</f>
        <v>621</v>
      </c>
      <c r="B568">
        <v>1472513019</v>
      </c>
      <c r="C568">
        <v>1472498549</v>
      </c>
      <c r="D568">
        <v>1441836514</v>
      </c>
      <c r="E568">
        <v>1</v>
      </c>
      <c r="F568">
        <v>1</v>
      </c>
      <c r="G568">
        <v>15514512</v>
      </c>
      <c r="H568">
        <v>3</v>
      </c>
      <c r="I568" t="s">
        <v>888</v>
      </c>
      <c r="J568" t="s">
        <v>889</v>
      </c>
      <c r="K568" t="s">
        <v>890</v>
      </c>
      <c r="L568">
        <v>1339</v>
      </c>
      <c r="N568">
        <v>1007</v>
      </c>
      <c r="O568" t="s">
        <v>891</v>
      </c>
      <c r="P568" t="s">
        <v>891</v>
      </c>
      <c r="Q568">
        <v>1</v>
      </c>
      <c r="X568">
        <v>3.7</v>
      </c>
      <c r="Y568">
        <v>54.81</v>
      </c>
      <c r="Z568">
        <v>0</v>
      </c>
      <c r="AA568">
        <v>0</v>
      </c>
      <c r="AB568">
        <v>0</v>
      </c>
      <c r="AC568">
        <v>0</v>
      </c>
      <c r="AD568">
        <v>1</v>
      </c>
      <c r="AE568">
        <v>0</v>
      </c>
      <c r="AF568" t="s">
        <v>3</v>
      </c>
      <c r="AG568">
        <v>3.7</v>
      </c>
      <c r="AH568">
        <v>3</v>
      </c>
      <c r="AI568">
        <v>-1</v>
      </c>
      <c r="AJ568" t="s">
        <v>3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</row>
    <row r="569" spans="1:44" x14ac:dyDescent="0.2">
      <c r="A569">
        <f>ROW(Source!A622)</f>
        <v>622</v>
      </c>
      <c r="B569">
        <v>1472513036</v>
      </c>
      <c r="C569">
        <v>1472498582</v>
      </c>
      <c r="D569">
        <v>1441819193</v>
      </c>
      <c r="E569">
        <v>15514512</v>
      </c>
      <c r="F569">
        <v>1</v>
      </c>
      <c r="G569">
        <v>15514512</v>
      </c>
      <c r="H569">
        <v>1</v>
      </c>
      <c r="I569" t="s">
        <v>885</v>
      </c>
      <c r="J569" t="s">
        <v>3</v>
      </c>
      <c r="K569" t="s">
        <v>886</v>
      </c>
      <c r="L569">
        <v>1191</v>
      </c>
      <c r="N569">
        <v>1013</v>
      </c>
      <c r="O569" t="s">
        <v>887</v>
      </c>
      <c r="P569" t="s">
        <v>887</v>
      </c>
      <c r="Q569">
        <v>1</v>
      </c>
      <c r="X569">
        <v>2.42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1</v>
      </c>
      <c r="AE569">
        <v>1</v>
      </c>
      <c r="AF569" t="s">
        <v>3</v>
      </c>
      <c r="AG569">
        <v>2.42</v>
      </c>
      <c r="AH569">
        <v>3</v>
      </c>
      <c r="AI569">
        <v>-1</v>
      </c>
      <c r="AJ569" t="s">
        <v>3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</row>
    <row r="570" spans="1:44" x14ac:dyDescent="0.2">
      <c r="A570">
        <f>ROW(Source!A622)</f>
        <v>622</v>
      </c>
      <c r="B570">
        <v>1472513037</v>
      </c>
      <c r="C570">
        <v>1472498582</v>
      </c>
      <c r="D570">
        <v>1441833845</v>
      </c>
      <c r="E570">
        <v>1</v>
      </c>
      <c r="F570">
        <v>1</v>
      </c>
      <c r="G570">
        <v>15514512</v>
      </c>
      <c r="H570">
        <v>2</v>
      </c>
      <c r="I570" t="s">
        <v>970</v>
      </c>
      <c r="J570" t="s">
        <v>971</v>
      </c>
      <c r="K570" t="s">
        <v>972</v>
      </c>
      <c r="L570">
        <v>1368</v>
      </c>
      <c r="N570">
        <v>1011</v>
      </c>
      <c r="O570" t="s">
        <v>895</v>
      </c>
      <c r="P570" t="s">
        <v>895</v>
      </c>
      <c r="Q570">
        <v>1</v>
      </c>
      <c r="X570">
        <v>0.61</v>
      </c>
      <c r="Y570">
        <v>0</v>
      </c>
      <c r="Z570">
        <v>17.95</v>
      </c>
      <c r="AA570">
        <v>0.05</v>
      </c>
      <c r="AB570">
        <v>0</v>
      </c>
      <c r="AC570">
        <v>0</v>
      </c>
      <c r="AD570">
        <v>1</v>
      </c>
      <c r="AE570">
        <v>0</v>
      </c>
      <c r="AF570" t="s">
        <v>3</v>
      </c>
      <c r="AG570">
        <v>0.61</v>
      </c>
      <c r="AH570">
        <v>3</v>
      </c>
      <c r="AI570">
        <v>-1</v>
      </c>
      <c r="AJ570" t="s">
        <v>3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</row>
    <row r="571" spans="1:44" x14ac:dyDescent="0.2">
      <c r="A571">
        <f>ROW(Source!A622)</f>
        <v>622</v>
      </c>
      <c r="B571">
        <v>1472513039</v>
      </c>
      <c r="C571">
        <v>1472498582</v>
      </c>
      <c r="D571">
        <v>1441836514</v>
      </c>
      <c r="E571">
        <v>1</v>
      </c>
      <c r="F571">
        <v>1</v>
      </c>
      <c r="G571">
        <v>15514512</v>
      </c>
      <c r="H571">
        <v>3</v>
      </c>
      <c r="I571" t="s">
        <v>888</v>
      </c>
      <c r="J571" t="s">
        <v>889</v>
      </c>
      <c r="K571" t="s">
        <v>890</v>
      </c>
      <c r="L571">
        <v>1339</v>
      </c>
      <c r="N571">
        <v>1007</v>
      </c>
      <c r="O571" t="s">
        <v>891</v>
      </c>
      <c r="P571" t="s">
        <v>891</v>
      </c>
      <c r="Q571">
        <v>1</v>
      </c>
      <c r="X571">
        <v>1.03</v>
      </c>
      <c r="Y571">
        <v>54.81</v>
      </c>
      <c r="Z571">
        <v>0</v>
      </c>
      <c r="AA571">
        <v>0</v>
      </c>
      <c r="AB571">
        <v>0</v>
      </c>
      <c r="AC571">
        <v>0</v>
      </c>
      <c r="AD571">
        <v>1</v>
      </c>
      <c r="AE571">
        <v>0</v>
      </c>
      <c r="AF571" t="s">
        <v>3</v>
      </c>
      <c r="AG571">
        <v>1.03</v>
      </c>
      <c r="AH571">
        <v>3</v>
      </c>
      <c r="AI571">
        <v>-1</v>
      </c>
      <c r="AJ571" t="s">
        <v>3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</row>
    <row r="572" spans="1:44" x14ac:dyDescent="0.2">
      <c r="A572">
        <f>ROW(Source!A623)</f>
        <v>623</v>
      </c>
      <c r="B572">
        <v>1472513048</v>
      </c>
      <c r="C572">
        <v>1472498592</v>
      </c>
      <c r="D572">
        <v>1441819193</v>
      </c>
      <c r="E572">
        <v>15514512</v>
      </c>
      <c r="F572">
        <v>1</v>
      </c>
      <c r="G572">
        <v>15514512</v>
      </c>
      <c r="H572">
        <v>1</v>
      </c>
      <c r="I572" t="s">
        <v>885</v>
      </c>
      <c r="J572" t="s">
        <v>3</v>
      </c>
      <c r="K572" t="s">
        <v>886</v>
      </c>
      <c r="L572">
        <v>1191</v>
      </c>
      <c r="N572">
        <v>1013</v>
      </c>
      <c r="O572" t="s">
        <v>887</v>
      </c>
      <c r="P572" t="s">
        <v>887</v>
      </c>
      <c r="Q572">
        <v>1</v>
      </c>
      <c r="X572">
        <v>10.64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1</v>
      </c>
      <c r="AE572">
        <v>1</v>
      </c>
      <c r="AF572" t="s">
        <v>3</v>
      </c>
      <c r="AG572">
        <v>10.64</v>
      </c>
      <c r="AH572">
        <v>3</v>
      </c>
      <c r="AI572">
        <v>-1</v>
      </c>
      <c r="AJ572" t="s">
        <v>3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</row>
    <row r="573" spans="1:44" x14ac:dyDescent="0.2">
      <c r="A573">
        <f>ROW(Source!A623)</f>
        <v>623</v>
      </c>
      <c r="B573">
        <v>1472513049</v>
      </c>
      <c r="C573">
        <v>1472498592</v>
      </c>
      <c r="D573">
        <v>1441833890</v>
      </c>
      <c r="E573">
        <v>1</v>
      </c>
      <c r="F573">
        <v>1</v>
      </c>
      <c r="G573">
        <v>15514512</v>
      </c>
      <c r="H573">
        <v>2</v>
      </c>
      <c r="I573" t="s">
        <v>959</v>
      </c>
      <c r="J573" t="s">
        <v>960</v>
      </c>
      <c r="K573" t="s">
        <v>961</v>
      </c>
      <c r="L573">
        <v>1368</v>
      </c>
      <c r="N573">
        <v>1011</v>
      </c>
      <c r="O573" t="s">
        <v>895</v>
      </c>
      <c r="P573" t="s">
        <v>895</v>
      </c>
      <c r="Q573">
        <v>1</v>
      </c>
      <c r="X573">
        <v>1.5</v>
      </c>
      <c r="Y573">
        <v>0</v>
      </c>
      <c r="Z573">
        <v>33.799999999999997</v>
      </c>
      <c r="AA573">
        <v>0.54</v>
      </c>
      <c r="AB573">
        <v>0</v>
      </c>
      <c r="AC573">
        <v>0</v>
      </c>
      <c r="AD573">
        <v>1</v>
      </c>
      <c r="AE573">
        <v>0</v>
      </c>
      <c r="AF573" t="s">
        <v>3</v>
      </c>
      <c r="AG573">
        <v>1.5</v>
      </c>
      <c r="AH573">
        <v>3</v>
      </c>
      <c r="AI573">
        <v>-1</v>
      </c>
      <c r="AJ573" t="s">
        <v>3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</row>
    <row r="574" spans="1:44" x14ac:dyDescent="0.2">
      <c r="A574">
        <f>ROW(Source!A623)</f>
        <v>623</v>
      </c>
      <c r="B574">
        <v>1472513050</v>
      </c>
      <c r="C574">
        <v>1472498592</v>
      </c>
      <c r="D574">
        <v>1441836514</v>
      </c>
      <c r="E574">
        <v>1</v>
      </c>
      <c r="F574">
        <v>1</v>
      </c>
      <c r="G574">
        <v>15514512</v>
      </c>
      <c r="H574">
        <v>3</v>
      </c>
      <c r="I574" t="s">
        <v>888</v>
      </c>
      <c r="J574" t="s">
        <v>889</v>
      </c>
      <c r="K574" t="s">
        <v>890</v>
      </c>
      <c r="L574">
        <v>1339</v>
      </c>
      <c r="N574">
        <v>1007</v>
      </c>
      <c r="O574" t="s">
        <v>891</v>
      </c>
      <c r="P574" t="s">
        <v>891</v>
      </c>
      <c r="Q574">
        <v>1</v>
      </c>
      <c r="X574">
        <v>16.3</v>
      </c>
      <c r="Y574">
        <v>54.81</v>
      </c>
      <c r="Z574">
        <v>0</v>
      </c>
      <c r="AA574">
        <v>0</v>
      </c>
      <c r="AB574">
        <v>0</v>
      </c>
      <c r="AC574">
        <v>0</v>
      </c>
      <c r="AD574">
        <v>1</v>
      </c>
      <c r="AE574">
        <v>0</v>
      </c>
      <c r="AF574" t="s">
        <v>3</v>
      </c>
      <c r="AG574">
        <v>16.3</v>
      </c>
      <c r="AH574">
        <v>3</v>
      </c>
      <c r="AI574">
        <v>-1</v>
      </c>
      <c r="AJ574" t="s">
        <v>3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</row>
    <row r="575" spans="1:44" x14ac:dyDescent="0.2">
      <c r="A575">
        <f>ROW(Source!A623)</f>
        <v>623</v>
      </c>
      <c r="B575">
        <v>1472513051</v>
      </c>
      <c r="C575">
        <v>1472498592</v>
      </c>
      <c r="D575">
        <v>1441836517</v>
      </c>
      <c r="E575">
        <v>1</v>
      </c>
      <c r="F575">
        <v>1</v>
      </c>
      <c r="G575">
        <v>15514512</v>
      </c>
      <c r="H575">
        <v>3</v>
      </c>
      <c r="I575" t="s">
        <v>962</v>
      </c>
      <c r="J575" t="s">
        <v>963</v>
      </c>
      <c r="K575" t="s">
        <v>964</v>
      </c>
      <c r="L575">
        <v>1346</v>
      </c>
      <c r="N575">
        <v>1009</v>
      </c>
      <c r="O575" t="s">
        <v>898</v>
      </c>
      <c r="P575" t="s">
        <v>898</v>
      </c>
      <c r="Q575">
        <v>1</v>
      </c>
      <c r="X575">
        <v>0.02</v>
      </c>
      <c r="Y575">
        <v>451.28</v>
      </c>
      <c r="Z575">
        <v>0</v>
      </c>
      <c r="AA575">
        <v>0</v>
      </c>
      <c r="AB575">
        <v>0</v>
      </c>
      <c r="AC575">
        <v>0</v>
      </c>
      <c r="AD575">
        <v>1</v>
      </c>
      <c r="AE575">
        <v>0</v>
      </c>
      <c r="AF575" t="s">
        <v>3</v>
      </c>
      <c r="AG575">
        <v>0.02</v>
      </c>
      <c r="AH575">
        <v>3</v>
      </c>
      <c r="AI575">
        <v>-1</v>
      </c>
      <c r="AJ575" t="s">
        <v>3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</row>
    <row r="576" spans="1:44" x14ac:dyDescent="0.2">
      <c r="A576">
        <f>ROW(Source!A623)</f>
        <v>623</v>
      </c>
      <c r="B576">
        <v>1472513053</v>
      </c>
      <c r="C576">
        <v>1472498592</v>
      </c>
      <c r="D576">
        <v>1441821379</v>
      </c>
      <c r="E576">
        <v>15514512</v>
      </c>
      <c r="F576">
        <v>1</v>
      </c>
      <c r="G576">
        <v>15514512</v>
      </c>
      <c r="H576">
        <v>3</v>
      </c>
      <c r="I576" t="s">
        <v>965</v>
      </c>
      <c r="J576" t="s">
        <v>3</v>
      </c>
      <c r="K576" t="s">
        <v>966</v>
      </c>
      <c r="L576">
        <v>1346</v>
      </c>
      <c r="N576">
        <v>1009</v>
      </c>
      <c r="O576" t="s">
        <v>898</v>
      </c>
      <c r="P576" t="s">
        <v>898</v>
      </c>
      <c r="Q576">
        <v>1</v>
      </c>
      <c r="X576">
        <v>0.05</v>
      </c>
      <c r="Y576">
        <v>89.933959999999999</v>
      </c>
      <c r="Z576">
        <v>0</v>
      </c>
      <c r="AA576">
        <v>0</v>
      </c>
      <c r="AB576">
        <v>0</v>
      </c>
      <c r="AC576">
        <v>0</v>
      </c>
      <c r="AD576">
        <v>1</v>
      </c>
      <c r="AE576">
        <v>0</v>
      </c>
      <c r="AF576" t="s">
        <v>3</v>
      </c>
      <c r="AG576">
        <v>0.05</v>
      </c>
      <c r="AH576">
        <v>3</v>
      </c>
      <c r="AI576">
        <v>-1</v>
      </c>
      <c r="AJ576" t="s">
        <v>3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</row>
    <row r="577" spans="1:44" x14ac:dyDescent="0.2">
      <c r="A577">
        <f>ROW(Source!A623)</f>
        <v>623</v>
      </c>
      <c r="B577">
        <v>1472513052</v>
      </c>
      <c r="C577">
        <v>1472498592</v>
      </c>
      <c r="D577">
        <v>1441834875</v>
      </c>
      <c r="E577">
        <v>1</v>
      </c>
      <c r="F577">
        <v>1</v>
      </c>
      <c r="G577">
        <v>15514512</v>
      </c>
      <c r="H577">
        <v>3</v>
      </c>
      <c r="I577" t="s">
        <v>967</v>
      </c>
      <c r="J577" t="s">
        <v>968</v>
      </c>
      <c r="K577" t="s">
        <v>969</v>
      </c>
      <c r="L577">
        <v>1346</v>
      </c>
      <c r="N577">
        <v>1009</v>
      </c>
      <c r="O577" t="s">
        <v>898</v>
      </c>
      <c r="P577" t="s">
        <v>898</v>
      </c>
      <c r="Q577">
        <v>1</v>
      </c>
      <c r="X577">
        <v>0.02</v>
      </c>
      <c r="Y577">
        <v>94.64</v>
      </c>
      <c r="Z577">
        <v>0</v>
      </c>
      <c r="AA577">
        <v>0</v>
      </c>
      <c r="AB577">
        <v>0</v>
      </c>
      <c r="AC577">
        <v>0</v>
      </c>
      <c r="AD577">
        <v>1</v>
      </c>
      <c r="AE577">
        <v>0</v>
      </c>
      <c r="AF577" t="s">
        <v>3</v>
      </c>
      <c r="AG577">
        <v>0.02</v>
      </c>
      <c r="AH577">
        <v>3</v>
      </c>
      <c r="AI577">
        <v>-1</v>
      </c>
      <c r="AJ577" t="s">
        <v>3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</row>
    <row r="578" spans="1:44" x14ac:dyDescent="0.2">
      <c r="A578">
        <f>ROW(Source!A624)</f>
        <v>624</v>
      </c>
      <c r="B578">
        <v>1472513067</v>
      </c>
      <c r="C578">
        <v>1472498601</v>
      </c>
      <c r="D578">
        <v>1441819193</v>
      </c>
      <c r="E578">
        <v>15514512</v>
      </c>
      <c r="F578">
        <v>1</v>
      </c>
      <c r="G578">
        <v>15514512</v>
      </c>
      <c r="H578">
        <v>1</v>
      </c>
      <c r="I578" t="s">
        <v>885</v>
      </c>
      <c r="J578" t="s">
        <v>3</v>
      </c>
      <c r="K578" t="s">
        <v>886</v>
      </c>
      <c r="L578">
        <v>1191</v>
      </c>
      <c r="N578">
        <v>1013</v>
      </c>
      <c r="O578" t="s">
        <v>887</v>
      </c>
      <c r="P578" t="s">
        <v>887</v>
      </c>
      <c r="Q578">
        <v>1</v>
      </c>
      <c r="X578">
        <v>10.64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1</v>
      </c>
      <c r="AE578">
        <v>1</v>
      </c>
      <c r="AF578" t="s">
        <v>3</v>
      </c>
      <c r="AG578">
        <v>10.64</v>
      </c>
      <c r="AH578">
        <v>3</v>
      </c>
      <c r="AI578">
        <v>-1</v>
      </c>
      <c r="AJ578" t="s">
        <v>3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</row>
    <row r="579" spans="1:44" x14ac:dyDescent="0.2">
      <c r="A579">
        <f>ROW(Source!A624)</f>
        <v>624</v>
      </c>
      <c r="B579">
        <v>1472513069</v>
      </c>
      <c r="C579">
        <v>1472498601</v>
      </c>
      <c r="D579">
        <v>1441833890</v>
      </c>
      <c r="E579">
        <v>1</v>
      </c>
      <c r="F579">
        <v>1</v>
      </c>
      <c r="G579">
        <v>15514512</v>
      </c>
      <c r="H579">
        <v>2</v>
      </c>
      <c r="I579" t="s">
        <v>959</v>
      </c>
      <c r="J579" t="s">
        <v>960</v>
      </c>
      <c r="K579" t="s">
        <v>961</v>
      </c>
      <c r="L579">
        <v>1368</v>
      </c>
      <c r="N579">
        <v>1011</v>
      </c>
      <c r="O579" t="s">
        <v>895</v>
      </c>
      <c r="P579" t="s">
        <v>895</v>
      </c>
      <c r="Q579">
        <v>1</v>
      </c>
      <c r="X579">
        <v>1.5</v>
      </c>
      <c r="Y579">
        <v>0</v>
      </c>
      <c r="Z579">
        <v>33.799999999999997</v>
      </c>
      <c r="AA579">
        <v>0.54</v>
      </c>
      <c r="AB579">
        <v>0</v>
      </c>
      <c r="AC579">
        <v>0</v>
      </c>
      <c r="AD579">
        <v>1</v>
      </c>
      <c r="AE579">
        <v>0</v>
      </c>
      <c r="AF579" t="s">
        <v>3</v>
      </c>
      <c r="AG579">
        <v>1.5</v>
      </c>
      <c r="AH579">
        <v>3</v>
      </c>
      <c r="AI579">
        <v>-1</v>
      </c>
      <c r="AJ579" t="s">
        <v>3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</row>
    <row r="580" spans="1:44" x14ac:dyDescent="0.2">
      <c r="A580">
        <f>ROW(Source!A624)</f>
        <v>624</v>
      </c>
      <c r="B580">
        <v>1472513071</v>
      </c>
      <c r="C580">
        <v>1472498601</v>
      </c>
      <c r="D580">
        <v>1441836514</v>
      </c>
      <c r="E580">
        <v>1</v>
      </c>
      <c r="F580">
        <v>1</v>
      </c>
      <c r="G580">
        <v>15514512</v>
      </c>
      <c r="H580">
        <v>3</v>
      </c>
      <c r="I580" t="s">
        <v>888</v>
      </c>
      <c r="J580" t="s">
        <v>889</v>
      </c>
      <c r="K580" t="s">
        <v>890</v>
      </c>
      <c r="L580">
        <v>1339</v>
      </c>
      <c r="N580">
        <v>1007</v>
      </c>
      <c r="O580" t="s">
        <v>891</v>
      </c>
      <c r="P580" t="s">
        <v>891</v>
      </c>
      <c r="Q580">
        <v>1</v>
      </c>
      <c r="X580">
        <v>62</v>
      </c>
      <c r="Y580">
        <v>54.81</v>
      </c>
      <c r="Z580">
        <v>0</v>
      </c>
      <c r="AA580">
        <v>0</v>
      </c>
      <c r="AB580">
        <v>0</v>
      </c>
      <c r="AC580">
        <v>0</v>
      </c>
      <c r="AD580">
        <v>1</v>
      </c>
      <c r="AE580">
        <v>0</v>
      </c>
      <c r="AF580" t="s">
        <v>3</v>
      </c>
      <c r="AG580">
        <v>62</v>
      </c>
      <c r="AH580">
        <v>3</v>
      </c>
      <c r="AI580">
        <v>-1</v>
      </c>
      <c r="AJ580" t="s">
        <v>3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</row>
    <row r="581" spans="1:44" x14ac:dyDescent="0.2">
      <c r="A581">
        <f>ROW(Source!A624)</f>
        <v>624</v>
      </c>
      <c r="B581">
        <v>1472513072</v>
      </c>
      <c r="C581">
        <v>1472498601</v>
      </c>
      <c r="D581">
        <v>1441836517</v>
      </c>
      <c r="E581">
        <v>1</v>
      </c>
      <c r="F581">
        <v>1</v>
      </c>
      <c r="G581">
        <v>15514512</v>
      </c>
      <c r="H581">
        <v>3</v>
      </c>
      <c r="I581" t="s">
        <v>962</v>
      </c>
      <c r="J581" t="s">
        <v>963</v>
      </c>
      <c r="K581" t="s">
        <v>964</v>
      </c>
      <c r="L581">
        <v>1346</v>
      </c>
      <c r="N581">
        <v>1009</v>
      </c>
      <c r="O581" t="s">
        <v>898</v>
      </c>
      <c r="P581" t="s">
        <v>898</v>
      </c>
      <c r="Q581">
        <v>1</v>
      </c>
      <c r="X581">
        <v>0.02</v>
      </c>
      <c r="Y581">
        <v>451.28</v>
      </c>
      <c r="Z581">
        <v>0</v>
      </c>
      <c r="AA581">
        <v>0</v>
      </c>
      <c r="AB581">
        <v>0</v>
      </c>
      <c r="AC581">
        <v>0</v>
      </c>
      <c r="AD581">
        <v>1</v>
      </c>
      <c r="AE581">
        <v>0</v>
      </c>
      <c r="AF581" t="s">
        <v>3</v>
      </c>
      <c r="AG581">
        <v>0.02</v>
      </c>
      <c r="AH581">
        <v>3</v>
      </c>
      <c r="AI581">
        <v>-1</v>
      </c>
      <c r="AJ581" t="s">
        <v>3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</row>
    <row r="582" spans="1:44" x14ac:dyDescent="0.2">
      <c r="A582">
        <f>ROW(Source!A624)</f>
        <v>624</v>
      </c>
      <c r="B582">
        <v>1472513075</v>
      </c>
      <c r="C582">
        <v>1472498601</v>
      </c>
      <c r="D582">
        <v>1441821379</v>
      </c>
      <c r="E582">
        <v>15514512</v>
      </c>
      <c r="F582">
        <v>1</v>
      </c>
      <c r="G582">
        <v>15514512</v>
      </c>
      <c r="H582">
        <v>3</v>
      </c>
      <c r="I582" t="s">
        <v>965</v>
      </c>
      <c r="J582" t="s">
        <v>3</v>
      </c>
      <c r="K582" t="s">
        <v>966</v>
      </c>
      <c r="L582">
        <v>1346</v>
      </c>
      <c r="N582">
        <v>1009</v>
      </c>
      <c r="O582" t="s">
        <v>898</v>
      </c>
      <c r="P582" t="s">
        <v>898</v>
      </c>
      <c r="Q582">
        <v>1</v>
      </c>
      <c r="X582">
        <v>0.05</v>
      </c>
      <c r="Y582">
        <v>89.933959999999999</v>
      </c>
      <c r="Z582">
        <v>0</v>
      </c>
      <c r="AA582">
        <v>0</v>
      </c>
      <c r="AB582">
        <v>0</v>
      </c>
      <c r="AC582">
        <v>0</v>
      </c>
      <c r="AD582">
        <v>1</v>
      </c>
      <c r="AE582">
        <v>0</v>
      </c>
      <c r="AF582" t="s">
        <v>3</v>
      </c>
      <c r="AG582">
        <v>0.05</v>
      </c>
      <c r="AH582">
        <v>3</v>
      </c>
      <c r="AI582">
        <v>-1</v>
      </c>
      <c r="AJ582" t="s">
        <v>3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</row>
    <row r="583" spans="1:44" x14ac:dyDescent="0.2">
      <c r="A583">
        <f>ROW(Source!A624)</f>
        <v>624</v>
      </c>
      <c r="B583">
        <v>1472513073</v>
      </c>
      <c r="C583">
        <v>1472498601</v>
      </c>
      <c r="D583">
        <v>1441834875</v>
      </c>
      <c r="E583">
        <v>1</v>
      </c>
      <c r="F583">
        <v>1</v>
      </c>
      <c r="G583">
        <v>15514512</v>
      </c>
      <c r="H583">
        <v>3</v>
      </c>
      <c r="I583" t="s">
        <v>967</v>
      </c>
      <c r="J583" t="s">
        <v>968</v>
      </c>
      <c r="K583" t="s">
        <v>969</v>
      </c>
      <c r="L583">
        <v>1346</v>
      </c>
      <c r="N583">
        <v>1009</v>
      </c>
      <c r="O583" t="s">
        <v>898</v>
      </c>
      <c r="P583" t="s">
        <v>898</v>
      </c>
      <c r="Q583">
        <v>1</v>
      </c>
      <c r="X583">
        <v>0.02</v>
      </c>
      <c r="Y583">
        <v>94.64</v>
      </c>
      <c r="Z583">
        <v>0</v>
      </c>
      <c r="AA583">
        <v>0</v>
      </c>
      <c r="AB583">
        <v>0</v>
      </c>
      <c r="AC583">
        <v>0</v>
      </c>
      <c r="AD583">
        <v>1</v>
      </c>
      <c r="AE583">
        <v>0</v>
      </c>
      <c r="AF583" t="s">
        <v>3</v>
      </c>
      <c r="AG583">
        <v>0.02</v>
      </c>
      <c r="AH583">
        <v>3</v>
      </c>
      <c r="AI583">
        <v>-1</v>
      </c>
      <c r="AJ583" t="s">
        <v>3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</row>
    <row r="584" spans="1:44" x14ac:dyDescent="0.2">
      <c r="A584">
        <f>ROW(Source!A626)</f>
        <v>626</v>
      </c>
      <c r="B584">
        <v>1472513086</v>
      </c>
      <c r="C584">
        <v>1472498616</v>
      </c>
      <c r="D584">
        <v>1441819193</v>
      </c>
      <c r="E584">
        <v>15514512</v>
      </c>
      <c r="F584">
        <v>1</v>
      </c>
      <c r="G584">
        <v>15514512</v>
      </c>
      <c r="H584">
        <v>1</v>
      </c>
      <c r="I584" t="s">
        <v>885</v>
      </c>
      <c r="J584" t="s">
        <v>3</v>
      </c>
      <c r="K584" t="s">
        <v>886</v>
      </c>
      <c r="L584">
        <v>1191</v>
      </c>
      <c r="N584">
        <v>1013</v>
      </c>
      <c r="O584" t="s">
        <v>887</v>
      </c>
      <c r="P584" t="s">
        <v>887</v>
      </c>
      <c r="Q584">
        <v>1</v>
      </c>
      <c r="X584">
        <v>0.9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1</v>
      </c>
      <c r="AE584">
        <v>1</v>
      </c>
      <c r="AF584" t="s">
        <v>106</v>
      </c>
      <c r="AG584">
        <v>3.6</v>
      </c>
      <c r="AH584">
        <v>3</v>
      </c>
      <c r="AI584">
        <v>-1</v>
      </c>
      <c r="AJ584" t="s">
        <v>3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</row>
    <row r="585" spans="1:44" x14ac:dyDescent="0.2">
      <c r="A585">
        <f>ROW(Source!A627)</f>
        <v>627</v>
      </c>
      <c r="B585">
        <v>1472513095</v>
      </c>
      <c r="C585">
        <v>1472498626</v>
      </c>
      <c r="D585">
        <v>1441819193</v>
      </c>
      <c r="E585">
        <v>15514512</v>
      </c>
      <c r="F585">
        <v>1</v>
      </c>
      <c r="G585">
        <v>15514512</v>
      </c>
      <c r="H585">
        <v>1</v>
      </c>
      <c r="I585" t="s">
        <v>885</v>
      </c>
      <c r="J585" t="s">
        <v>3</v>
      </c>
      <c r="K585" t="s">
        <v>886</v>
      </c>
      <c r="L585">
        <v>1191</v>
      </c>
      <c r="N585">
        <v>1013</v>
      </c>
      <c r="O585" t="s">
        <v>887</v>
      </c>
      <c r="P585" t="s">
        <v>887</v>
      </c>
      <c r="Q585">
        <v>1</v>
      </c>
      <c r="X585">
        <v>2.64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1</v>
      </c>
      <c r="AE585">
        <v>1</v>
      </c>
      <c r="AF585" t="s">
        <v>106</v>
      </c>
      <c r="AG585">
        <v>10.56</v>
      </c>
      <c r="AH585">
        <v>3</v>
      </c>
      <c r="AI585">
        <v>-1</v>
      </c>
      <c r="AJ585" t="s">
        <v>3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</row>
    <row r="586" spans="1:44" x14ac:dyDescent="0.2">
      <c r="A586">
        <f>ROW(Source!A628)</f>
        <v>628</v>
      </c>
      <c r="B586">
        <v>1472513111</v>
      </c>
      <c r="C586">
        <v>1472498632</v>
      </c>
      <c r="D586">
        <v>1441819193</v>
      </c>
      <c r="E586">
        <v>15514512</v>
      </c>
      <c r="F586">
        <v>1</v>
      </c>
      <c r="G586">
        <v>15514512</v>
      </c>
      <c r="H586">
        <v>1</v>
      </c>
      <c r="I586" t="s">
        <v>885</v>
      </c>
      <c r="J586" t="s">
        <v>3</v>
      </c>
      <c r="K586" t="s">
        <v>886</v>
      </c>
      <c r="L586">
        <v>1191</v>
      </c>
      <c r="N586">
        <v>1013</v>
      </c>
      <c r="O586" t="s">
        <v>887</v>
      </c>
      <c r="P586" t="s">
        <v>887</v>
      </c>
      <c r="Q586">
        <v>1</v>
      </c>
      <c r="X586">
        <v>0.55000000000000004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1</v>
      </c>
      <c r="AE586">
        <v>1</v>
      </c>
      <c r="AF586" t="s">
        <v>3</v>
      </c>
      <c r="AG586">
        <v>0.55000000000000004</v>
      </c>
      <c r="AH586">
        <v>3</v>
      </c>
      <c r="AI586">
        <v>-1</v>
      </c>
      <c r="AJ586" t="s">
        <v>3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</row>
    <row r="587" spans="1:44" x14ac:dyDescent="0.2">
      <c r="A587">
        <f>ROW(Source!A664)</f>
        <v>664</v>
      </c>
      <c r="B587">
        <v>1472513142</v>
      </c>
      <c r="C587">
        <v>1472498641</v>
      </c>
      <c r="D587">
        <v>1441819193</v>
      </c>
      <c r="E587">
        <v>15514512</v>
      </c>
      <c r="F587">
        <v>1</v>
      </c>
      <c r="G587">
        <v>15514512</v>
      </c>
      <c r="H587">
        <v>1</v>
      </c>
      <c r="I587" t="s">
        <v>885</v>
      </c>
      <c r="J587" t="s">
        <v>3</v>
      </c>
      <c r="K587" t="s">
        <v>886</v>
      </c>
      <c r="L587">
        <v>1191</v>
      </c>
      <c r="N587">
        <v>1013</v>
      </c>
      <c r="O587" t="s">
        <v>887</v>
      </c>
      <c r="P587" t="s">
        <v>887</v>
      </c>
      <c r="Q587">
        <v>1</v>
      </c>
      <c r="X587">
        <v>0.57999999999999996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1</v>
      </c>
      <c r="AE587">
        <v>1</v>
      </c>
      <c r="AF587" t="s">
        <v>3</v>
      </c>
      <c r="AG587">
        <v>0.57999999999999996</v>
      </c>
      <c r="AH587">
        <v>3</v>
      </c>
      <c r="AI587">
        <v>-1</v>
      </c>
      <c r="AJ587" t="s">
        <v>3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</row>
    <row r="588" spans="1:44" x14ac:dyDescent="0.2">
      <c r="A588">
        <f>ROW(Source!A664)</f>
        <v>664</v>
      </c>
      <c r="B588">
        <v>1472513143</v>
      </c>
      <c r="C588">
        <v>1472498641</v>
      </c>
      <c r="D588">
        <v>1441834258</v>
      </c>
      <c r="E588">
        <v>1</v>
      </c>
      <c r="F588">
        <v>1</v>
      </c>
      <c r="G588">
        <v>15514512</v>
      </c>
      <c r="H588">
        <v>2</v>
      </c>
      <c r="I588" t="s">
        <v>892</v>
      </c>
      <c r="J588" t="s">
        <v>893</v>
      </c>
      <c r="K588" t="s">
        <v>894</v>
      </c>
      <c r="L588">
        <v>1368</v>
      </c>
      <c r="N588">
        <v>1011</v>
      </c>
      <c r="O588" t="s">
        <v>895</v>
      </c>
      <c r="P588" t="s">
        <v>895</v>
      </c>
      <c r="Q588">
        <v>1</v>
      </c>
      <c r="X588">
        <v>0.03</v>
      </c>
      <c r="Y588">
        <v>0</v>
      </c>
      <c r="Z588">
        <v>1303.01</v>
      </c>
      <c r="AA588">
        <v>826.2</v>
      </c>
      <c r="AB588">
        <v>0</v>
      </c>
      <c r="AC588">
        <v>0</v>
      </c>
      <c r="AD588">
        <v>1</v>
      </c>
      <c r="AE588">
        <v>0</v>
      </c>
      <c r="AF588" t="s">
        <v>3</v>
      </c>
      <c r="AG588">
        <v>0.03</v>
      </c>
      <c r="AH588">
        <v>3</v>
      </c>
      <c r="AI588">
        <v>-1</v>
      </c>
      <c r="AJ588" t="s">
        <v>3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</row>
    <row r="589" spans="1:44" x14ac:dyDescent="0.2">
      <c r="A589">
        <f>ROW(Source!A664)</f>
        <v>664</v>
      </c>
      <c r="B589">
        <v>1472513144</v>
      </c>
      <c r="C589">
        <v>1472498641</v>
      </c>
      <c r="D589">
        <v>1441836235</v>
      </c>
      <c r="E589">
        <v>1</v>
      </c>
      <c r="F589">
        <v>1</v>
      </c>
      <c r="G589">
        <v>15514512</v>
      </c>
      <c r="H589">
        <v>3</v>
      </c>
      <c r="I589" t="s">
        <v>912</v>
      </c>
      <c r="J589" t="s">
        <v>913</v>
      </c>
      <c r="K589" t="s">
        <v>914</v>
      </c>
      <c r="L589">
        <v>1346</v>
      </c>
      <c r="N589">
        <v>1009</v>
      </c>
      <c r="O589" t="s">
        <v>898</v>
      </c>
      <c r="P589" t="s">
        <v>898</v>
      </c>
      <c r="Q589">
        <v>1</v>
      </c>
      <c r="X589">
        <v>1.4999999999999999E-2</v>
      </c>
      <c r="Y589">
        <v>31.49</v>
      </c>
      <c r="Z589">
        <v>0</v>
      </c>
      <c r="AA589">
        <v>0</v>
      </c>
      <c r="AB589">
        <v>0</v>
      </c>
      <c r="AC589">
        <v>0</v>
      </c>
      <c r="AD589">
        <v>1</v>
      </c>
      <c r="AE589">
        <v>0</v>
      </c>
      <c r="AF589" t="s">
        <v>3</v>
      </c>
      <c r="AG589">
        <v>1.4999999999999999E-2</v>
      </c>
      <c r="AH589">
        <v>3</v>
      </c>
      <c r="AI589">
        <v>-1</v>
      </c>
      <c r="AJ589" t="s">
        <v>3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</row>
    <row r="590" spans="1:44" x14ac:dyDescent="0.2">
      <c r="A590">
        <f>ROW(Source!A735)</f>
        <v>735</v>
      </c>
      <c r="B590">
        <v>1472513153</v>
      </c>
      <c r="C590">
        <v>1472498667</v>
      </c>
      <c r="D590">
        <v>1441819193</v>
      </c>
      <c r="E590">
        <v>15514512</v>
      </c>
      <c r="F590">
        <v>1</v>
      </c>
      <c r="G590">
        <v>15514512</v>
      </c>
      <c r="H590">
        <v>1</v>
      </c>
      <c r="I590" t="s">
        <v>885</v>
      </c>
      <c r="J590" t="s">
        <v>3</v>
      </c>
      <c r="K590" t="s">
        <v>886</v>
      </c>
      <c r="L590">
        <v>1191</v>
      </c>
      <c r="N590">
        <v>1013</v>
      </c>
      <c r="O590" t="s">
        <v>887</v>
      </c>
      <c r="P590" t="s">
        <v>887</v>
      </c>
      <c r="Q590">
        <v>1</v>
      </c>
      <c r="X590">
        <v>9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1</v>
      </c>
      <c r="AE590">
        <v>1</v>
      </c>
      <c r="AF590" t="s">
        <v>3</v>
      </c>
      <c r="AG590">
        <v>9</v>
      </c>
      <c r="AH590">
        <v>3</v>
      </c>
      <c r="AI590">
        <v>-1</v>
      </c>
      <c r="AJ590" t="s">
        <v>3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</row>
    <row r="591" spans="1:44" x14ac:dyDescent="0.2">
      <c r="A591">
        <f>ROW(Source!A735)</f>
        <v>735</v>
      </c>
      <c r="B591">
        <v>1472513156</v>
      </c>
      <c r="C591">
        <v>1472498667</v>
      </c>
      <c r="D591">
        <v>1441836237</v>
      </c>
      <c r="E591">
        <v>1</v>
      </c>
      <c r="F591">
        <v>1</v>
      </c>
      <c r="G591">
        <v>15514512</v>
      </c>
      <c r="H591">
        <v>3</v>
      </c>
      <c r="I591" t="s">
        <v>1045</v>
      </c>
      <c r="J591" t="s">
        <v>1046</v>
      </c>
      <c r="K591" t="s">
        <v>1047</v>
      </c>
      <c r="L591">
        <v>1346</v>
      </c>
      <c r="N591">
        <v>1009</v>
      </c>
      <c r="O591" t="s">
        <v>898</v>
      </c>
      <c r="P591" t="s">
        <v>898</v>
      </c>
      <c r="Q591">
        <v>1</v>
      </c>
      <c r="X591">
        <v>0.18</v>
      </c>
      <c r="Y591">
        <v>375.16</v>
      </c>
      <c r="Z591">
        <v>0</v>
      </c>
      <c r="AA591">
        <v>0</v>
      </c>
      <c r="AB591">
        <v>0</v>
      </c>
      <c r="AC591">
        <v>0</v>
      </c>
      <c r="AD591">
        <v>1</v>
      </c>
      <c r="AE591">
        <v>0</v>
      </c>
      <c r="AF591" t="s">
        <v>3</v>
      </c>
      <c r="AG591">
        <v>0.18</v>
      </c>
      <c r="AH591">
        <v>3</v>
      </c>
      <c r="AI591">
        <v>-1</v>
      </c>
      <c r="AJ591" t="s">
        <v>3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</row>
    <row r="592" spans="1:44" x14ac:dyDescent="0.2">
      <c r="A592">
        <f>ROW(Source!A735)</f>
        <v>735</v>
      </c>
      <c r="B592">
        <v>1472513157</v>
      </c>
      <c r="C592">
        <v>1472498667</v>
      </c>
      <c r="D592">
        <v>1441836235</v>
      </c>
      <c r="E592">
        <v>1</v>
      </c>
      <c r="F592">
        <v>1</v>
      </c>
      <c r="G592">
        <v>15514512</v>
      </c>
      <c r="H592">
        <v>3</v>
      </c>
      <c r="I592" t="s">
        <v>912</v>
      </c>
      <c r="J592" t="s">
        <v>913</v>
      </c>
      <c r="K592" t="s">
        <v>914</v>
      </c>
      <c r="L592">
        <v>1346</v>
      </c>
      <c r="N592">
        <v>1009</v>
      </c>
      <c r="O592" t="s">
        <v>898</v>
      </c>
      <c r="P592" t="s">
        <v>898</v>
      </c>
      <c r="Q592">
        <v>1</v>
      </c>
      <c r="X592">
        <v>0.05</v>
      </c>
      <c r="Y592">
        <v>31.49</v>
      </c>
      <c r="Z592">
        <v>0</v>
      </c>
      <c r="AA592">
        <v>0</v>
      </c>
      <c r="AB592">
        <v>0</v>
      </c>
      <c r="AC592">
        <v>0</v>
      </c>
      <c r="AD592">
        <v>1</v>
      </c>
      <c r="AE592">
        <v>0</v>
      </c>
      <c r="AF592" t="s">
        <v>3</v>
      </c>
      <c r="AG592">
        <v>0.05</v>
      </c>
      <c r="AH592">
        <v>3</v>
      </c>
      <c r="AI592">
        <v>-1</v>
      </c>
      <c r="AJ592" t="s">
        <v>3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</row>
    <row r="593" spans="1:44" x14ac:dyDescent="0.2">
      <c r="A593">
        <f>ROW(Source!A735)</f>
        <v>735</v>
      </c>
      <c r="B593">
        <v>1472513154</v>
      </c>
      <c r="C593">
        <v>1472498667</v>
      </c>
      <c r="D593">
        <v>1441822228</v>
      </c>
      <c r="E593">
        <v>15514512</v>
      </c>
      <c r="F593">
        <v>1</v>
      </c>
      <c r="G593">
        <v>15514512</v>
      </c>
      <c r="H593">
        <v>3</v>
      </c>
      <c r="I593" t="s">
        <v>956</v>
      </c>
      <c r="J593" t="s">
        <v>3</v>
      </c>
      <c r="K593" t="s">
        <v>958</v>
      </c>
      <c r="L593">
        <v>1346</v>
      </c>
      <c r="N593">
        <v>1009</v>
      </c>
      <c r="O593" t="s">
        <v>898</v>
      </c>
      <c r="P593" t="s">
        <v>898</v>
      </c>
      <c r="Q593">
        <v>1</v>
      </c>
      <c r="X593">
        <v>0.05</v>
      </c>
      <c r="Y593">
        <v>73.951729999999998</v>
      </c>
      <c r="Z593">
        <v>0</v>
      </c>
      <c r="AA593">
        <v>0</v>
      </c>
      <c r="AB593">
        <v>0</v>
      </c>
      <c r="AC593">
        <v>0</v>
      </c>
      <c r="AD593">
        <v>1</v>
      </c>
      <c r="AE593">
        <v>0</v>
      </c>
      <c r="AF593" t="s">
        <v>3</v>
      </c>
      <c r="AG593">
        <v>0.05</v>
      </c>
      <c r="AH593">
        <v>3</v>
      </c>
      <c r="AI593">
        <v>-1</v>
      </c>
      <c r="AJ593" t="s">
        <v>3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v>0</v>
      </c>
    </row>
    <row r="594" spans="1:44" x14ac:dyDescent="0.2">
      <c r="A594">
        <f>ROW(Source!A735)</f>
        <v>735</v>
      </c>
      <c r="B594">
        <v>1472513158</v>
      </c>
      <c r="C594">
        <v>1472498667</v>
      </c>
      <c r="D594">
        <v>1441834920</v>
      </c>
      <c r="E594">
        <v>1</v>
      </c>
      <c r="F594">
        <v>1</v>
      </c>
      <c r="G594">
        <v>15514512</v>
      </c>
      <c r="H594">
        <v>3</v>
      </c>
      <c r="I594" t="s">
        <v>1048</v>
      </c>
      <c r="J594" t="s">
        <v>1049</v>
      </c>
      <c r="K594" t="s">
        <v>1050</v>
      </c>
      <c r="L594">
        <v>1346</v>
      </c>
      <c r="N594">
        <v>1009</v>
      </c>
      <c r="O594" t="s">
        <v>898</v>
      </c>
      <c r="P594" t="s">
        <v>898</v>
      </c>
      <c r="Q594">
        <v>1</v>
      </c>
      <c r="X594">
        <v>0.04</v>
      </c>
      <c r="Y594">
        <v>106.87</v>
      </c>
      <c r="Z594">
        <v>0</v>
      </c>
      <c r="AA594">
        <v>0</v>
      </c>
      <c r="AB594">
        <v>0</v>
      </c>
      <c r="AC594">
        <v>0</v>
      </c>
      <c r="AD594">
        <v>1</v>
      </c>
      <c r="AE594">
        <v>0</v>
      </c>
      <c r="AF594" t="s">
        <v>3</v>
      </c>
      <c r="AG594">
        <v>0.04</v>
      </c>
      <c r="AH594">
        <v>3</v>
      </c>
      <c r="AI594">
        <v>-1</v>
      </c>
      <c r="AJ594" t="s">
        <v>3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v>0</v>
      </c>
    </row>
    <row r="595" spans="1:44" x14ac:dyDescent="0.2">
      <c r="A595">
        <f>ROW(Source!A736)</f>
        <v>736</v>
      </c>
      <c r="B595">
        <v>1472513189</v>
      </c>
      <c r="C595">
        <v>1472498685</v>
      </c>
      <c r="D595">
        <v>1441819193</v>
      </c>
      <c r="E595">
        <v>15514512</v>
      </c>
      <c r="F595">
        <v>1</v>
      </c>
      <c r="G595">
        <v>15514512</v>
      </c>
      <c r="H595">
        <v>1</v>
      </c>
      <c r="I595" t="s">
        <v>885</v>
      </c>
      <c r="J595" t="s">
        <v>3</v>
      </c>
      <c r="K595" t="s">
        <v>886</v>
      </c>
      <c r="L595">
        <v>1191</v>
      </c>
      <c r="N595">
        <v>1013</v>
      </c>
      <c r="O595" t="s">
        <v>887</v>
      </c>
      <c r="P595" t="s">
        <v>887</v>
      </c>
      <c r="Q595">
        <v>1</v>
      </c>
      <c r="X595">
        <v>0.3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1</v>
      </c>
      <c r="AE595">
        <v>1</v>
      </c>
      <c r="AF595" t="s">
        <v>577</v>
      </c>
      <c r="AG595">
        <v>0.89999999999999991</v>
      </c>
      <c r="AH595">
        <v>3</v>
      </c>
      <c r="AI595">
        <v>-1</v>
      </c>
      <c r="AJ595" t="s">
        <v>3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v>0</v>
      </c>
    </row>
    <row r="596" spans="1:44" x14ac:dyDescent="0.2">
      <c r="A596">
        <f>ROW(Source!A736)</f>
        <v>736</v>
      </c>
      <c r="B596">
        <v>1472513191</v>
      </c>
      <c r="C596">
        <v>1472498685</v>
      </c>
      <c r="D596">
        <v>1441836235</v>
      </c>
      <c r="E596">
        <v>1</v>
      </c>
      <c r="F596">
        <v>1</v>
      </c>
      <c r="G596">
        <v>15514512</v>
      </c>
      <c r="H596">
        <v>3</v>
      </c>
      <c r="I596" t="s">
        <v>912</v>
      </c>
      <c r="J596" t="s">
        <v>913</v>
      </c>
      <c r="K596" t="s">
        <v>914</v>
      </c>
      <c r="L596">
        <v>1346</v>
      </c>
      <c r="N596">
        <v>1009</v>
      </c>
      <c r="O596" t="s">
        <v>898</v>
      </c>
      <c r="P596" t="s">
        <v>898</v>
      </c>
      <c r="Q596">
        <v>1</v>
      </c>
      <c r="X596">
        <v>2E-3</v>
      </c>
      <c r="Y596">
        <v>31.49</v>
      </c>
      <c r="Z596">
        <v>0</v>
      </c>
      <c r="AA596">
        <v>0</v>
      </c>
      <c r="AB596">
        <v>0</v>
      </c>
      <c r="AC596">
        <v>0</v>
      </c>
      <c r="AD596">
        <v>1</v>
      </c>
      <c r="AE596">
        <v>0</v>
      </c>
      <c r="AF596" t="s">
        <v>577</v>
      </c>
      <c r="AG596">
        <v>6.0000000000000001E-3</v>
      </c>
      <c r="AH596">
        <v>3</v>
      </c>
      <c r="AI596">
        <v>-1</v>
      </c>
      <c r="AJ596" t="s">
        <v>3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0</v>
      </c>
      <c r="AR596">
        <v>0</v>
      </c>
    </row>
    <row r="597" spans="1:44" x14ac:dyDescent="0.2">
      <c r="A597">
        <f>ROW(Source!A736)</f>
        <v>736</v>
      </c>
      <c r="B597">
        <v>1472513190</v>
      </c>
      <c r="C597">
        <v>1472498685</v>
      </c>
      <c r="D597">
        <v>1441822228</v>
      </c>
      <c r="E597">
        <v>15514512</v>
      </c>
      <c r="F597">
        <v>1</v>
      </c>
      <c r="G597">
        <v>15514512</v>
      </c>
      <c r="H597">
        <v>3</v>
      </c>
      <c r="I597" t="s">
        <v>956</v>
      </c>
      <c r="J597" t="s">
        <v>3</v>
      </c>
      <c r="K597" t="s">
        <v>958</v>
      </c>
      <c r="L597">
        <v>1346</v>
      </c>
      <c r="N597">
        <v>1009</v>
      </c>
      <c r="O597" t="s">
        <v>898</v>
      </c>
      <c r="P597" t="s">
        <v>898</v>
      </c>
      <c r="Q597">
        <v>1</v>
      </c>
      <c r="X597">
        <v>5.0000000000000001E-3</v>
      </c>
      <c r="Y597">
        <v>73.951729999999998</v>
      </c>
      <c r="Z597">
        <v>0</v>
      </c>
      <c r="AA597">
        <v>0</v>
      </c>
      <c r="AB597">
        <v>0</v>
      </c>
      <c r="AC597">
        <v>0</v>
      </c>
      <c r="AD597">
        <v>1</v>
      </c>
      <c r="AE597">
        <v>0</v>
      </c>
      <c r="AF597" t="s">
        <v>577</v>
      </c>
      <c r="AG597">
        <v>1.4999999999999999E-2</v>
      </c>
      <c r="AH597">
        <v>3</v>
      </c>
      <c r="AI597">
        <v>-1</v>
      </c>
      <c r="AJ597" t="s">
        <v>3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0</v>
      </c>
      <c r="AR597">
        <v>0</v>
      </c>
    </row>
    <row r="598" spans="1:44" x14ac:dyDescent="0.2">
      <c r="A598">
        <f>ROW(Source!A737)</f>
        <v>737</v>
      </c>
      <c r="B598">
        <v>1472513222</v>
      </c>
      <c r="C598">
        <v>1472498711</v>
      </c>
      <c r="D598">
        <v>1441819193</v>
      </c>
      <c r="E598">
        <v>15514512</v>
      </c>
      <c r="F598">
        <v>1</v>
      </c>
      <c r="G598">
        <v>15514512</v>
      </c>
      <c r="H598">
        <v>1</v>
      </c>
      <c r="I598" t="s">
        <v>885</v>
      </c>
      <c r="J598" t="s">
        <v>3</v>
      </c>
      <c r="K598" t="s">
        <v>886</v>
      </c>
      <c r="L598">
        <v>1191</v>
      </c>
      <c r="N598">
        <v>1013</v>
      </c>
      <c r="O598" t="s">
        <v>887</v>
      </c>
      <c r="P598" t="s">
        <v>887</v>
      </c>
      <c r="Q598">
        <v>1</v>
      </c>
      <c r="X598">
        <v>1.63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1</v>
      </c>
      <c r="AE598">
        <v>1</v>
      </c>
      <c r="AF598" t="s">
        <v>3</v>
      </c>
      <c r="AG598">
        <v>1.63</v>
      </c>
      <c r="AH598">
        <v>3</v>
      </c>
      <c r="AI598">
        <v>-1</v>
      </c>
      <c r="AJ598" t="s">
        <v>3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0</v>
      </c>
      <c r="AR598">
        <v>0</v>
      </c>
    </row>
    <row r="599" spans="1:44" x14ac:dyDescent="0.2">
      <c r="A599">
        <f>ROW(Source!A737)</f>
        <v>737</v>
      </c>
      <c r="B599">
        <v>1472513223</v>
      </c>
      <c r="C599">
        <v>1472498711</v>
      </c>
      <c r="D599">
        <v>1441836187</v>
      </c>
      <c r="E599">
        <v>1</v>
      </c>
      <c r="F599">
        <v>1</v>
      </c>
      <c r="G599">
        <v>15514512</v>
      </c>
      <c r="H599">
        <v>3</v>
      </c>
      <c r="I599" t="s">
        <v>909</v>
      </c>
      <c r="J599" t="s">
        <v>910</v>
      </c>
      <c r="K599" t="s">
        <v>911</v>
      </c>
      <c r="L599">
        <v>1346</v>
      </c>
      <c r="N599">
        <v>1009</v>
      </c>
      <c r="O599" t="s">
        <v>898</v>
      </c>
      <c r="P599" t="s">
        <v>898</v>
      </c>
      <c r="Q599">
        <v>1</v>
      </c>
      <c r="X599">
        <v>1.9599999999999999E-3</v>
      </c>
      <c r="Y599">
        <v>424.66</v>
      </c>
      <c r="Z599">
        <v>0</v>
      </c>
      <c r="AA599">
        <v>0</v>
      </c>
      <c r="AB599">
        <v>0</v>
      </c>
      <c r="AC599">
        <v>0</v>
      </c>
      <c r="AD599">
        <v>1</v>
      </c>
      <c r="AE599">
        <v>0</v>
      </c>
      <c r="AF599" t="s">
        <v>3</v>
      </c>
      <c r="AG599">
        <v>1.9599999999999999E-3</v>
      </c>
      <c r="AH599">
        <v>3</v>
      </c>
      <c r="AI599">
        <v>-1</v>
      </c>
      <c r="AJ599" t="s">
        <v>3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0</v>
      </c>
      <c r="AR599">
        <v>0</v>
      </c>
    </row>
    <row r="600" spans="1:44" x14ac:dyDescent="0.2">
      <c r="A600">
        <f>ROW(Source!A737)</f>
        <v>737</v>
      </c>
      <c r="B600">
        <v>1472513224</v>
      </c>
      <c r="C600">
        <v>1472498711</v>
      </c>
      <c r="D600">
        <v>1441836235</v>
      </c>
      <c r="E600">
        <v>1</v>
      </c>
      <c r="F600">
        <v>1</v>
      </c>
      <c r="G600">
        <v>15514512</v>
      </c>
      <c r="H600">
        <v>3</v>
      </c>
      <c r="I600" t="s">
        <v>912</v>
      </c>
      <c r="J600" t="s">
        <v>913</v>
      </c>
      <c r="K600" t="s">
        <v>914</v>
      </c>
      <c r="L600">
        <v>1346</v>
      </c>
      <c r="N600">
        <v>1009</v>
      </c>
      <c r="O600" t="s">
        <v>898</v>
      </c>
      <c r="P600" t="s">
        <v>898</v>
      </c>
      <c r="Q600">
        <v>1</v>
      </c>
      <c r="X600">
        <v>0.03</v>
      </c>
      <c r="Y600">
        <v>31.49</v>
      </c>
      <c r="Z600">
        <v>0</v>
      </c>
      <c r="AA600">
        <v>0</v>
      </c>
      <c r="AB600">
        <v>0</v>
      </c>
      <c r="AC600">
        <v>0</v>
      </c>
      <c r="AD600">
        <v>1</v>
      </c>
      <c r="AE600">
        <v>0</v>
      </c>
      <c r="AF600" t="s">
        <v>3</v>
      </c>
      <c r="AG600">
        <v>0.03</v>
      </c>
      <c r="AH600">
        <v>3</v>
      </c>
      <c r="AI600">
        <v>-1</v>
      </c>
      <c r="AJ600" t="s">
        <v>3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0</v>
      </c>
      <c r="AR600">
        <v>0</v>
      </c>
    </row>
    <row r="601" spans="1:44" x14ac:dyDescent="0.2">
      <c r="A601">
        <f>ROW(Source!A738)</f>
        <v>738</v>
      </c>
      <c r="B601">
        <v>1472513249</v>
      </c>
      <c r="C601">
        <v>1472498725</v>
      </c>
      <c r="D601">
        <v>1441819193</v>
      </c>
      <c r="E601">
        <v>15514512</v>
      </c>
      <c r="F601">
        <v>1</v>
      </c>
      <c r="G601">
        <v>15514512</v>
      </c>
      <c r="H601">
        <v>1</v>
      </c>
      <c r="I601" t="s">
        <v>885</v>
      </c>
      <c r="J601" t="s">
        <v>3</v>
      </c>
      <c r="K601" t="s">
        <v>886</v>
      </c>
      <c r="L601">
        <v>1191</v>
      </c>
      <c r="N601">
        <v>1013</v>
      </c>
      <c r="O601" t="s">
        <v>887</v>
      </c>
      <c r="P601" t="s">
        <v>887</v>
      </c>
      <c r="Q601">
        <v>1</v>
      </c>
      <c r="X601">
        <v>0.2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1</v>
      </c>
      <c r="AE601">
        <v>1</v>
      </c>
      <c r="AF601" t="s">
        <v>584</v>
      </c>
      <c r="AG601">
        <v>0.8</v>
      </c>
      <c r="AH601">
        <v>3</v>
      </c>
      <c r="AI601">
        <v>-1</v>
      </c>
      <c r="AJ601" t="s">
        <v>3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0</v>
      </c>
      <c r="AR601">
        <v>0</v>
      </c>
    </row>
    <row r="602" spans="1:44" x14ac:dyDescent="0.2">
      <c r="A602">
        <f>ROW(Source!A738)</f>
        <v>738</v>
      </c>
      <c r="B602">
        <v>1472513251</v>
      </c>
      <c r="C602">
        <v>1472498725</v>
      </c>
      <c r="D602">
        <v>1441836235</v>
      </c>
      <c r="E602">
        <v>1</v>
      </c>
      <c r="F602">
        <v>1</v>
      </c>
      <c r="G602">
        <v>15514512</v>
      </c>
      <c r="H602">
        <v>3</v>
      </c>
      <c r="I602" t="s">
        <v>912</v>
      </c>
      <c r="J602" t="s">
        <v>913</v>
      </c>
      <c r="K602" t="s">
        <v>914</v>
      </c>
      <c r="L602">
        <v>1346</v>
      </c>
      <c r="N602">
        <v>1009</v>
      </c>
      <c r="O602" t="s">
        <v>898</v>
      </c>
      <c r="P602" t="s">
        <v>898</v>
      </c>
      <c r="Q602">
        <v>1</v>
      </c>
      <c r="X602">
        <v>1E-3</v>
      </c>
      <c r="Y602">
        <v>31.49</v>
      </c>
      <c r="Z602">
        <v>0</v>
      </c>
      <c r="AA602">
        <v>0</v>
      </c>
      <c r="AB602">
        <v>0</v>
      </c>
      <c r="AC602">
        <v>0</v>
      </c>
      <c r="AD602">
        <v>1</v>
      </c>
      <c r="AE602">
        <v>0</v>
      </c>
      <c r="AF602" t="s">
        <v>584</v>
      </c>
      <c r="AG602">
        <v>4.0000000000000001E-3</v>
      </c>
      <c r="AH602">
        <v>3</v>
      </c>
      <c r="AI602">
        <v>-1</v>
      </c>
      <c r="AJ602" t="s">
        <v>3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0</v>
      </c>
      <c r="AR602">
        <v>0</v>
      </c>
    </row>
    <row r="603" spans="1:44" x14ac:dyDescent="0.2">
      <c r="A603">
        <f>ROW(Source!A738)</f>
        <v>738</v>
      </c>
      <c r="B603">
        <v>1472513250</v>
      </c>
      <c r="C603">
        <v>1472498725</v>
      </c>
      <c r="D603">
        <v>1441822196</v>
      </c>
      <c r="E603">
        <v>15514512</v>
      </c>
      <c r="F603">
        <v>1</v>
      </c>
      <c r="G603">
        <v>15514512</v>
      </c>
      <c r="H603">
        <v>3</v>
      </c>
      <c r="I603" t="s">
        <v>1002</v>
      </c>
      <c r="J603" t="s">
        <v>3</v>
      </c>
      <c r="K603" t="s">
        <v>1004</v>
      </c>
      <c r="L603">
        <v>1346</v>
      </c>
      <c r="N603">
        <v>1009</v>
      </c>
      <c r="O603" t="s">
        <v>898</v>
      </c>
      <c r="P603" t="s">
        <v>898</v>
      </c>
      <c r="Q603">
        <v>1</v>
      </c>
      <c r="X603">
        <v>1E-3</v>
      </c>
      <c r="Y603">
        <v>88.053759999999997</v>
      </c>
      <c r="Z603">
        <v>0</v>
      </c>
      <c r="AA603">
        <v>0</v>
      </c>
      <c r="AB603">
        <v>0</v>
      </c>
      <c r="AC603">
        <v>0</v>
      </c>
      <c r="AD603">
        <v>1</v>
      </c>
      <c r="AE603">
        <v>0</v>
      </c>
      <c r="AF603" t="s">
        <v>584</v>
      </c>
      <c r="AG603">
        <v>4.0000000000000001E-3</v>
      </c>
      <c r="AH603">
        <v>3</v>
      </c>
      <c r="AI603">
        <v>-1</v>
      </c>
      <c r="AJ603" t="s">
        <v>3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0</v>
      </c>
      <c r="AR603">
        <v>0</v>
      </c>
    </row>
    <row r="604" spans="1:44" x14ac:dyDescent="0.2">
      <c r="A604">
        <f>ROW(Source!A738)</f>
        <v>738</v>
      </c>
      <c r="B604">
        <v>1472513252</v>
      </c>
      <c r="C604">
        <v>1472498725</v>
      </c>
      <c r="D604">
        <v>1441820992</v>
      </c>
      <c r="E604">
        <v>15514512</v>
      </c>
      <c r="F604">
        <v>1</v>
      </c>
      <c r="G604">
        <v>15514512</v>
      </c>
      <c r="H604">
        <v>3</v>
      </c>
      <c r="I604" t="s">
        <v>1008</v>
      </c>
      <c r="J604" t="s">
        <v>3</v>
      </c>
      <c r="K604" t="s">
        <v>1010</v>
      </c>
      <c r="L604">
        <v>1346</v>
      </c>
      <c r="N604">
        <v>1009</v>
      </c>
      <c r="O604" t="s">
        <v>898</v>
      </c>
      <c r="P604" t="s">
        <v>898</v>
      </c>
      <c r="Q604">
        <v>1</v>
      </c>
      <c r="X604">
        <v>0.01</v>
      </c>
      <c r="Y604">
        <v>78.065730000000002</v>
      </c>
      <c r="Z604">
        <v>0</v>
      </c>
      <c r="AA604">
        <v>0</v>
      </c>
      <c r="AB604">
        <v>0</v>
      </c>
      <c r="AC604">
        <v>0</v>
      </c>
      <c r="AD604">
        <v>1</v>
      </c>
      <c r="AE604">
        <v>0</v>
      </c>
      <c r="AF604" t="s">
        <v>584</v>
      </c>
      <c r="AG604">
        <v>0.04</v>
      </c>
      <c r="AH604">
        <v>3</v>
      </c>
      <c r="AI604">
        <v>-1</v>
      </c>
      <c r="AJ604" t="s">
        <v>3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0</v>
      </c>
      <c r="AR604">
        <v>0</v>
      </c>
    </row>
    <row r="605" spans="1:44" x14ac:dyDescent="0.2">
      <c r="A605">
        <f>ROW(Source!A739)</f>
        <v>739</v>
      </c>
      <c r="B605">
        <v>1472513278</v>
      </c>
      <c r="C605">
        <v>1472498742</v>
      </c>
      <c r="D605">
        <v>1441819193</v>
      </c>
      <c r="E605">
        <v>15514512</v>
      </c>
      <c r="F605">
        <v>1</v>
      </c>
      <c r="G605">
        <v>15514512</v>
      </c>
      <c r="H605">
        <v>1</v>
      </c>
      <c r="I605" t="s">
        <v>885</v>
      </c>
      <c r="J605" t="s">
        <v>3</v>
      </c>
      <c r="K605" t="s">
        <v>886</v>
      </c>
      <c r="L605">
        <v>1191</v>
      </c>
      <c r="N605">
        <v>1013</v>
      </c>
      <c r="O605" t="s">
        <v>887</v>
      </c>
      <c r="P605" t="s">
        <v>887</v>
      </c>
      <c r="Q605">
        <v>1</v>
      </c>
      <c r="X605">
        <v>0.2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1</v>
      </c>
      <c r="AE605">
        <v>1</v>
      </c>
      <c r="AF605" t="s">
        <v>3</v>
      </c>
      <c r="AG605">
        <v>0.2</v>
      </c>
      <c r="AH605">
        <v>3</v>
      </c>
      <c r="AI605">
        <v>-1</v>
      </c>
      <c r="AJ605" t="s">
        <v>3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0</v>
      </c>
      <c r="AR605">
        <v>0</v>
      </c>
    </row>
    <row r="606" spans="1:44" x14ac:dyDescent="0.2">
      <c r="A606">
        <f>ROW(Source!A739)</f>
        <v>739</v>
      </c>
      <c r="B606">
        <v>1472513279</v>
      </c>
      <c r="C606">
        <v>1472498742</v>
      </c>
      <c r="D606">
        <v>1441836235</v>
      </c>
      <c r="E606">
        <v>1</v>
      </c>
      <c r="F606">
        <v>1</v>
      </c>
      <c r="G606">
        <v>15514512</v>
      </c>
      <c r="H606">
        <v>3</v>
      </c>
      <c r="I606" t="s">
        <v>912</v>
      </c>
      <c r="J606" t="s">
        <v>913</v>
      </c>
      <c r="K606" t="s">
        <v>914</v>
      </c>
      <c r="L606">
        <v>1346</v>
      </c>
      <c r="N606">
        <v>1009</v>
      </c>
      <c r="O606" t="s">
        <v>898</v>
      </c>
      <c r="P606" t="s">
        <v>898</v>
      </c>
      <c r="Q606">
        <v>1</v>
      </c>
      <c r="X606">
        <v>0.05</v>
      </c>
      <c r="Y606">
        <v>31.49</v>
      </c>
      <c r="Z606">
        <v>0</v>
      </c>
      <c r="AA606">
        <v>0</v>
      </c>
      <c r="AB606">
        <v>0</v>
      </c>
      <c r="AC606">
        <v>0</v>
      </c>
      <c r="AD606">
        <v>1</v>
      </c>
      <c r="AE606">
        <v>0</v>
      </c>
      <c r="AF606" t="s">
        <v>3</v>
      </c>
      <c r="AG606">
        <v>0.05</v>
      </c>
      <c r="AH606">
        <v>3</v>
      </c>
      <c r="AI606">
        <v>-1</v>
      </c>
      <c r="AJ606" t="s">
        <v>3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</row>
    <row r="607" spans="1:44" x14ac:dyDescent="0.2">
      <c r="A607">
        <f>ROW(Source!A739)</f>
        <v>739</v>
      </c>
      <c r="B607">
        <v>1472513280</v>
      </c>
      <c r="C607">
        <v>1472498742</v>
      </c>
      <c r="D607">
        <v>1441839822</v>
      </c>
      <c r="E607">
        <v>1</v>
      </c>
      <c r="F607">
        <v>1</v>
      </c>
      <c r="G607">
        <v>15514512</v>
      </c>
      <c r="H607">
        <v>3</v>
      </c>
      <c r="I607" t="s">
        <v>1051</v>
      </c>
      <c r="J607" t="s">
        <v>1052</v>
      </c>
      <c r="K607" t="s">
        <v>1053</v>
      </c>
      <c r="L607">
        <v>1296</v>
      </c>
      <c r="N607">
        <v>1002</v>
      </c>
      <c r="O607" t="s">
        <v>918</v>
      </c>
      <c r="P607" t="s">
        <v>918</v>
      </c>
      <c r="Q607">
        <v>1</v>
      </c>
      <c r="X607">
        <v>0.03</v>
      </c>
      <c r="Y607">
        <v>157.41</v>
      </c>
      <c r="Z607">
        <v>0</v>
      </c>
      <c r="AA607">
        <v>0</v>
      </c>
      <c r="AB607">
        <v>0</v>
      </c>
      <c r="AC607">
        <v>0</v>
      </c>
      <c r="AD607">
        <v>1</v>
      </c>
      <c r="AE607">
        <v>0</v>
      </c>
      <c r="AF607" t="s">
        <v>3</v>
      </c>
      <c r="AG607">
        <v>0.03</v>
      </c>
      <c r="AH607">
        <v>3</v>
      </c>
      <c r="AI607">
        <v>-1</v>
      </c>
      <c r="AJ607" t="s">
        <v>3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0</v>
      </c>
      <c r="AR607">
        <v>0</v>
      </c>
    </row>
    <row r="608" spans="1:44" x14ac:dyDescent="0.2">
      <c r="A608">
        <f>ROW(Source!A740)</f>
        <v>740</v>
      </c>
      <c r="B608">
        <v>1472513312</v>
      </c>
      <c r="C608">
        <v>1472498762</v>
      </c>
      <c r="D608">
        <v>1441819193</v>
      </c>
      <c r="E608">
        <v>15514512</v>
      </c>
      <c r="F608">
        <v>1</v>
      </c>
      <c r="G608">
        <v>15514512</v>
      </c>
      <c r="H608">
        <v>1</v>
      </c>
      <c r="I608" t="s">
        <v>885</v>
      </c>
      <c r="J608" t="s">
        <v>3</v>
      </c>
      <c r="K608" t="s">
        <v>886</v>
      </c>
      <c r="L608">
        <v>1191</v>
      </c>
      <c r="N608">
        <v>1013</v>
      </c>
      <c r="O608" t="s">
        <v>887</v>
      </c>
      <c r="P608" t="s">
        <v>887</v>
      </c>
      <c r="Q608">
        <v>1</v>
      </c>
      <c r="X608">
        <v>0.53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1</v>
      </c>
      <c r="AE608">
        <v>1</v>
      </c>
      <c r="AF608" t="s">
        <v>592</v>
      </c>
      <c r="AG608">
        <v>64.13000000000001</v>
      </c>
      <c r="AH608">
        <v>3</v>
      </c>
      <c r="AI608">
        <v>-1</v>
      </c>
      <c r="AJ608" t="s">
        <v>3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0</v>
      </c>
      <c r="AR608">
        <v>0</v>
      </c>
    </row>
    <row r="609" spans="1:44" x14ac:dyDescent="0.2">
      <c r="A609">
        <f>ROW(Source!A741)</f>
        <v>741</v>
      </c>
      <c r="B609">
        <v>1472513321</v>
      </c>
      <c r="C609">
        <v>1472498767</v>
      </c>
      <c r="D609">
        <v>1441819193</v>
      </c>
      <c r="E609">
        <v>15514512</v>
      </c>
      <c r="F609">
        <v>1</v>
      </c>
      <c r="G609">
        <v>15514512</v>
      </c>
      <c r="H609">
        <v>1</v>
      </c>
      <c r="I609" t="s">
        <v>885</v>
      </c>
      <c r="J609" t="s">
        <v>3</v>
      </c>
      <c r="K609" t="s">
        <v>886</v>
      </c>
      <c r="L609">
        <v>1191</v>
      </c>
      <c r="N609">
        <v>1013</v>
      </c>
      <c r="O609" t="s">
        <v>887</v>
      </c>
      <c r="P609" t="s">
        <v>887</v>
      </c>
      <c r="Q609">
        <v>1</v>
      </c>
      <c r="X609">
        <v>18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1</v>
      </c>
      <c r="AE609">
        <v>1</v>
      </c>
      <c r="AF609" t="s">
        <v>3</v>
      </c>
      <c r="AG609">
        <v>18</v>
      </c>
      <c r="AH609">
        <v>3</v>
      </c>
      <c r="AI609">
        <v>-1</v>
      </c>
      <c r="AJ609" t="s">
        <v>3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v>0</v>
      </c>
    </row>
    <row r="610" spans="1:44" x14ac:dyDescent="0.2">
      <c r="A610">
        <f>ROW(Source!A741)</f>
        <v>741</v>
      </c>
      <c r="B610">
        <v>1472513324</v>
      </c>
      <c r="C610">
        <v>1472498767</v>
      </c>
      <c r="D610">
        <v>1441836237</v>
      </c>
      <c r="E610">
        <v>1</v>
      </c>
      <c r="F610">
        <v>1</v>
      </c>
      <c r="G610">
        <v>15514512</v>
      </c>
      <c r="H610">
        <v>3</v>
      </c>
      <c r="I610" t="s">
        <v>1045</v>
      </c>
      <c r="J610" t="s">
        <v>1046</v>
      </c>
      <c r="K610" t="s">
        <v>1047</v>
      </c>
      <c r="L610">
        <v>1346</v>
      </c>
      <c r="N610">
        <v>1009</v>
      </c>
      <c r="O610" t="s">
        <v>898</v>
      </c>
      <c r="P610" t="s">
        <v>898</v>
      </c>
      <c r="Q610">
        <v>1</v>
      </c>
      <c r="X610">
        <v>0.36</v>
      </c>
      <c r="Y610">
        <v>375.16</v>
      </c>
      <c r="Z610">
        <v>0</v>
      </c>
      <c r="AA610">
        <v>0</v>
      </c>
      <c r="AB610">
        <v>0</v>
      </c>
      <c r="AC610">
        <v>0</v>
      </c>
      <c r="AD610">
        <v>1</v>
      </c>
      <c r="AE610">
        <v>0</v>
      </c>
      <c r="AF610" t="s">
        <v>3</v>
      </c>
      <c r="AG610">
        <v>0.36</v>
      </c>
      <c r="AH610">
        <v>3</v>
      </c>
      <c r="AI610">
        <v>-1</v>
      </c>
      <c r="AJ610" t="s">
        <v>3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v>0</v>
      </c>
    </row>
    <row r="611" spans="1:44" x14ac:dyDescent="0.2">
      <c r="A611">
        <f>ROW(Source!A741)</f>
        <v>741</v>
      </c>
      <c r="B611">
        <v>1472513325</v>
      </c>
      <c r="C611">
        <v>1472498767</v>
      </c>
      <c r="D611">
        <v>1441836235</v>
      </c>
      <c r="E611">
        <v>1</v>
      </c>
      <c r="F611">
        <v>1</v>
      </c>
      <c r="G611">
        <v>15514512</v>
      </c>
      <c r="H611">
        <v>3</v>
      </c>
      <c r="I611" t="s">
        <v>912</v>
      </c>
      <c r="J611" t="s">
        <v>913</v>
      </c>
      <c r="K611" t="s">
        <v>914</v>
      </c>
      <c r="L611">
        <v>1346</v>
      </c>
      <c r="N611">
        <v>1009</v>
      </c>
      <c r="O611" t="s">
        <v>898</v>
      </c>
      <c r="P611" t="s">
        <v>898</v>
      </c>
      <c r="Q611">
        <v>1</v>
      </c>
      <c r="X611">
        <v>0.11</v>
      </c>
      <c r="Y611">
        <v>31.49</v>
      </c>
      <c r="Z611">
        <v>0</v>
      </c>
      <c r="AA611">
        <v>0</v>
      </c>
      <c r="AB611">
        <v>0</v>
      </c>
      <c r="AC611">
        <v>0</v>
      </c>
      <c r="AD611">
        <v>1</v>
      </c>
      <c r="AE611">
        <v>0</v>
      </c>
      <c r="AF611" t="s">
        <v>3</v>
      </c>
      <c r="AG611">
        <v>0.11</v>
      </c>
      <c r="AH611">
        <v>3</v>
      </c>
      <c r="AI611">
        <v>-1</v>
      </c>
      <c r="AJ611" t="s">
        <v>3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v>0</v>
      </c>
    </row>
    <row r="612" spans="1:44" x14ac:dyDescent="0.2">
      <c r="A612">
        <f>ROW(Source!A741)</f>
        <v>741</v>
      </c>
      <c r="B612">
        <v>1472513322</v>
      </c>
      <c r="C612">
        <v>1472498767</v>
      </c>
      <c r="D612">
        <v>1441822228</v>
      </c>
      <c r="E612">
        <v>15514512</v>
      </c>
      <c r="F612">
        <v>1</v>
      </c>
      <c r="G612">
        <v>15514512</v>
      </c>
      <c r="H612">
        <v>3</v>
      </c>
      <c r="I612" t="s">
        <v>956</v>
      </c>
      <c r="J612" t="s">
        <v>3</v>
      </c>
      <c r="K612" t="s">
        <v>958</v>
      </c>
      <c r="L612">
        <v>1346</v>
      </c>
      <c r="N612">
        <v>1009</v>
      </c>
      <c r="O612" t="s">
        <v>898</v>
      </c>
      <c r="P612" t="s">
        <v>898</v>
      </c>
      <c r="Q612">
        <v>1</v>
      </c>
      <c r="X612">
        <v>0.11</v>
      </c>
      <c r="Y612">
        <v>73.951729999999998</v>
      </c>
      <c r="Z612">
        <v>0</v>
      </c>
      <c r="AA612">
        <v>0</v>
      </c>
      <c r="AB612">
        <v>0</v>
      </c>
      <c r="AC612">
        <v>0</v>
      </c>
      <c r="AD612">
        <v>1</v>
      </c>
      <c r="AE612">
        <v>0</v>
      </c>
      <c r="AF612" t="s">
        <v>3</v>
      </c>
      <c r="AG612">
        <v>0.11</v>
      </c>
      <c r="AH612">
        <v>3</v>
      </c>
      <c r="AI612">
        <v>-1</v>
      </c>
      <c r="AJ612" t="s">
        <v>3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0</v>
      </c>
      <c r="AR612">
        <v>0</v>
      </c>
    </row>
    <row r="613" spans="1:44" x14ac:dyDescent="0.2">
      <c r="A613">
        <f>ROW(Source!A741)</f>
        <v>741</v>
      </c>
      <c r="B613">
        <v>1472513327</v>
      </c>
      <c r="C613">
        <v>1472498767</v>
      </c>
      <c r="D613">
        <v>1441834920</v>
      </c>
      <c r="E613">
        <v>1</v>
      </c>
      <c r="F613">
        <v>1</v>
      </c>
      <c r="G613">
        <v>15514512</v>
      </c>
      <c r="H613">
        <v>3</v>
      </c>
      <c r="I613" t="s">
        <v>1048</v>
      </c>
      <c r="J613" t="s">
        <v>1049</v>
      </c>
      <c r="K613" t="s">
        <v>1050</v>
      </c>
      <c r="L613">
        <v>1346</v>
      </c>
      <c r="N613">
        <v>1009</v>
      </c>
      <c r="O613" t="s">
        <v>898</v>
      </c>
      <c r="P613" t="s">
        <v>898</v>
      </c>
      <c r="Q613">
        <v>1</v>
      </c>
      <c r="X613">
        <v>7.0000000000000007E-2</v>
      </c>
      <c r="Y613">
        <v>106.87</v>
      </c>
      <c r="Z613">
        <v>0</v>
      </c>
      <c r="AA613">
        <v>0</v>
      </c>
      <c r="AB613">
        <v>0</v>
      </c>
      <c r="AC613">
        <v>0</v>
      </c>
      <c r="AD613">
        <v>1</v>
      </c>
      <c r="AE613">
        <v>0</v>
      </c>
      <c r="AF613" t="s">
        <v>3</v>
      </c>
      <c r="AG613">
        <v>7.0000000000000007E-2</v>
      </c>
      <c r="AH613">
        <v>3</v>
      </c>
      <c r="AI613">
        <v>-1</v>
      </c>
      <c r="AJ613" t="s">
        <v>3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0</v>
      </c>
      <c r="AR613">
        <v>0</v>
      </c>
    </row>
    <row r="614" spans="1:44" x14ac:dyDescent="0.2">
      <c r="A614">
        <f>ROW(Source!A742)</f>
        <v>742</v>
      </c>
      <c r="B614">
        <v>1472513354</v>
      </c>
      <c r="C614">
        <v>1472498801</v>
      </c>
      <c r="D614">
        <v>1441819193</v>
      </c>
      <c r="E614">
        <v>15514512</v>
      </c>
      <c r="F614">
        <v>1</v>
      </c>
      <c r="G614">
        <v>15514512</v>
      </c>
      <c r="H614">
        <v>1</v>
      </c>
      <c r="I614" t="s">
        <v>885</v>
      </c>
      <c r="J614" t="s">
        <v>3</v>
      </c>
      <c r="K614" t="s">
        <v>886</v>
      </c>
      <c r="L614">
        <v>1191</v>
      </c>
      <c r="N614">
        <v>1013</v>
      </c>
      <c r="O614" t="s">
        <v>887</v>
      </c>
      <c r="P614" t="s">
        <v>887</v>
      </c>
      <c r="Q614">
        <v>1</v>
      </c>
      <c r="X614">
        <v>0.6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1</v>
      </c>
      <c r="AE614">
        <v>1</v>
      </c>
      <c r="AF614" t="s">
        <v>577</v>
      </c>
      <c r="AG614">
        <v>1.7999999999999998</v>
      </c>
      <c r="AH614">
        <v>3</v>
      </c>
      <c r="AI614">
        <v>-1</v>
      </c>
      <c r="AJ614" t="s">
        <v>3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0</v>
      </c>
      <c r="AR614">
        <v>0</v>
      </c>
    </row>
    <row r="615" spans="1:44" x14ac:dyDescent="0.2">
      <c r="A615">
        <f>ROW(Source!A742)</f>
        <v>742</v>
      </c>
      <c r="B615">
        <v>1472513355</v>
      </c>
      <c r="C615">
        <v>1472498801</v>
      </c>
      <c r="D615">
        <v>1441822228</v>
      </c>
      <c r="E615">
        <v>15514512</v>
      </c>
      <c r="F615">
        <v>1</v>
      </c>
      <c r="G615">
        <v>15514512</v>
      </c>
      <c r="H615">
        <v>3</v>
      </c>
      <c r="I615" t="s">
        <v>956</v>
      </c>
      <c r="J615" t="s">
        <v>3</v>
      </c>
      <c r="K615" t="s">
        <v>958</v>
      </c>
      <c r="L615">
        <v>1346</v>
      </c>
      <c r="N615">
        <v>1009</v>
      </c>
      <c r="O615" t="s">
        <v>898</v>
      </c>
      <c r="P615" t="s">
        <v>898</v>
      </c>
      <c r="Q615">
        <v>1</v>
      </c>
      <c r="X615">
        <v>0.01</v>
      </c>
      <c r="Y615">
        <v>73.951729999999998</v>
      </c>
      <c r="Z615">
        <v>0</v>
      </c>
      <c r="AA615">
        <v>0</v>
      </c>
      <c r="AB615">
        <v>0</v>
      </c>
      <c r="AC615">
        <v>0</v>
      </c>
      <c r="AD615">
        <v>1</v>
      </c>
      <c r="AE615">
        <v>0</v>
      </c>
      <c r="AF615" t="s">
        <v>577</v>
      </c>
      <c r="AG615">
        <v>0.03</v>
      </c>
      <c r="AH615">
        <v>3</v>
      </c>
      <c r="AI615">
        <v>-1</v>
      </c>
      <c r="AJ615" t="s">
        <v>3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</row>
    <row r="616" spans="1:44" x14ac:dyDescent="0.2">
      <c r="A616">
        <f>ROW(Source!A743)</f>
        <v>743</v>
      </c>
      <c r="B616">
        <v>1472513379</v>
      </c>
      <c r="C616">
        <v>1472498810</v>
      </c>
      <c r="D616">
        <v>1441819193</v>
      </c>
      <c r="E616">
        <v>15514512</v>
      </c>
      <c r="F616">
        <v>1</v>
      </c>
      <c r="G616">
        <v>15514512</v>
      </c>
      <c r="H616">
        <v>1</v>
      </c>
      <c r="I616" t="s">
        <v>885</v>
      </c>
      <c r="J616" t="s">
        <v>3</v>
      </c>
      <c r="K616" t="s">
        <v>886</v>
      </c>
      <c r="L616">
        <v>1191</v>
      </c>
      <c r="N616">
        <v>1013</v>
      </c>
      <c r="O616" t="s">
        <v>887</v>
      </c>
      <c r="P616" t="s">
        <v>887</v>
      </c>
      <c r="Q616">
        <v>1</v>
      </c>
      <c r="X616">
        <v>24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1</v>
      </c>
      <c r="AE616">
        <v>1</v>
      </c>
      <c r="AF616" t="s">
        <v>3</v>
      </c>
      <c r="AG616">
        <v>24</v>
      </c>
      <c r="AH616">
        <v>3</v>
      </c>
      <c r="AI616">
        <v>-1</v>
      </c>
      <c r="AJ616" t="s">
        <v>3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0</v>
      </c>
      <c r="AR616">
        <v>0</v>
      </c>
    </row>
    <row r="617" spans="1:44" x14ac:dyDescent="0.2">
      <c r="A617">
        <f>ROW(Source!A743)</f>
        <v>743</v>
      </c>
      <c r="B617">
        <v>1472513381</v>
      </c>
      <c r="C617">
        <v>1472498810</v>
      </c>
      <c r="D617">
        <v>1441836237</v>
      </c>
      <c r="E617">
        <v>1</v>
      </c>
      <c r="F617">
        <v>1</v>
      </c>
      <c r="G617">
        <v>15514512</v>
      </c>
      <c r="H617">
        <v>3</v>
      </c>
      <c r="I617" t="s">
        <v>1045</v>
      </c>
      <c r="J617" t="s">
        <v>1046</v>
      </c>
      <c r="K617" t="s">
        <v>1047</v>
      </c>
      <c r="L617">
        <v>1346</v>
      </c>
      <c r="N617">
        <v>1009</v>
      </c>
      <c r="O617" t="s">
        <v>898</v>
      </c>
      <c r="P617" t="s">
        <v>898</v>
      </c>
      <c r="Q617">
        <v>1</v>
      </c>
      <c r="X617">
        <v>0.48</v>
      </c>
      <c r="Y617">
        <v>375.16</v>
      </c>
      <c r="Z617">
        <v>0</v>
      </c>
      <c r="AA617">
        <v>0</v>
      </c>
      <c r="AB617">
        <v>0</v>
      </c>
      <c r="AC617">
        <v>0</v>
      </c>
      <c r="AD617">
        <v>1</v>
      </c>
      <c r="AE617">
        <v>0</v>
      </c>
      <c r="AF617" t="s">
        <v>3</v>
      </c>
      <c r="AG617">
        <v>0.48</v>
      </c>
      <c r="AH617">
        <v>3</v>
      </c>
      <c r="AI617">
        <v>-1</v>
      </c>
      <c r="AJ617" t="s">
        <v>3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0</v>
      </c>
      <c r="AR617">
        <v>0</v>
      </c>
    </row>
    <row r="618" spans="1:44" x14ac:dyDescent="0.2">
      <c r="A618">
        <f>ROW(Source!A743)</f>
        <v>743</v>
      </c>
      <c r="B618">
        <v>1472513382</v>
      </c>
      <c r="C618">
        <v>1472498810</v>
      </c>
      <c r="D618">
        <v>1441836235</v>
      </c>
      <c r="E618">
        <v>1</v>
      </c>
      <c r="F618">
        <v>1</v>
      </c>
      <c r="G618">
        <v>15514512</v>
      </c>
      <c r="H618">
        <v>3</v>
      </c>
      <c r="I618" t="s">
        <v>912</v>
      </c>
      <c r="J618" t="s">
        <v>913</v>
      </c>
      <c r="K618" t="s">
        <v>914</v>
      </c>
      <c r="L618">
        <v>1346</v>
      </c>
      <c r="N618">
        <v>1009</v>
      </c>
      <c r="O618" t="s">
        <v>898</v>
      </c>
      <c r="P618" t="s">
        <v>898</v>
      </c>
      <c r="Q618">
        <v>1</v>
      </c>
      <c r="X618">
        <v>0.14000000000000001</v>
      </c>
      <c r="Y618">
        <v>31.49</v>
      </c>
      <c r="Z618">
        <v>0</v>
      </c>
      <c r="AA618">
        <v>0</v>
      </c>
      <c r="AB618">
        <v>0</v>
      </c>
      <c r="AC618">
        <v>0</v>
      </c>
      <c r="AD618">
        <v>1</v>
      </c>
      <c r="AE618">
        <v>0</v>
      </c>
      <c r="AF618" t="s">
        <v>3</v>
      </c>
      <c r="AG618">
        <v>0.14000000000000001</v>
      </c>
      <c r="AH618">
        <v>3</v>
      </c>
      <c r="AI618">
        <v>-1</v>
      </c>
      <c r="AJ618" t="s">
        <v>3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0</v>
      </c>
      <c r="AR618">
        <v>0</v>
      </c>
    </row>
    <row r="619" spans="1:44" x14ac:dyDescent="0.2">
      <c r="A619">
        <f>ROW(Source!A743)</f>
        <v>743</v>
      </c>
      <c r="B619">
        <v>1472513380</v>
      </c>
      <c r="C619">
        <v>1472498810</v>
      </c>
      <c r="D619">
        <v>1441822228</v>
      </c>
      <c r="E619">
        <v>15514512</v>
      </c>
      <c r="F619">
        <v>1</v>
      </c>
      <c r="G619">
        <v>15514512</v>
      </c>
      <c r="H619">
        <v>3</v>
      </c>
      <c r="I619" t="s">
        <v>956</v>
      </c>
      <c r="J619" t="s">
        <v>3</v>
      </c>
      <c r="K619" t="s">
        <v>958</v>
      </c>
      <c r="L619">
        <v>1346</v>
      </c>
      <c r="N619">
        <v>1009</v>
      </c>
      <c r="O619" t="s">
        <v>898</v>
      </c>
      <c r="P619" t="s">
        <v>898</v>
      </c>
      <c r="Q619">
        <v>1</v>
      </c>
      <c r="X619">
        <v>0.14000000000000001</v>
      </c>
      <c r="Y619">
        <v>73.951729999999998</v>
      </c>
      <c r="Z619">
        <v>0</v>
      </c>
      <c r="AA619">
        <v>0</v>
      </c>
      <c r="AB619">
        <v>0</v>
      </c>
      <c r="AC619">
        <v>0</v>
      </c>
      <c r="AD619">
        <v>1</v>
      </c>
      <c r="AE619">
        <v>0</v>
      </c>
      <c r="AF619" t="s">
        <v>3</v>
      </c>
      <c r="AG619">
        <v>0.14000000000000001</v>
      </c>
      <c r="AH619">
        <v>3</v>
      </c>
      <c r="AI619">
        <v>-1</v>
      </c>
      <c r="AJ619" t="s">
        <v>3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0</v>
      </c>
      <c r="AR619">
        <v>0</v>
      </c>
    </row>
    <row r="620" spans="1:44" x14ac:dyDescent="0.2">
      <c r="A620">
        <f>ROW(Source!A743)</f>
        <v>743</v>
      </c>
      <c r="B620">
        <v>1472513383</v>
      </c>
      <c r="C620">
        <v>1472498810</v>
      </c>
      <c r="D620">
        <v>1441834920</v>
      </c>
      <c r="E620">
        <v>1</v>
      </c>
      <c r="F620">
        <v>1</v>
      </c>
      <c r="G620">
        <v>15514512</v>
      </c>
      <c r="H620">
        <v>3</v>
      </c>
      <c r="I620" t="s">
        <v>1048</v>
      </c>
      <c r="J620" t="s">
        <v>1049</v>
      </c>
      <c r="K620" t="s">
        <v>1050</v>
      </c>
      <c r="L620">
        <v>1346</v>
      </c>
      <c r="N620">
        <v>1009</v>
      </c>
      <c r="O620" t="s">
        <v>898</v>
      </c>
      <c r="P620" t="s">
        <v>898</v>
      </c>
      <c r="Q620">
        <v>1</v>
      </c>
      <c r="X620">
        <v>0.1</v>
      </c>
      <c r="Y620">
        <v>106.87</v>
      </c>
      <c r="Z620">
        <v>0</v>
      </c>
      <c r="AA620">
        <v>0</v>
      </c>
      <c r="AB620">
        <v>0</v>
      </c>
      <c r="AC620">
        <v>0</v>
      </c>
      <c r="AD620">
        <v>1</v>
      </c>
      <c r="AE620">
        <v>0</v>
      </c>
      <c r="AF620" t="s">
        <v>3</v>
      </c>
      <c r="AG620">
        <v>0.1</v>
      </c>
      <c r="AH620">
        <v>3</v>
      </c>
      <c r="AI620">
        <v>-1</v>
      </c>
      <c r="AJ620" t="s">
        <v>3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</row>
    <row r="621" spans="1:44" x14ac:dyDescent="0.2">
      <c r="A621">
        <f>ROW(Source!A744)</f>
        <v>744</v>
      </c>
      <c r="B621">
        <v>1472513393</v>
      </c>
      <c r="C621">
        <v>1472498829</v>
      </c>
      <c r="D621">
        <v>1441819193</v>
      </c>
      <c r="E621">
        <v>15514512</v>
      </c>
      <c r="F621">
        <v>1</v>
      </c>
      <c r="G621">
        <v>15514512</v>
      </c>
      <c r="H621">
        <v>1</v>
      </c>
      <c r="I621" t="s">
        <v>885</v>
      </c>
      <c r="J621" t="s">
        <v>3</v>
      </c>
      <c r="K621" t="s">
        <v>886</v>
      </c>
      <c r="L621">
        <v>1191</v>
      </c>
      <c r="N621">
        <v>1013</v>
      </c>
      <c r="O621" t="s">
        <v>887</v>
      </c>
      <c r="P621" t="s">
        <v>887</v>
      </c>
      <c r="Q621">
        <v>1</v>
      </c>
      <c r="X621">
        <v>0.8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1</v>
      </c>
      <c r="AE621">
        <v>1</v>
      </c>
      <c r="AF621" t="s">
        <v>577</v>
      </c>
      <c r="AG621">
        <v>2.4000000000000004</v>
      </c>
      <c r="AH621">
        <v>3</v>
      </c>
      <c r="AI621">
        <v>-1</v>
      </c>
      <c r="AJ621" t="s">
        <v>3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</row>
    <row r="622" spans="1:44" x14ac:dyDescent="0.2">
      <c r="A622">
        <f>ROW(Source!A744)</f>
        <v>744</v>
      </c>
      <c r="B622">
        <v>1472513394</v>
      </c>
      <c r="C622">
        <v>1472498829</v>
      </c>
      <c r="D622">
        <v>1441822228</v>
      </c>
      <c r="E622">
        <v>15514512</v>
      </c>
      <c r="F622">
        <v>1</v>
      </c>
      <c r="G622">
        <v>15514512</v>
      </c>
      <c r="H622">
        <v>3</v>
      </c>
      <c r="I622" t="s">
        <v>956</v>
      </c>
      <c r="J622" t="s">
        <v>3</v>
      </c>
      <c r="K622" t="s">
        <v>958</v>
      </c>
      <c r="L622">
        <v>1346</v>
      </c>
      <c r="N622">
        <v>1009</v>
      </c>
      <c r="O622" t="s">
        <v>898</v>
      </c>
      <c r="P622" t="s">
        <v>898</v>
      </c>
      <c r="Q622">
        <v>1</v>
      </c>
      <c r="X622">
        <v>0.01</v>
      </c>
      <c r="Y622">
        <v>73.951729999999998</v>
      </c>
      <c r="Z622">
        <v>0</v>
      </c>
      <c r="AA622">
        <v>0</v>
      </c>
      <c r="AB622">
        <v>0</v>
      </c>
      <c r="AC622">
        <v>0</v>
      </c>
      <c r="AD622">
        <v>1</v>
      </c>
      <c r="AE622">
        <v>0</v>
      </c>
      <c r="AF622" t="s">
        <v>577</v>
      </c>
      <c r="AG622">
        <v>0.03</v>
      </c>
      <c r="AH622">
        <v>3</v>
      </c>
      <c r="AI622">
        <v>-1</v>
      </c>
      <c r="AJ622" t="s">
        <v>3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</row>
    <row r="623" spans="1:44" x14ac:dyDescent="0.2">
      <c r="A623">
        <f>ROW(Source!A745)</f>
        <v>745</v>
      </c>
      <c r="B623">
        <v>1472513418</v>
      </c>
      <c r="C623">
        <v>1472498858</v>
      </c>
      <c r="D623">
        <v>1441819193</v>
      </c>
      <c r="E623">
        <v>15514512</v>
      </c>
      <c r="F623">
        <v>1</v>
      </c>
      <c r="G623">
        <v>15514512</v>
      </c>
      <c r="H623">
        <v>1</v>
      </c>
      <c r="I623" t="s">
        <v>885</v>
      </c>
      <c r="J623" t="s">
        <v>3</v>
      </c>
      <c r="K623" t="s">
        <v>886</v>
      </c>
      <c r="L623">
        <v>1191</v>
      </c>
      <c r="N623">
        <v>1013</v>
      </c>
      <c r="O623" t="s">
        <v>887</v>
      </c>
      <c r="P623" t="s">
        <v>887</v>
      </c>
      <c r="Q623">
        <v>1</v>
      </c>
      <c r="X623">
        <v>0.6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1</v>
      </c>
      <c r="AE623">
        <v>1</v>
      </c>
      <c r="AF623" t="s">
        <v>3</v>
      </c>
      <c r="AG623">
        <v>0.6</v>
      </c>
      <c r="AH623">
        <v>3</v>
      </c>
      <c r="AI623">
        <v>-1</v>
      </c>
      <c r="AJ623" t="s">
        <v>3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0</v>
      </c>
      <c r="AR623">
        <v>0</v>
      </c>
    </row>
    <row r="624" spans="1:44" x14ac:dyDescent="0.2">
      <c r="A624">
        <f>ROW(Source!A745)</f>
        <v>745</v>
      </c>
      <c r="B624">
        <v>1472513419</v>
      </c>
      <c r="C624">
        <v>1472498858</v>
      </c>
      <c r="D624">
        <v>1441836235</v>
      </c>
      <c r="E624">
        <v>1</v>
      </c>
      <c r="F624">
        <v>1</v>
      </c>
      <c r="G624">
        <v>15514512</v>
      </c>
      <c r="H624">
        <v>3</v>
      </c>
      <c r="I624" t="s">
        <v>912</v>
      </c>
      <c r="J624" t="s">
        <v>913</v>
      </c>
      <c r="K624" t="s">
        <v>914</v>
      </c>
      <c r="L624">
        <v>1346</v>
      </c>
      <c r="N624">
        <v>1009</v>
      </c>
      <c r="O624" t="s">
        <v>898</v>
      </c>
      <c r="P624" t="s">
        <v>898</v>
      </c>
      <c r="Q624">
        <v>1</v>
      </c>
      <c r="X624">
        <v>0.03</v>
      </c>
      <c r="Y624">
        <v>31.49</v>
      </c>
      <c r="Z624">
        <v>0</v>
      </c>
      <c r="AA624">
        <v>0</v>
      </c>
      <c r="AB624">
        <v>0</v>
      </c>
      <c r="AC624">
        <v>0</v>
      </c>
      <c r="AD624">
        <v>1</v>
      </c>
      <c r="AE624">
        <v>0</v>
      </c>
      <c r="AF624" t="s">
        <v>3</v>
      </c>
      <c r="AG624">
        <v>0.03</v>
      </c>
      <c r="AH624">
        <v>3</v>
      </c>
      <c r="AI624">
        <v>-1</v>
      </c>
      <c r="AJ624" t="s">
        <v>3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</row>
    <row r="625" spans="1:44" x14ac:dyDescent="0.2">
      <c r="A625">
        <f>ROW(Source!A745)</f>
        <v>745</v>
      </c>
      <c r="B625">
        <v>1472513420</v>
      </c>
      <c r="C625">
        <v>1472498858</v>
      </c>
      <c r="D625">
        <v>1441838749</v>
      </c>
      <c r="E625">
        <v>1</v>
      </c>
      <c r="F625">
        <v>1</v>
      </c>
      <c r="G625">
        <v>15514512</v>
      </c>
      <c r="H625">
        <v>3</v>
      </c>
      <c r="I625" t="s">
        <v>1054</v>
      </c>
      <c r="J625" t="s">
        <v>1055</v>
      </c>
      <c r="K625" t="s">
        <v>1056</v>
      </c>
      <c r="L625">
        <v>1327</v>
      </c>
      <c r="N625">
        <v>1005</v>
      </c>
      <c r="O625" t="s">
        <v>949</v>
      </c>
      <c r="P625" t="s">
        <v>949</v>
      </c>
      <c r="Q625">
        <v>1</v>
      </c>
      <c r="X625">
        <v>0.04</v>
      </c>
      <c r="Y625">
        <v>509.19</v>
      </c>
      <c r="Z625">
        <v>0</v>
      </c>
      <c r="AA625">
        <v>0</v>
      </c>
      <c r="AB625">
        <v>0</v>
      </c>
      <c r="AC625">
        <v>0</v>
      </c>
      <c r="AD625">
        <v>1</v>
      </c>
      <c r="AE625">
        <v>0</v>
      </c>
      <c r="AF625" t="s">
        <v>3</v>
      </c>
      <c r="AG625">
        <v>0.04</v>
      </c>
      <c r="AH625">
        <v>3</v>
      </c>
      <c r="AI625">
        <v>-1</v>
      </c>
      <c r="AJ625" t="s">
        <v>3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</row>
    <row r="626" spans="1:44" x14ac:dyDescent="0.2">
      <c r="A626">
        <f>ROW(Source!A745)</f>
        <v>745</v>
      </c>
      <c r="B626">
        <v>1472513421</v>
      </c>
      <c r="C626">
        <v>1472498858</v>
      </c>
      <c r="D626">
        <v>1441834659</v>
      </c>
      <c r="E626">
        <v>1</v>
      </c>
      <c r="F626">
        <v>1</v>
      </c>
      <c r="G626">
        <v>15514512</v>
      </c>
      <c r="H626">
        <v>3</v>
      </c>
      <c r="I626" t="s">
        <v>1039</v>
      </c>
      <c r="J626" t="s">
        <v>1040</v>
      </c>
      <c r="K626" t="s">
        <v>1041</v>
      </c>
      <c r="L626">
        <v>1348</v>
      </c>
      <c r="N626">
        <v>1009</v>
      </c>
      <c r="O626" t="s">
        <v>905</v>
      </c>
      <c r="P626" t="s">
        <v>905</v>
      </c>
      <c r="Q626">
        <v>1000</v>
      </c>
      <c r="X626">
        <v>4.0000000000000003E-5</v>
      </c>
      <c r="Y626">
        <v>113415.03999999999</v>
      </c>
      <c r="Z626">
        <v>0</v>
      </c>
      <c r="AA626">
        <v>0</v>
      </c>
      <c r="AB626">
        <v>0</v>
      </c>
      <c r="AC626">
        <v>0</v>
      </c>
      <c r="AD626">
        <v>1</v>
      </c>
      <c r="AE626">
        <v>0</v>
      </c>
      <c r="AF626" t="s">
        <v>3</v>
      </c>
      <c r="AG626">
        <v>4.0000000000000003E-5</v>
      </c>
      <c r="AH626">
        <v>3</v>
      </c>
      <c r="AI626">
        <v>-1</v>
      </c>
      <c r="AJ626" t="s">
        <v>3</v>
      </c>
      <c r="AK626">
        <v>0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0</v>
      </c>
      <c r="AR626">
        <v>0</v>
      </c>
    </row>
    <row r="627" spans="1:44" x14ac:dyDescent="0.2">
      <c r="A627">
        <f>ROW(Source!A746)</f>
        <v>746</v>
      </c>
      <c r="B627">
        <v>1472513434</v>
      </c>
      <c r="C627">
        <v>1472498891</v>
      </c>
      <c r="D627">
        <v>1441819193</v>
      </c>
      <c r="E627">
        <v>15514512</v>
      </c>
      <c r="F627">
        <v>1</v>
      </c>
      <c r="G627">
        <v>15514512</v>
      </c>
      <c r="H627">
        <v>1</v>
      </c>
      <c r="I627" t="s">
        <v>885</v>
      </c>
      <c r="J627" t="s">
        <v>3</v>
      </c>
      <c r="K627" t="s">
        <v>886</v>
      </c>
      <c r="L627">
        <v>1191</v>
      </c>
      <c r="N627">
        <v>1013</v>
      </c>
      <c r="O627" t="s">
        <v>887</v>
      </c>
      <c r="P627" t="s">
        <v>887</v>
      </c>
      <c r="Q627">
        <v>1</v>
      </c>
      <c r="X627">
        <v>2.42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1</v>
      </c>
      <c r="AE627">
        <v>1</v>
      </c>
      <c r="AF627" t="s">
        <v>3</v>
      </c>
      <c r="AG627">
        <v>2.42</v>
      </c>
      <c r="AH627">
        <v>3</v>
      </c>
      <c r="AI627">
        <v>-1</v>
      </c>
      <c r="AJ627" t="s">
        <v>3</v>
      </c>
      <c r="AK627">
        <v>0</v>
      </c>
      <c r="AL627">
        <v>0</v>
      </c>
      <c r="AM627">
        <v>0</v>
      </c>
      <c r="AN627">
        <v>0</v>
      </c>
      <c r="AO627">
        <v>0</v>
      </c>
      <c r="AP627">
        <v>0</v>
      </c>
      <c r="AQ627">
        <v>0</v>
      </c>
      <c r="AR627">
        <v>0</v>
      </c>
    </row>
    <row r="628" spans="1:44" x14ac:dyDescent="0.2">
      <c r="A628">
        <f>ROW(Source!A746)</f>
        <v>746</v>
      </c>
      <c r="B628">
        <v>1472513436</v>
      </c>
      <c r="C628">
        <v>1472498891</v>
      </c>
      <c r="D628">
        <v>1441836235</v>
      </c>
      <c r="E628">
        <v>1</v>
      </c>
      <c r="F628">
        <v>1</v>
      </c>
      <c r="G628">
        <v>15514512</v>
      </c>
      <c r="H628">
        <v>3</v>
      </c>
      <c r="I628" t="s">
        <v>912</v>
      </c>
      <c r="J628" t="s">
        <v>913</v>
      </c>
      <c r="K628" t="s">
        <v>914</v>
      </c>
      <c r="L628">
        <v>1346</v>
      </c>
      <c r="N628">
        <v>1009</v>
      </c>
      <c r="O628" t="s">
        <v>898</v>
      </c>
      <c r="P628" t="s">
        <v>898</v>
      </c>
      <c r="Q628">
        <v>1</v>
      </c>
      <c r="X628">
        <v>2.06</v>
      </c>
      <c r="Y628">
        <v>31.49</v>
      </c>
      <c r="Z628">
        <v>0</v>
      </c>
      <c r="AA628">
        <v>0</v>
      </c>
      <c r="AB628">
        <v>0</v>
      </c>
      <c r="AC628">
        <v>0</v>
      </c>
      <c r="AD628">
        <v>1</v>
      </c>
      <c r="AE628">
        <v>0</v>
      </c>
      <c r="AF628" t="s">
        <v>3</v>
      </c>
      <c r="AG628">
        <v>2.06</v>
      </c>
      <c r="AH628">
        <v>3</v>
      </c>
      <c r="AI628">
        <v>-1</v>
      </c>
      <c r="AJ628" t="s">
        <v>3</v>
      </c>
      <c r="AK628">
        <v>0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0</v>
      </c>
      <c r="AR628">
        <v>0</v>
      </c>
    </row>
    <row r="629" spans="1:44" x14ac:dyDescent="0.2">
      <c r="A629">
        <f>ROW(Source!A746)</f>
        <v>746</v>
      </c>
      <c r="B629">
        <v>1472513437</v>
      </c>
      <c r="C629">
        <v>1472498891</v>
      </c>
      <c r="D629">
        <v>1441838749</v>
      </c>
      <c r="E629">
        <v>1</v>
      </c>
      <c r="F629">
        <v>1</v>
      </c>
      <c r="G629">
        <v>15514512</v>
      </c>
      <c r="H629">
        <v>3</v>
      </c>
      <c r="I629" t="s">
        <v>1054</v>
      </c>
      <c r="J629" t="s">
        <v>1055</v>
      </c>
      <c r="K629" t="s">
        <v>1056</v>
      </c>
      <c r="L629">
        <v>1327</v>
      </c>
      <c r="N629">
        <v>1005</v>
      </c>
      <c r="O629" t="s">
        <v>949</v>
      </c>
      <c r="P629" t="s">
        <v>949</v>
      </c>
      <c r="Q629">
        <v>1</v>
      </c>
      <c r="X629">
        <v>1.1000000000000001</v>
      </c>
      <c r="Y629">
        <v>509.19</v>
      </c>
      <c r="Z629">
        <v>0</v>
      </c>
      <c r="AA629">
        <v>0</v>
      </c>
      <c r="AB629">
        <v>0</v>
      </c>
      <c r="AC629">
        <v>0</v>
      </c>
      <c r="AD629">
        <v>1</v>
      </c>
      <c r="AE629">
        <v>0</v>
      </c>
      <c r="AF629" t="s">
        <v>3</v>
      </c>
      <c r="AG629">
        <v>1.1000000000000001</v>
      </c>
      <c r="AH629">
        <v>3</v>
      </c>
      <c r="AI629">
        <v>-1</v>
      </c>
      <c r="AJ629" t="s">
        <v>3</v>
      </c>
      <c r="AK629">
        <v>0</v>
      </c>
      <c r="AL629">
        <v>0</v>
      </c>
      <c r="AM629">
        <v>0</v>
      </c>
      <c r="AN629">
        <v>0</v>
      </c>
      <c r="AO629">
        <v>0</v>
      </c>
      <c r="AP629">
        <v>0</v>
      </c>
      <c r="AQ629">
        <v>0</v>
      </c>
      <c r="AR629">
        <v>0</v>
      </c>
    </row>
    <row r="630" spans="1:44" x14ac:dyDescent="0.2">
      <c r="A630">
        <f>ROW(Source!A746)</f>
        <v>746</v>
      </c>
      <c r="B630">
        <v>1472513438</v>
      </c>
      <c r="C630">
        <v>1472498891</v>
      </c>
      <c r="D630">
        <v>1441834669</v>
      </c>
      <c r="E630">
        <v>1</v>
      </c>
      <c r="F630">
        <v>1</v>
      </c>
      <c r="G630">
        <v>15514512</v>
      </c>
      <c r="H630">
        <v>3</v>
      </c>
      <c r="I630" t="s">
        <v>1057</v>
      </c>
      <c r="J630" t="s">
        <v>1058</v>
      </c>
      <c r="K630" t="s">
        <v>1059</v>
      </c>
      <c r="L630">
        <v>1346</v>
      </c>
      <c r="N630">
        <v>1009</v>
      </c>
      <c r="O630" t="s">
        <v>898</v>
      </c>
      <c r="P630" t="s">
        <v>898</v>
      </c>
      <c r="Q630">
        <v>1</v>
      </c>
      <c r="X630">
        <v>1.3</v>
      </c>
      <c r="Y630">
        <v>222.28</v>
      </c>
      <c r="Z630">
        <v>0</v>
      </c>
      <c r="AA630">
        <v>0</v>
      </c>
      <c r="AB630">
        <v>0</v>
      </c>
      <c r="AC630">
        <v>0</v>
      </c>
      <c r="AD630">
        <v>1</v>
      </c>
      <c r="AE630">
        <v>0</v>
      </c>
      <c r="AF630" t="s">
        <v>3</v>
      </c>
      <c r="AG630">
        <v>1.3</v>
      </c>
      <c r="AH630">
        <v>3</v>
      </c>
      <c r="AI630">
        <v>-1</v>
      </c>
      <c r="AJ630" t="s">
        <v>3</v>
      </c>
      <c r="AK630">
        <v>0</v>
      </c>
      <c r="AL630">
        <v>0</v>
      </c>
      <c r="AM630">
        <v>0</v>
      </c>
      <c r="AN630">
        <v>0</v>
      </c>
      <c r="AO630">
        <v>0</v>
      </c>
      <c r="AP630">
        <v>0</v>
      </c>
      <c r="AQ630">
        <v>0</v>
      </c>
      <c r="AR630">
        <v>0</v>
      </c>
    </row>
    <row r="631" spans="1:44" x14ac:dyDescent="0.2">
      <c r="A631">
        <f>ROW(Source!A746)</f>
        <v>746</v>
      </c>
      <c r="B631">
        <v>1472513439</v>
      </c>
      <c r="C631">
        <v>1472498891</v>
      </c>
      <c r="D631">
        <v>1441834893</v>
      </c>
      <c r="E631">
        <v>1</v>
      </c>
      <c r="F631">
        <v>1</v>
      </c>
      <c r="G631">
        <v>15514512</v>
      </c>
      <c r="H631">
        <v>3</v>
      </c>
      <c r="I631" t="s">
        <v>1060</v>
      </c>
      <c r="J631" t="s">
        <v>1061</v>
      </c>
      <c r="K631" t="s">
        <v>1062</v>
      </c>
      <c r="L631">
        <v>1348</v>
      </c>
      <c r="N631">
        <v>1009</v>
      </c>
      <c r="O631" t="s">
        <v>905</v>
      </c>
      <c r="P631" t="s">
        <v>905</v>
      </c>
      <c r="Q631">
        <v>1000</v>
      </c>
      <c r="X631">
        <v>2.0999999999999999E-3</v>
      </c>
      <c r="Y631">
        <v>139465.25</v>
      </c>
      <c r="Z631">
        <v>0</v>
      </c>
      <c r="AA631">
        <v>0</v>
      </c>
      <c r="AB631">
        <v>0</v>
      </c>
      <c r="AC631">
        <v>0</v>
      </c>
      <c r="AD631">
        <v>1</v>
      </c>
      <c r="AE631">
        <v>0</v>
      </c>
      <c r="AF631" t="s">
        <v>3</v>
      </c>
      <c r="AG631">
        <v>2.0999999999999999E-3</v>
      </c>
      <c r="AH631">
        <v>3</v>
      </c>
      <c r="AI631">
        <v>-1</v>
      </c>
      <c r="AJ631" t="s">
        <v>3</v>
      </c>
      <c r="AK631">
        <v>0</v>
      </c>
      <c r="AL631">
        <v>0</v>
      </c>
      <c r="AM631">
        <v>0</v>
      </c>
      <c r="AN631">
        <v>0</v>
      </c>
      <c r="AO631">
        <v>0</v>
      </c>
      <c r="AP631">
        <v>0</v>
      </c>
      <c r="AQ631">
        <v>0</v>
      </c>
      <c r="AR631">
        <v>0</v>
      </c>
    </row>
    <row r="632" spans="1:44" x14ac:dyDescent="0.2">
      <c r="A632">
        <f>ROW(Source!A747)</f>
        <v>747</v>
      </c>
      <c r="B632">
        <v>1472513459</v>
      </c>
      <c r="C632">
        <v>1472498908</v>
      </c>
      <c r="D632">
        <v>1441819193</v>
      </c>
      <c r="E632">
        <v>15514512</v>
      </c>
      <c r="F632">
        <v>1</v>
      </c>
      <c r="G632">
        <v>15514512</v>
      </c>
      <c r="H632">
        <v>1</v>
      </c>
      <c r="I632" t="s">
        <v>885</v>
      </c>
      <c r="J632" t="s">
        <v>3</v>
      </c>
      <c r="K632" t="s">
        <v>886</v>
      </c>
      <c r="L632">
        <v>1191</v>
      </c>
      <c r="N632">
        <v>1013</v>
      </c>
      <c r="O632" t="s">
        <v>887</v>
      </c>
      <c r="P632" t="s">
        <v>887</v>
      </c>
      <c r="Q632">
        <v>1</v>
      </c>
      <c r="X632">
        <v>3.6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1</v>
      </c>
      <c r="AE632">
        <v>1</v>
      </c>
      <c r="AF632" t="s">
        <v>3</v>
      </c>
      <c r="AG632">
        <v>3.6</v>
      </c>
      <c r="AH632">
        <v>3</v>
      </c>
      <c r="AI632">
        <v>-1</v>
      </c>
      <c r="AJ632" t="s">
        <v>3</v>
      </c>
      <c r="AK632">
        <v>0</v>
      </c>
      <c r="AL632">
        <v>0</v>
      </c>
      <c r="AM632">
        <v>0</v>
      </c>
      <c r="AN632">
        <v>0</v>
      </c>
      <c r="AO632">
        <v>0</v>
      </c>
      <c r="AP632">
        <v>0</v>
      </c>
      <c r="AQ632">
        <v>0</v>
      </c>
      <c r="AR632">
        <v>0</v>
      </c>
    </row>
    <row r="633" spans="1:44" x14ac:dyDescent="0.2">
      <c r="A633">
        <f>ROW(Source!A748)</f>
        <v>748</v>
      </c>
      <c r="B633">
        <v>1472513467</v>
      </c>
      <c r="C633">
        <v>1472498918</v>
      </c>
      <c r="D633">
        <v>1441819193</v>
      </c>
      <c r="E633">
        <v>15514512</v>
      </c>
      <c r="F633">
        <v>1</v>
      </c>
      <c r="G633">
        <v>15514512</v>
      </c>
      <c r="H633">
        <v>1</v>
      </c>
      <c r="I633" t="s">
        <v>885</v>
      </c>
      <c r="J633" t="s">
        <v>3</v>
      </c>
      <c r="K633" t="s">
        <v>886</v>
      </c>
      <c r="L633">
        <v>1191</v>
      </c>
      <c r="N633">
        <v>1013</v>
      </c>
      <c r="O633" t="s">
        <v>887</v>
      </c>
      <c r="P633" t="s">
        <v>887</v>
      </c>
      <c r="Q633">
        <v>1</v>
      </c>
      <c r="X633">
        <v>0.12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1</v>
      </c>
      <c r="AE633">
        <v>1</v>
      </c>
      <c r="AF633" t="s">
        <v>106</v>
      </c>
      <c r="AG633">
        <v>0.48</v>
      </c>
      <c r="AH633">
        <v>3</v>
      </c>
      <c r="AI633">
        <v>-1</v>
      </c>
      <c r="AJ633" t="s">
        <v>3</v>
      </c>
      <c r="AK633">
        <v>0</v>
      </c>
      <c r="AL633">
        <v>0</v>
      </c>
      <c r="AM633">
        <v>0</v>
      </c>
      <c r="AN633">
        <v>0</v>
      </c>
      <c r="AO633">
        <v>0</v>
      </c>
      <c r="AP633">
        <v>0</v>
      </c>
      <c r="AQ633">
        <v>0</v>
      </c>
      <c r="AR633">
        <v>0</v>
      </c>
    </row>
    <row r="634" spans="1:44" x14ac:dyDescent="0.2">
      <c r="A634">
        <f>ROW(Source!A749)</f>
        <v>749</v>
      </c>
      <c r="B634">
        <v>1472513487</v>
      </c>
      <c r="C634">
        <v>1472498943</v>
      </c>
      <c r="D634">
        <v>1441819193</v>
      </c>
      <c r="E634">
        <v>15514512</v>
      </c>
      <c r="F634">
        <v>1</v>
      </c>
      <c r="G634">
        <v>15514512</v>
      </c>
      <c r="H634">
        <v>1</v>
      </c>
      <c r="I634" t="s">
        <v>885</v>
      </c>
      <c r="J634" t="s">
        <v>3</v>
      </c>
      <c r="K634" t="s">
        <v>886</v>
      </c>
      <c r="L634">
        <v>1191</v>
      </c>
      <c r="N634">
        <v>1013</v>
      </c>
      <c r="O634" t="s">
        <v>887</v>
      </c>
      <c r="P634" t="s">
        <v>887</v>
      </c>
      <c r="Q634">
        <v>1</v>
      </c>
      <c r="X634">
        <v>11.22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1</v>
      </c>
      <c r="AE634">
        <v>1</v>
      </c>
      <c r="AF634" t="s">
        <v>3</v>
      </c>
      <c r="AG634">
        <v>11.22</v>
      </c>
      <c r="AH634">
        <v>3</v>
      </c>
      <c r="AI634">
        <v>-1</v>
      </c>
      <c r="AJ634" t="s">
        <v>3</v>
      </c>
      <c r="AK634">
        <v>0</v>
      </c>
      <c r="AL634">
        <v>0</v>
      </c>
      <c r="AM634">
        <v>0</v>
      </c>
      <c r="AN634">
        <v>0</v>
      </c>
      <c r="AO634">
        <v>0</v>
      </c>
      <c r="AP634">
        <v>0</v>
      </c>
      <c r="AQ634">
        <v>0</v>
      </c>
      <c r="AR634">
        <v>0</v>
      </c>
    </row>
    <row r="635" spans="1:44" x14ac:dyDescent="0.2">
      <c r="A635">
        <f>ROW(Source!A749)</f>
        <v>749</v>
      </c>
      <c r="B635">
        <v>1472513488</v>
      </c>
      <c r="C635">
        <v>1472498943</v>
      </c>
      <c r="D635">
        <v>1441836237</v>
      </c>
      <c r="E635">
        <v>1</v>
      </c>
      <c r="F635">
        <v>1</v>
      </c>
      <c r="G635">
        <v>15514512</v>
      </c>
      <c r="H635">
        <v>3</v>
      </c>
      <c r="I635" t="s">
        <v>1045</v>
      </c>
      <c r="J635" t="s">
        <v>1046</v>
      </c>
      <c r="K635" t="s">
        <v>1047</v>
      </c>
      <c r="L635">
        <v>1346</v>
      </c>
      <c r="N635">
        <v>1009</v>
      </c>
      <c r="O635" t="s">
        <v>898</v>
      </c>
      <c r="P635" t="s">
        <v>898</v>
      </c>
      <c r="Q635">
        <v>1</v>
      </c>
      <c r="X635">
        <v>3.9E-2</v>
      </c>
      <c r="Y635">
        <v>375.16</v>
      </c>
      <c r="Z635">
        <v>0</v>
      </c>
      <c r="AA635">
        <v>0</v>
      </c>
      <c r="AB635">
        <v>0</v>
      </c>
      <c r="AC635">
        <v>0</v>
      </c>
      <c r="AD635">
        <v>1</v>
      </c>
      <c r="AE635">
        <v>0</v>
      </c>
      <c r="AF635" t="s">
        <v>3</v>
      </c>
      <c r="AG635">
        <v>3.9E-2</v>
      </c>
      <c r="AH635">
        <v>3</v>
      </c>
      <c r="AI635">
        <v>-1</v>
      </c>
      <c r="AJ635" t="s">
        <v>3</v>
      </c>
      <c r="AK635">
        <v>0</v>
      </c>
      <c r="AL635">
        <v>0</v>
      </c>
      <c r="AM635">
        <v>0</v>
      </c>
      <c r="AN635">
        <v>0</v>
      </c>
      <c r="AO635">
        <v>0</v>
      </c>
      <c r="AP635">
        <v>0</v>
      </c>
      <c r="AQ635">
        <v>0</v>
      </c>
      <c r="AR635">
        <v>0</v>
      </c>
    </row>
    <row r="636" spans="1:44" x14ac:dyDescent="0.2">
      <c r="A636">
        <f>ROW(Source!A750)</f>
        <v>750</v>
      </c>
      <c r="B636">
        <v>1472513510</v>
      </c>
      <c r="C636">
        <v>1472498967</v>
      </c>
      <c r="D636">
        <v>1441819193</v>
      </c>
      <c r="E636">
        <v>15514512</v>
      </c>
      <c r="F636">
        <v>1</v>
      </c>
      <c r="G636">
        <v>15514512</v>
      </c>
      <c r="H636">
        <v>1</v>
      </c>
      <c r="I636" t="s">
        <v>885</v>
      </c>
      <c r="J636" t="s">
        <v>3</v>
      </c>
      <c r="K636" t="s">
        <v>886</v>
      </c>
      <c r="L636">
        <v>1191</v>
      </c>
      <c r="N636">
        <v>1013</v>
      </c>
      <c r="O636" t="s">
        <v>887</v>
      </c>
      <c r="P636" t="s">
        <v>887</v>
      </c>
      <c r="Q636">
        <v>1</v>
      </c>
      <c r="X636">
        <v>2.04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1</v>
      </c>
      <c r="AE636">
        <v>1</v>
      </c>
      <c r="AF636" t="s">
        <v>3</v>
      </c>
      <c r="AG636">
        <v>2.04</v>
      </c>
      <c r="AH636">
        <v>3</v>
      </c>
      <c r="AI636">
        <v>-1</v>
      </c>
      <c r="AJ636" t="s">
        <v>3</v>
      </c>
      <c r="AK636">
        <v>0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0</v>
      </c>
      <c r="AR636">
        <v>0</v>
      </c>
    </row>
    <row r="637" spans="1:44" x14ac:dyDescent="0.2">
      <c r="A637">
        <f>ROW(Source!A751)</f>
        <v>751</v>
      </c>
      <c r="B637">
        <v>1472513530</v>
      </c>
      <c r="C637">
        <v>1472498971</v>
      </c>
      <c r="D637">
        <v>1441819193</v>
      </c>
      <c r="E637">
        <v>15514512</v>
      </c>
      <c r="F637">
        <v>1</v>
      </c>
      <c r="G637">
        <v>15514512</v>
      </c>
      <c r="H637">
        <v>1</v>
      </c>
      <c r="I637" t="s">
        <v>885</v>
      </c>
      <c r="J637" t="s">
        <v>3</v>
      </c>
      <c r="K637" t="s">
        <v>886</v>
      </c>
      <c r="L637">
        <v>1191</v>
      </c>
      <c r="N637">
        <v>1013</v>
      </c>
      <c r="O637" t="s">
        <v>887</v>
      </c>
      <c r="P637" t="s">
        <v>887</v>
      </c>
      <c r="Q637">
        <v>1</v>
      </c>
      <c r="X637">
        <v>0.6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1</v>
      </c>
      <c r="AE637">
        <v>1</v>
      </c>
      <c r="AF637" t="s">
        <v>3</v>
      </c>
      <c r="AG637">
        <v>0.6</v>
      </c>
      <c r="AH637">
        <v>3</v>
      </c>
      <c r="AI637">
        <v>-1</v>
      </c>
      <c r="AJ637" t="s">
        <v>3</v>
      </c>
      <c r="AK637">
        <v>0</v>
      </c>
      <c r="AL637">
        <v>0</v>
      </c>
      <c r="AM637">
        <v>0</v>
      </c>
      <c r="AN637">
        <v>0</v>
      </c>
      <c r="AO637">
        <v>0</v>
      </c>
      <c r="AP637">
        <v>0</v>
      </c>
      <c r="AQ637">
        <v>0</v>
      </c>
      <c r="AR637">
        <v>0</v>
      </c>
    </row>
    <row r="638" spans="1:44" x14ac:dyDescent="0.2">
      <c r="A638">
        <f>ROW(Source!A751)</f>
        <v>751</v>
      </c>
      <c r="B638">
        <v>1472513531</v>
      </c>
      <c r="C638">
        <v>1472498971</v>
      </c>
      <c r="D638">
        <v>1441836235</v>
      </c>
      <c r="E638">
        <v>1</v>
      </c>
      <c r="F638">
        <v>1</v>
      </c>
      <c r="G638">
        <v>15514512</v>
      </c>
      <c r="H638">
        <v>3</v>
      </c>
      <c r="I638" t="s">
        <v>912</v>
      </c>
      <c r="J638" t="s">
        <v>913</v>
      </c>
      <c r="K638" t="s">
        <v>914</v>
      </c>
      <c r="L638">
        <v>1346</v>
      </c>
      <c r="N638">
        <v>1009</v>
      </c>
      <c r="O638" t="s">
        <v>898</v>
      </c>
      <c r="P638" t="s">
        <v>898</v>
      </c>
      <c r="Q638">
        <v>1</v>
      </c>
      <c r="X638">
        <v>0.05</v>
      </c>
      <c r="Y638">
        <v>31.49</v>
      </c>
      <c r="Z638">
        <v>0</v>
      </c>
      <c r="AA638">
        <v>0</v>
      </c>
      <c r="AB638">
        <v>0</v>
      </c>
      <c r="AC638">
        <v>0</v>
      </c>
      <c r="AD638">
        <v>1</v>
      </c>
      <c r="AE638">
        <v>0</v>
      </c>
      <c r="AF638" t="s">
        <v>3</v>
      </c>
      <c r="AG638">
        <v>0.05</v>
      </c>
      <c r="AH638">
        <v>3</v>
      </c>
      <c r="AI638">
        <v>-1</v>
      </c>
      <c r="AJ638" t="s">
        <v>3</v>
      </c>
      <c r="AK638">
        <v>0</v>
      </c>
      <c r="AL638">
        <v>0</v>
      </c>
      <c r="AM638">
        <v>0</v>
      </c>
      <c r="AN638">
        <v>0</v>
      </c>
      <c r="AO638">
        <v>0</v>
      </c>
      <c r="AP638">
        <v>0</v>
      </c>
      <c r="AQ638">
        <v>0</v>
      </c>
      <c r="AR638">
        <v>0</v>
      </c>
    </row>
    <row r="639" spans="1:44" x14ac:dyDescent="0.2">
      <c r="A639">
        <f>ROW(Source!A752)</f>
        <v>752</v>
      </c>
      <c r="B639">
        <v>1472513548</v>
      </c>
      <c r="C639">
        <v>1472498979</v>
      </c>
      <c r="D639">
        <v>1441819193</v>
      </c>
      <c r="E639">
        <v>15514512</v>
      </c>
      <c r="F639">
        <v>1</v>
      </c>
      <c r="G639">
        <v>15514512</v>
      </c>
      <c r="H639">
        <v>1</v>
      </c>
      <c r="I639" t="s">
        <v>885</v>
      </c>
      <c r="J639" t="s">
        <v>3</v>
      </c>
      <c r="K639" t="s">
        <v>886</v>
      </c>
      <c r="L639">
        <v>1191</v>
      </c>
      <c r="N639">
        <v>1013</v>
      </c>
      <c r="O639" t="s">
        <v>887</v>
      </c>
      <c r="P639" t="s">
        <v>887</v>
      </c>
      <c r="Q639">
        <v>1</v>
      </c>
      <c r="X639">
        <v>0.14000000000000001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1</v>
      </c>
      <c r="AE639">
        <v>1</v>
      </c>
      <c r="AF639" t="s">
        <v>584</v>
      </c>
      <c r="AG639">
        <v>0.56000000000000005</v>
      </c>
      <c r="AH639">
        <v>3</v>
      </c>
      <c r="AI639">
        <v>-1</v>
      </c>
      <c r="AJ639" t="s">
        <v>3</v>
      </c>
      <c r="AK639">
        <v>0</v>
      </c>
      <c r="AL639">
        <v>0</v>
      </c>
      <c r="AM639">
        <v>0</v>
      </c>
      <c r="AN639">
        <v>0</v>
      </c>
      <c r="AO639">
        <v>0</v>
      </c>
      <c r="AP639">
        <v>0</v>
      </c>
      <c r="AQ639">
        <v>0</v>
      </c>
      <c r="AR639">
        <v>0</v>
      </c>
    </row>
    <row r="640" spans="1:44" x14ac:dyDescent="0.2">
      <c r="A640">
        <f>ROW(Source!A753)</f>
        <v>753</v>
      </c>
      <c r="B640">
        <v>1472513563</v>
      </c>
      <c r="C640">
        <v>1472498985</v>
      </c>
      <c r="D640">
        <v>1441819193</v>
      </c>
      <c r="E640">
        <v>15514512</v>
      </c>
      <c r="F640">
        <v>1</v>
      </c>
      <c r="G640">
        <v>15514512</v>
      </c>
      <c r="H640">
        <v>1</v>
      </c>
      <c r="I640" t="s">
        <v>885</v>
      </c>
      <c r="J640" t="s">
        <v>3</v>
      </c>
      <c r="K640" t="s">
        <v>886</v>
      </c>
      <c r="L640">
        <v>1191</v>
      </c>
      <c r="N640">
        <v>1013</v>
      </c>
      <c r="O640" t="s">
        <v>887</v>
      </c>
      <c r="P640" t="s">
        <v>887</v>
      </c>
      <c r="Q640">
        <v>1</v>
      </c>
      <c r="X640">
        <v>0.08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1</v>
      </c>
      <c r="AE640">
        <v>1</v>
      </c>
      <c r="AF640" t="s">
        <v>640</v>
      </c>
      <c r="AG640">
        <v>9.44</v>
      </c>
      <c r="AH640">
        <v>3</v>
      </c>
      <c r="AI640">
        <v>-1</v>
      </c>
      <c r="AJ640" t="s">
        <v>3</v>
      </c>
      <c r="AK640">
        <v>0</v>
      </c>
      <c r="AL640">
        <v>0</v>
      </c>
      <c r="AM640">
        <v>0</v>
      </c>
      <c r="AN640">
        <v>0</v>
      </c>
      <c r="AO640">
        <v>0</v>
      </c>
      <c r="AP640">
        <v>0</v>
      </c>
      <c r="AQ640">
        <v>0</v>
      </c>
      <c r="AR640">
        <v>0</v>
      </c>
    </row>
    <row r="641" spans="1:44" x14ac:dyDescent="0.2">
      <c r="A641">
        <f>ROW(Source!A754)</f>
        <v>754</v>
      </c>
      <c r="B641">
        <v>1472513576</v>
      </c>
      <c r="C641">
        <v>1472499010</v>
      </c>
      <c r="D641">
        <v>1441819193</v>
      </c>
      <c r="E641">
        <v>15514512</v>
      </c>
      <c r="F641">
        <v>1</v>
      </c>
      <c r="G641">
        <v>15514512</v>
      </c>
      <c r="H641">
        <v>1</v>
      </c>
      <c r="I641" t="s">
        <v>885</v>
      </c>
      <c r="J641" t="s">
        <v>3</v>
      </c>
      <c r="K641" t="s">
        <v>886</v>
      </c>
      <c r="L641">
        <v>1191</v>
      </c>
      <c r="N641">
        <v>1013</v>
      </c>
      <c r="O641" t="s">
        <v>887</v>
      </c>
      <c r="P641" t="s">
        <v>887</v>
      </c>
      <c r="Q641">
        <v>1</v>
      </c>
      <c r="X641">
        <v>0.45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1</v>
      </c>
      <c r="AE641">
        <v>1</v>
      </c>
      <c r="AF641" t="s">
        <v>3</v>
      </c>
      <c r="AG641">
        <v>0.45</v>
      </c>
      <c r="AH641">
        <v>3</v>
      </c>
      <c r="AI641">
        <v>-1</v>
      </c>
      <c r="AJ641" t="s">
        <v>3</v>
      </c>
      <c r="AK641">
        <v>0</v>
      </c>
      <c r="AL641">
        <v>0</v>
      </c>
      <c r="AM641">
        <v>0</v>
      </c>
      <c r="AN641">
        <v>0</v>
      </c>
      <c r="AO641">
        <v>0</v>
      </c>
      <c r="AP641">
        <v>0</v>
      </c>
      <c r="AQ641">
        <v>0</v>
      </c>
      <c r="AR641">
        <v>0</v>
      </c>
    </row>
    <row r="642" spans="1:44" x14ac:dyDescent="0.2">
      <c r="A642">
        <f>ROW(Source!A754)</f>
        <v>754</v>
      </c>
      <c r="B642">
        <v>1472513577</v>
      </c>
      <c r="C642">
        <v>1472499010</v>
      </c>
      <c r="D642">
        <v>1441834258</v>
      </c>
      <c r="E642">
        <v>1</v>
      </c>
      <c r="F642">
        <v>1</v>
      </c>
      <c r="G642">
        <v>15514512</v>
      </c>
      <c r="H642">
        <v>2</v>
      </c>
      <c r="I642" t="s">
        <v>892</v>
      </c>
      <c r="J642" t="s">
        <v>893</v>
      </c>
      <c r="K642" t="s">
        <v>894</v>
      </c>
      <c r="L642">
        <v>1368</v>
      </c>
      <c r="N642">
        <v>1011</v>
      </c>
      <c r="O642" t="s">
        <v>895</v>
      </c>
      <c r="P642" t="s">
        <v>895</v>
      </c>
      <c r="Q642">
        <v>1</v>
      </c>
      <c r="X642">
        <v>2.5999999999999999E-2</v>
      </c>
      <c r="Y642">
        <v>0</v>
      </c>
      <c r="Z642">
        <v>1303.01</v>
      </c>
      <c r="AA642">
        <v>826.2</v>
      </c>
      <c r="AB642">
        <v>0</v>
      </c>
      <c r="AC642">
        <v>0</v>
      </c>
      <c r="AD642">
        <v>1</v>
      </c>
      <c r="AE642">
        <v>0</v>
      </c>
      <c r="AF642" t="s">
        <v>3</v>
      </c>
      <c r="AG642">
        <v>2.5999999999999999E-2</v>
      </c>
      <c r="AH642">
        <v>3</v>
      </c>
      <c r="AI642">
        <v>-1</v>
      </c>
      <c r="AJ642" t="s">
        <v>3</v>
      </c>
      <c r="AK642">
        <v>0</v>
      </c>
      <c r="AL642">
        <v>0</v>
      </c>
      <c r="AM642">
        <v>0</v>
      </c>
      <c r="AN642">
        <v>0</v>
      </c>
      <c r="AO642">
        <v>0</v>
      </c>
      <c r="AP642">
        <v>0</v>
      </c>
      <c r="AQ642">
        <v>0</v>
      </c>
      <c r="AR642">
        <v>0</v>
      </c>
    </row>
    <row r="643" spans="1:44" x14ac:dyDescent="0.2">
      <c r="A643">
        <f>ROW(Source!A754)</f>
        <v>754</v>
      </c>
      <c r="B643">
        <v>1472513578</v>
      </c>
      <c r="C643">
        <v>1472499010</v>
      </c>
      <c r="D643">
        <v>1441836235</v>
      </c>
      <c r="E643">
        <v>1</v>
      </c>
      <c r="F643">
        <v>1</v>
      </c>
      <c r="G643">
        <v>15514512</v>
      </c>
      <c r="H643">
        <v>3</v>
      </c>
      <c r="I643" t="s">
        <v>912</v>
      </c>
      <c r="J643" t="s">
        <v>913</v>
      </c>
      <c r="K643" t="s">
        <v>914</v>
      </c>
      <c r="L643">
        <v>1346</v>
      </c>
      <c r="N643">
        <v>1009</v>
      </c>
      <c r="O643" t="s">
        <v>898</v>
      </c>
      <c r="P643" t="s">
        <v>898</v>
      </c>
      <c r="Q643">
        <v>1</v>
      </c>
      <c r="X643">
        <v>3.0000000000000001E-3</v>
      </c>
      <c r="Y643">
        <v>31.49</v>
      </c>
      <c r="Z643">
        <v>0</v>
      </c>
      <c r="AA643">
        <v>0</v>
      </c>
      <c r="AB643">
        <v>0</v>
      </c>
      <c r="AC643">
        <v>0</v>
      </c>
      <c r="AD643">
        <v>1</v>
      </c>
      <c r="AE643">
        <v>0</v>
      </c>
      <c r="AF643" t="s">
        <v>3</v>
      </c>
      <c r="AG643">
        <v>3.0000000000000001E-3</v>
      </c>
      <c r="AH643">
        <v>3</v>
      </c>
      <c r="AI643">
        <v>-1</v>
      </c>
      <c r="AJ643" t="s">
        <v>3</v>
      </c>
      <c r="AK643">
        <v>0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0</v>
      </c>
      <c r="AR643">
        <v>0</v>
      </c>
    </row>
    <row r="644" spans="1:44" x14ac:dyDescent="0.2">
      <c r="A644">
        <f>ROW(Source!A756)</f>
        <v>756</v>
      </c>
      <c r="B644">
        <v>1472513590</v>
      </c>
      <c r="C644">
        <v>1472499055</v>
      </c>
      <c r="D644">
        <v>1441819193</v>
      </c>
      <c r="E644">
        <v>15514512</v>
      </c>
      <c r="F644">
        <v>1</v>
      </c>
      <c r="G644">
        <v>15514512</v>
      </c>
      <c r="H644">
        <v>1</v>
      </c>
      <c r="I644" t="s">
        <v>885</v>
      </c>
      <c r="J644" t="s">
        <v>3</v>
      </c>
      <c r="K644" t="s">
        <v>886</v>
      </c>
      <c r="L644">
        <v>1191</v>
      </c>
      <c r="N644">
        <v>1013</v>
      </c>
      <c r="O644" t="s">
        <v>887</v>
      </c>
      <c r="P644" t="s">
        <v>887</v>
      </c>
      <c r="Q644">
        <v>1</v>
      </c>
      <c r="X644">
        <v>9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1</v>
      </c>
      <c r="AE644">
        <v>1</v>
      </c>
      <c r="AF644" t="s">
        <v>3</v>
      </c>
      <c r="AG644">
        <v>9</v>
      </c>
      <c r="AH644">
        <v>3</v>
      </c>
      <c r="AI644">
        <v>-1</v>
      </c>
      <c r="AJ644" t="s">
        <v>3</v>
      </c>
      <c r="AK644">
        <v>0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0</v>
      </c>
      <c r="AR644">
        <v>0</v>
      </c>
    </row>
    <row r="645" spans="1:44" x14ac:dyDescent="0.2">
      <c r="A645">
        <f>ROW(Source!A756)</f>
        <v>756</v>
      </c>
      <c r="B645">
        <v>1472513592</v>
      </c>
      <c r="C645">
        <v>1472499055</v>
      </c>
      <c r="D645">
        <v>1441836237</v>
      </c>
      <c r="E645">
        <v>1</v>
      </c>
      <c r="F645">
        <v>1</v>
      </c>
      <c r="G645">
        <v>15514512</v>
      </c>
      <c r="H645">
        <v>3</v>
      </c>
      <c r="I645" t="s">
        <v>1045</v>
      </c>
      <c r="J645" t="s">
        <v>1046</v>
      </c>
      <c r="K645" t="s">
        <v>1047</v>
      </c>
      <c r="L645">
        <v>1346</v>
      </c>
      <c r="N645">
        <v>1009</v>
      </c>
      <c r="O645" t="s">
        <v>898</v>
      </c>
      <c r="P645" t="s">
        <v>898</v>
      </c>
      <c r="Q645">
        <v>1</v>
      </c>
      <c r="X645">
        <v>0.18</v>
      </c>
      <c r="Y645">
        <v>375.16</v>
      </c>
      <c r="Z645">
        <v>0</v>
      </c>
      <c r="AA645">
        <v>0</v>
      </c>
      <c r="AB645">
        <v>0</v>
      </c>
      <c r="AC645">
        <v>0</v>
      </c>
      <c r="AD645">
        <v>1</v>
      </c>
      <c r="AE645">
        <v>0</v>
      </c>
      <c r="AF645" t="s">
        <v>3</v>
      </c>
      <c r="AG645">
        <v>0.18</v>
      </c>
      <c r="AH645">
        <v>3</v>
      </c>
      <c r="AI645">
        <v>-1</v>
      </c>
      <c r="AJ645" t="s">
        <v>3</v>
      </c>
      <c r="AK645">
        <v>0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0</v>
      </c>
      <c r="AR645">
        <v>0</v>
      </c>
    </row>
    <row r="646" spans="1:44" x14ac:dyDescent="0.2">
      <c r="A646">
        <f>ROW(Source!A756)</f>
        <v>756</v>
      </c>
      <c r="B646">
        <v>1472513593</v>
      </c>
      <c r="C646">
        <v>1472499055</v>
      </c>
      <c r="D646">
        <v>1441836235</v>
      </c>
      <c r="E646">
        <v>1</v>
      </c>
      <c r="F646">
        <v>1</v>
      </c>
      <c r="G646">
        <v>15514512</v>
      </c>
      <c r="H646">
        <v>3</v>
      </c>
      <c r="I646" t="s">
        <v>912</v>
      </c>
      <c r="J646" t="s">
        <v>913</v>
      </c>
      <c r="K646" t="s">
        <v>914</v>
      </c>
      <c r="L646">
        <v>1346</v>
      </c>
      <c r="N646">
        <v>1009</v>
      </c>
      <c r="O646" t="s">
        <v>898</v>
      </c>
      <c r="P646" t="s">
        <v>898</v>
      </c>
      <c r="Q646">
        <v>1</v>
      </c>
      <c r="X646">
        <v>0.05</v>
      </c>
      <c r="Y646">
        <v>31.49</v>
      </c>
      <c r="Z646">
        <v>0</v>
      </c>
      <c r="AA646">
        <v>0</v>
      </c>
      <c r="AB646">
        <v>0</v>
      </c>
      <c r="AC646">
        <v>0</v>
      </c>
      <c r="AD646">
        <v>1</v>
      </c>
      <c r="AE646">
        <v>0</v>
      </c>
      <c r="AF646" t="s">
        <v>3</v>
      </c>
      <c r="AG646">
        <v>0.05</v>
      </c>
      <c r="AH646">
        <v>3</v>
      </c>
      <c r="AI646">
        <v>-1</v>
      </c>
      <c r="AJ646" t="s">
        <v>3</v>
      </c>
      <c r="AK646">
        <v>0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0</v>
      </c>
      <c r="AR646">
        <v>0</v>
      </c>
    </row>
    <row r="647" spans="1:44" x14ac:dyDescent="0.2">
      <c r="A647">
        <f>ROW(Source!A756)</f>
        <v>756</v>
      </c>
      <c r="B647">
        <v>1472513591</v>
      </c>
      <c r="C647">
        <v>1472499055</v>
      </c>
      <c r="D647">
        <v>1441822228</v>
      </c>
      <c r="E647">
        <v>15514512</v>
      </c>
      <c r="F647">
        <v>1</v>
      </c>
      <c r="G647">
        <v>15514512</v>
      </c>
      <c r="H647">
        <v>3</v>
      </c>
      <c r="I647" t="s">
        <v>956</v>
      </c>
      <c r="J647" t="s">
        <v>3</v>
      </c>
      <c r="K647" t="s">
        <v>958</v>
      </c>
      <c r="L647">
        <v>1346</v>
      </c>
      <c r="N647">
        <v>1009</v>
      </c>
      <c r="O647" t="s">
        <v>898</v>
      </c>
      <c r="P647" t="s">
        <v>898</v>
      </c>
      <c r="Q647">
        <v>1</v>
      </c>
      <c r="X647">
        <v>0.05</v>
      </c>
      <c r="Y647">
        <v>73.951729999999998</v>
      </c>
      <c r="Z647">
        <v>0</v>
      </c>
      <c r="AA647">
        <v>0</v>
      </c>
      <c r="AB647">
        <v>0</v>
      </c>
      <c r="AC647">
        <v>0</v>
      </c>
      <c r="AD647">
        <v>1</v>
      </c>
      <c r="AE647">
        <v>0</v>
      </c>
      <c r="AF647" t="s">
        <v>3</v>
      </c>
      <c r="AG647">
        <v>0.05</v>
      </c>
      <c r="AH647">
        <v>3</v>
      </c>
      <c r="AI647">
        <v>-1</v>
      </c>
      <c r="AJ647" t="s">
        <v>3</v>
      </c>
      <c r="AK647">
        <v>0</v>
      </c>
      <c r="AL647">
        <v>0</v>
      </c>
      <c r="AM647">
        <v>0</v>
      </c>
      <c r="AN647">
        <v>0</v>
      </c>
      <c r="AO647">
        <v>0</v>
      </c>
      <c r="AP647">
        <v>0</v>
      </c>
      <c r="AQ647">
        <v>0</v>
      </c>
      <c r="AR647">
        <v>0</v>
      </c>
    </row>
    <row r="648" spans="1:44" x14ac:dyDescent="0.2">
      <c r="A648">
        <f>ROW(Source!A756)</f>
        <v>756</v>
      </c>
      <c r="B648">
        <v>1472513594</v>
      </c>
      <c r="C648">
        <v>1472499055</v>
      </c>
      <c r="D648">
        <v>1441834920</v>
      </c>
      <c r="E648">
        <v>1</v>
      </c>
      <c r="F648">
        <v>1</v>
      </c>
      <c r="G648">
        <v>15514512</v>
      </c>
      <c r="H648">
        <v>3</v>
      </c>
      <c r="I648" t="s">
        <v>1048</v>
      </c>
      <c r="J648" t="s">
        <v>1049</v>
      </c>
      <c r="K648" t="s">
        <v>1050</v>
      </c>
      <c r="L648">
        <v>1346</v>
      </c>
      <c r="N648">
        <v>1009</v>
      </c>
      <c r="O648" t="s">
        <v>898</v>
      </c>
      <c r="P648" t="s">
        <v>898</v>
      </c>
      <c r="Q648">
        <v>1</v>
      </c>
      <c r="X648">
        <v>0.04</v>
      </c>
      <c r="Y648">
        <v>106.87</v>
      </c>
      <c r="Z648">
        <v>0</v>
      </c>
      <c r="AA648">
        <v>0</v>
      </c>
      <c r="AB648">
        <v>0</v>
      </c>
      <c r="AC648">
        <v>0</v>
      </c>
      <c r="AD648">
        <v>1</v>
      </c>
      <c r="AE648">
        <v>0</v>
      </c>
      <c r="AF648" t="s">
        <v>3</v>
      </c>
      <c r="AG648">
        <v>0.04</v>
      </c>
      <c r="AH648">
        <v>3</v>
      </c>
      <c r="AI648">
        <v>-1</v>
      </c>
      <c r="AJ648" t="s">
        <v>3</v>
      </c>
      <c r="AK648">
        <v>0</v>
      </c>
      <c r="AL648">
        <v>0</v>
      </c>
      <c r="AM648">
        <v>0</v>
      </c>
      <c r="AN648">
        <v>0</v>
      </c>
      <c r="AO648">
        <v>0</v>
      </c>
      <c r="AP648">
        <v>0</v>
      </c>
      <c r="AQ648">
        <v>0</v>
      </c>
      <c r="AR648">
        <v>0</v>
      </c>
    </row>
    <row r="649" spans="1:44" x14ac:dyDescent="0.2">
      <c r="A649">
        <f>ROW(Source!A757)</f>
        <v>757</v>
      </c>
      <c r="B649">
        <v>1472513605</v>
      </c>
      <c r="C649">
        <v>1472499071</v>
      </c>
      <c r="D649">
        <v>1441819193</v>
      </c>
      <c r="E649">
        <v>15514512</v>
      </c>
      <c r="F649">
        <v>1</v>
      </c>
      <c r="G649">
        <v>15514512</v>
      </c>
      <c r="H649">
        <v>1</v>
      </c>
      <c r="I649" t="s">
        <v>885</v>
      </c>
      <c r="J649" t="s">
        <v>3</v>
      </c>
      <c r="K649" t="s">
        <v>886</v>
      </c>
      <c r="L649">
        <v>1191</v>
      </c>
      <c r="N649">
        <v>1013</v>
      </c>
      <c r="O649" t="s">
        <v>887</v>
      </c>
      <c r="P649" t="s">
        <v>887</v>
      </c>
      <c r="Q649">
        <v>1</v>
      </c>
      <c r="X649">
        <v>0.3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1</v>
      </c>
      <c r="AE649">
        <v>1</v>
      </c>
      <c r="AF649" t="s">
        <v>577</v>
      </c>
      <c r="AG649">
        <v>0.89999999999999991</v>
      </c>
      <c r="AH649">
        <v>3</v>
      </c>
      <c r="AI649">
        <v>-1</v>
      </c>
      <c r="AJ649" t="s">
        <v>3</v>
      </c>
      <c r="AK649">
        <v>0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0</v>
      </c>
      <c r="AR649">
        <v>0</v>
      </c>
    </row>
    <row r="650" spans="1:44" x14ac:dyDescent="0.2">
      <c r="A650">
        <f>ROW(Source!A757)</f>
        <v>757</v>
      </c>
      <c r="B650">
        <v>1472513607</v>
      </c>
      <c r="C650">
        <v>1472499071</v>
      </c>
      <c r="D650">
        <v>1441836235</v>
      </c>
      <c r="E650">
        <v>1</v>
      </c>
      <c r="F650">
        <v>1</v>
      </c>
      <c r="G650">
        <v>15514512</v>
      </c>
      <c r="H650">
        <v>3</v>
      </c>
      <c r="I650" t="s">
        <v>912</v>
      </c>
      <c r="J650" t="s">
        <v>913</v>
      </c>
      <c r="K650" t="s">
        <v>914</v>
      </c>
      <c r="L650">
        <v>1346</v>
      </c>
      <c r="N650">
        <v>1009</v>
      </c>
      <c r="O650" t="s">
        <v>898</v>
      </c>
      <c r="P650" t="s">
        <v>898</v>
      </c>
      <c r="Q650">
        <v>1</v>
      </c>
      <c r="X650">
        <v>2E-3</v>
      </c>
      <c r="Y650">
        <v>31.49</v>
      </c>
      <c r="Z650">
        <v>0</v>
      </c>
      <c r="AA650">
        <v>0</v>
      </c>
      <c r="AB650">
        <v>0</v>
      </c>
      <c r="AC650">
        <v>0</v>
      </c>
      <c r="AD650">
        <v>1</v>
      </c>
      <c r="AE650">
        <v>0</v>
      </c>
      <c r="AF650" t="s">
        <v>577</v>
      </c>
      <c r="AG650">
        <v>6.0000000000000001E-3</v>
      </c>
      <c r="AH650">
        <v>3</v>
      </c>
      <c r="AI650">
        <v>-1</v>
      </c>
      <c r="AJ650" t="s">
        <v>3</v>
      </c>
      <c r="AK650">
        <v>0</v>
      </c>
      <c r="AL650">
        <v>0</v>
      </c>
      <c r="AM650">
        <v>0</v>
      </c>
      <c r="AN650">
        <v>0</v>
      </c>
      <c r="AO650">
        <v>0</v>
      </c>
      <c r="AP650">
        <v>0</v>
      </c>
      <c r="AQ650">
        <v>0</v>
      </c>
      <c r="AR650">
        <v>0</v>
      </c>
    </row>
    <row r="651" spans="1:44" x14ac:dyDescent="0.2">
      <c r="A651">
        <f>ROW(Source!A757)</f>
        <v>757</v>
      </c>
      <c r="B651">
        <v>1472513606</v>
      </c>
      <c r="C651">
        <v>1472499071</v>
      </c>
      <c r="D651">
        <v>1441822228</v>
      </c>
      <c r="E651">
        <v>15514512</v>
      </c>
      <c r="F651">
        <v>1</v>
      </c>
      <c r="G651">
        <v>15514512</v>
      </c>
      <c r="H651">
        <v>3</v>
      </c>
      <c r="I651" t="s">
        <v>956</v>
      </c>
      <c r="J651" t="s">
        <v>3</v>
      </c>
      <c r="K651" t="s">
        <v>958</v>
      </c>
      <c r="L651">
        <v>1346</v>
      </c>
      <c r="N651">
        <v>1009</v>
      </c>
      <c r="O651" t="s">
        <v>898</v>
      </c>
      <c r="P651" t="s">
        <v>898</v>
      </c>
      <c r="Q651">
        <v>1</v>
      </c>
      <c r="X651">
        <v>5.0000000000000001E-3</v>
      </c>
      <c r="Y651">
        <v>73.951729999999998</v>
      </c>
      <c r="Z651">
        <v>0</v>
      </c>
      <c r="AA651">
        <v>0</v>
      </c>
      <c r="AB651">
        <v>0</v>
      </c>
      <c r="AC651">
        <v>0</v>
      </c>
      <c r="AD651">
        <v>1</v>
      </c>
      <c r="AE651">
        <v>0</v>
      </c>
      <c r="AF651" t="s">
        <v>577</v>
      </c>
      <c r="AG651">
        <v>1.4999999999999999E-2</v>
      </c>
      <c r="AH651">
        <v>3</v>
      </c>
      <c r="AI651">
        <v>-1</v>
      </c>
      <c r="AJ651" t="s">
        <v>3</v>
      </c>
      <c r="AK651">
        <v>0</v>
      </c>
      <c r="AL651">
        <v>0</v>
      </c>
      <c r="AM651">
        <v>0</v>
      </c>
      <c r="AN651">
        <v>0</v>
      </c>
      <c r="AO651">
        <v>0</v>
      </c>
      <c r="AP651">
        <v>0</v>
      </c>
      <c r="AQ651">
        <v>0</v>
      </c>
      <c r="AR651">
        <v>0</v>
      </c>
    </row>
    <row r="652" spans="1:44" x14ac:dyDescent="0.2">
      <c r="A652">
        <f>ROW(Source!A758)</f>
        <v>758</v>
      </c>
      <c r="B652">
        <v>1472513622</v>
      </c>
      <c r="C652">
        <v>1472499083</v>
      </c>
      <c r="D652">
        <v>1441819193</v>
      </c>
      <c r="E652">
        <v>15514512</v>
      </c>
      <c r="F652">
        <v>1</v>
      </c>
      <c r="G652">
        <v>15514512</v>
      </c>
      <c r="H652">
        <v>1</v>
      </c>
      <c r="I652" t="s">
        <v>885</v>
      </c>
      <c r="J652" t="s">
        <v>3</v>
      </c>
      <c r="K652" t="s">
        <v>886</v>
      </c>
      <c r="L652">
        <v>1191</v>
      </c>
      <c r="N652">
        <v>1013</v>
      </c>
      <c r="O652" t="s">
        <v>887</v>
      </c>
      <c r="P652" t="s">
        <v>887</v>
      </c>
      <c r="Q652">
        <v>1</v>
      </c>
      <c r="X652">
        <v>1.63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1</v>
      </c>
      <c r="AE652">
        <v>1</v>
      </c>
      <c r="AF652" t="s">
        <v>3</v>
      </c>
      <c r="AG652">
        <v>1.63</v>
      </c>
      <c r="AH652">
        <v>3</v>
      </c>
      <c r="AI652">
        <v>-1</v>
      </c>
      <c r="AJ652" t="s">
        <v>3</v>
      </c>
      <c r="AK652">
        <v>0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0</v>
      </c>
      <c r="AR652">
        <v>0</v>
      </c>
    </row>
    <row r="653" spans="1:44" x14ac:dyDescent="0.2">
      <c r="A653">
        <f>ROW(Source!A758)</f>
        <v>758</v>
      </c>
      <c r="B653">
        <v>1472513623</v>
      </c>
      <c r="C653">
        <v>1472499083</v>
      </c>
      <c r="D653">
        <v>1441836187</v>
      </c>
      <c r="E653">
        <v>1</v>
      </c>
      <c r="F653">
        <v>1</v>
      </c>
      <c r="G653">
        <v>15514512</v>
      </c>
      <c r="H653">
        <v>3</v>
      </c>
      <c r="I653" t="s">
        <v>909</v>
      </c>
      <c r="J653" t="s">
        <v>910</v>
      </c>
      <c r="K653" t="s">
        <v>911</v>
      </c>
      <c r="L653">
        <v>1346</v>
      </c>
      <c r="N653">
        <v>1009</v>
      </c>
      <c r="O653" t="s">
        <v>898</v>
      </c>
      <c r="P653" t="s">
        <v>898</v>
      </c>
      <c r="Q653">
        <v>1</v>
      </c>
      <c r="X653">
        <v>1.9599999999999999E-3</v>
      </c>
      <c r="Y653">
        <v>424.66</v>
      </c>
      <c r="Z653">
        <v>0</v>
      </c>
      <c r="AA653">
        <v>0</v>
      </c>
      <c r="AB653">
        <v>0</v>
      </c>
      <c r="AC653">
        <v>0</v>
      </c>
      <c r="AD653">
        <v>1</v>
      </c>
      <c r="AE653">
        <v>0</v>
      </c>
      <c r="AF653" t="s">
        <v>3</v>
      </c>
      <c r="AG653">
        <v>1.9599999999999999E-3</v>
      </c>
      <c r="AH653">
        <v>3</v>
      </c>
      <c r="AI653">
        <v>-1</v>
      </c>
      <c r="AJ653" t="s">
        <v>3</v>
      </c>
      <c r="AK653">
        <v>0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0</v>
      </c>
      <c r="AR653">
        <v>0</v>
      </c>
    </row>
    <row r="654" spans="1:44" x14ac:dyDescent="0.2">
      <c r="A654">
        <f>ROW(Source!A758)</f>
        <v>758</v>
      </c>
      <c r="B654">
        <v>1472513624</v>
      </c>
      <c r="C654">
        <v>1472499083</v>
      </c>
      <c r="D654">
        <v>1441836235</v>
      </c>
      <c r="E654">
        <v>1</v>
      </c>
      <c r="F654">
        <v>1</v>
      </c>
      <c r="G654">
        <v>15514512</v>
      </c>
      <c r="H654">
        <v>3</v>
      </c>
      <c r="I654" t="s">
        <v>912</v>
      </c>
      <c r="J654" t="s">
        <v>913</v>
      </c>
      <c r="K654" t="s">
        <v>914</v>
      </c>
      <c r="L654">
        <v>1346</v>
      </c>
      <c r="N654">
        <v>1009</v>
      </c>
      <c r="O654" t="s">
        <v>898</v>
      </c>
      <c r="P654" t="s">
        <v>898</v>
      </c>
      <c r="Q654">
        <v>1</v>
      </c>
      <c r="X654">
        <v>0.03</v>
      </c>
      <c r="Y654">
        <v>31.49</v>
      </c>
      <c r="Z654">
        <v>0</v>
      </c>
      <c r="AA654">
        <v>0</v>
      </c>
      <c r="AB654">
        <v>0</v>
      </c>
      <c r="AC654">
        <v>0</v>
      </c>
      <c r="AD654">
        <v>1</v>
      </c>
      <c r="AE654">
        <v>0</v>
      </c>
      <c r="AF654" t="s">
        <v>3</v>
      </c>
      <c r="AG654">
        <v>0.03</v>
      </c>
      <c r="AH654">
        <v>3</v>
      </c>
      <c r="AI654">
        <v>-1</v>
      </c>
      <c r="AJ654" t="s">
        <v>3</v>
      </c>
      <c r="AK654">
        <v>0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0</v>
      </c>
      <c r="AR654">
        <v>0</v>
      </c>
    </row>
    <row r="655" spans="1:44" x14ac:dyDescent="0.2">
      <c r="A655">
        <f>ROW(Source!A759)</f>
        <v>759</v>
      </c>
      <c r="B655">
        <v>1472513639</v>
      </c>
      <c r="C655">
        <v>1472499095</v>
      </c>
      <c r="D655">
        <v>1441819193</v>
      </c>
      <c r="E655">
        <v>15514512</v>
      </c>
      <c r="F655">
        <v>1</v>
      </c>
      <c r="G655">
        <v>15514512</v>
      </c>
      <c r="H655">
        <v>1</v>
      </c>
      <c r="I655" t="s">
        <v>885</v>
      </c>
      <c r="J655" t="s">
        <v>3</v>
      </c>
      <c r="K655" t="s">
        <v>886</v>
      </c>
      <c r="L655">
        <v>1191</v>
      </c>
      <c r="N655">
        <v>1013</v>
      </c>
      <c r="O655" t="s">
        <v>887</v>
      </c>
      <c r="P655" t="s">
        <v>887</v>
      </c>
      <c r="Q655">
        <v>1</v>
      </c>
      <c r="X655">
        <v>0.2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1</v>
      </c>
      <c r="AE655">
        <v>1</v>
      </c>
      <c r="AF655" t="s">
        <v>584</v>
      </c>
      <c r="AG655">
        <v>0.8</v>
      </c>
      <c r="AH655">
        <v>3</v>
      </c>
      <c r="AI655">
        <v>-1</v>
      </c>
      <c r="AJ655" t="s">
        <v>3</v>
      </c>
      <c r="AK655">
        <v>0</v>
      </c>
      <c r="AL655">
        <v>0</v>
      </c>
      <c r="AM655">
        <v>0</v>
      </c>
      <c r="AN655">
        <v>0</v>
      </c>
      <c r="AO655">
        <v>0</v>
      </c>
      <c r="AP655">
        <v>0</v>
      </c>
      <c r="AQ655">
        <v>0</v>
      </c>
      <c r="AR655">
        <v>0</v>
      </c>
    </row>
    <row r="656" spans="1:44" x14ac:dyDescent="0.2">
      <c r="A656">
        <f>ROW(Source!A759)</f>
        <v>759</v>
      </c>
      <c r="B656">
        <v>1472513641</v>
      </c>
      <c r="C656">
        <v>1472499095</v>
      </c>
      <c r="D656">
        <v>1441836235</v>
      </c>
      <c r="E656">
        <v>1</v>
      </c>
      <c r="F656">
        <v>1</v>
      </c>
      <c r="G656">
        <v>15514512</v>
      </c>
      <c r="H656">
        <v>3</v>
      </c>
      <c r="I656" t="s">
        <v>912</v>
      </c>
      <c r="J656" t="s">
        <v>913</v>
      </c>
      <c r="K656" t="s">
        <v>914</v>
      </c>
      <c r="L656">
        <v>1346</v>
      </c>
      <c r="N656">
        <v>1009</v>
      </c>
      <c r="O656" t="s">
        <v>898</v>
      </c>
      <c r="P656" t="s">
        <v>898</v>
      </c>
      <c r="Q656">
        <v>1</v>
      </c>
      <c r="X656">
        <v>1E-3</v>
      </c>
      <c r="Y656">
        <v>31.49</v>
      </c>
      <c r="Z656">
        <v>0</v>
      </c>
      <c r="AA656">
        <v>0</v>
      </c>
      <c r="AB656">
        <v>0</v>
      </c>
      <c r="AC656">
        <v>0</v>
      </c>
      <c r="AD656">
        <v>1</v>
      </c>
      <c r="AE656">
        <v>0</v>
      </c>
      <c r="AF656" t="s">
        <v>584</v>
      </c>
      <c r="AG656">
        <v>4.0000000000000001E-3</v>
      </c>
      <c r="AH656">
        <v>3</v>
      </c>
      <c r="AI656">
        <v>-1</v>
      </c>
      <c r="AJ656" t="s">
        <v>3</v>
      </c>
      <c r="AK656">
        <v>0</v>
      </c>
      <c r="AL656">
        <v>0</v>
      </c>
      <c r="AM656">
        <v>0</v>
      </c>
      <c r="AN656">
        <v>0</v>
      </c>
      <c r="AO656">
        <v>0</v>
      </c>
      <c r="AP656">
        <v>0</v>
      </c>
      <c r="AQ656">
        <v>0</v>
      </c>
      <c r="AR656">
        <v>0</v>
      </c>
    </row>
    <row r="657" spans="1:44" x14ac:dyDescent="0.2">
      <c r="A657">
        <f>ROW(Source!A759)</f>
        <v>759</v>
      </c>
      <c r="B657">
        <v>1472513640</v>
      </c>
      <c r="C657">
        <v>1472499095</v>
      </c>
      <c r="D657">
        <v>1441822196</v>
      </c>
      <c r="E657">
        <v>15514512</v>
      </c>
      <c r="F657">
        <v>1</v>
      </c>
      <c r="G657">
        <v>15514512</v>
      </c>
      <c r="H657">
        <v>3</v>
      </c>
      <c r="I657" t="s">
        <v>1002</v>
      </c>
      <c r="J657" t="s">
        <v>3</v>
      </c>
      <c r="K657" t="s">
        <v>1004</v>
      </c>
      <c r="L657">
        <v>1346</v>
      </c>
      <c r="N657">
        <v>1009</v>
      </c>
      <c r="O657" t="s">
        <v>898</v>
      </c>
      <c r="P657" t="s">
        <v>898</v>
      </c>
      <c r="Q657">
        <v>1</v>
      </c>
      <c r="X657">
        <v>1E-3</v>
      </c>
      <c r="Y657">
        <v>88.053759999999997</v>
      </c>
      <c r="Z657">
        <v>0</v>
      </c>
      <c r="AA657">
        <v>0</v>
      </c>
      <c r="AB657">
        <v>0</v>
      </c>
      <c r="AC657">
        <v>0</v>
      </c>
      <c r="AD657">
        <v>1</v>
      </c>
      <c r="AE657">
        <v>0</v>
      </c>
      <c r="AF657" t="s">
        <v>584</v>
      </c>
      <c r="AG657">
        <v>4.0000000000000001E-3</v>
      </c>
      <c r="AH657">
        <v>3</v>
      </c>
      <c r="AI657">
        <v>-1</v>
      </c>
      <c r="AJ657" t="s">
        <v>3</v>
      </c>
      <c r="AK657">
        <v>0</v>
      </c>
      <c r="AL657">
        <v>0</v>
      </c>
      <c r="AM657">
        <v>0</v>
      </c>
      <c r="AN657">
        <v>0</v>
      </c>
      <c r="AO657">
        <v>0</v>
      </c>
      <c r="AP657">
        <v>0</v>
      </c>
      <c r="AQ657">
        <v>0</v>
      </c>
      <c r="AR657">
        <v>0</v>
      </c>
    </row>
    <row r="658" spans="1:44" x14ac:dyDescent="0.2">
      <c r="A658">
        <f>ROW(Source!A759)</f>
        <v>759</v>
      </c>
      <c r="B658">
        <v>1472513642</v>
      </c>
      <c r="C658">
        <v>1472499095</v>
      </c>
      <c r="D658">
        <v>1441820992</v>
      </c>
      <c r="E658">
        <v>15514512</v>
      </c>
      <c r="F658">
        <v>1</v>
      </c>
      <c r="G658">
        <v>15514512</v>
      </c>
      <c r="H658">
        <v>3</v>
      </c>
      <c r="I658" t="s">
        <v>1008</v>
      </c>
      <c r="J658" t="s">
        <v>3</v>
      </c>
      <c r="K658" t="s">
        <v>1010</v>
      </c>
      <c r="L658">
        <v>1346</v>
      </c>
      <c r="N658">
        <v>1009</v>
      </c>
      <c r="O658" t="s">
        <v>898</v>
      </c>
      <c r="P658" t="s">
        <v>898</v>
      </c>
      <c r="Q658">
        <v>1</v>
      </c>
      <c r="X658">
        <v>0.01</v>
      </c>
      <c r="Y658">
        <v>78.065730000000002</v>
      </c>
      <c r="Z658">
        <v>0</v>
      </c>
      <c r="AA658">
        <v>0</v>
      </c>
      <c r="AB658">
        <v>0</v>
      </c>
      <c r="AC658">
        <v>0</v>
      </c>
      <c r="AD658">
        <v>1</v>
      </c>
      <c r="AE658">
        <v>0</v>
      </c>
      <c r="AF658" t="s">
        <v>584</v>
      </c>
      <c r="AG658">
        <v>0.04</v>
      </c>
      <c r="AH658">
        <v>3</v>
      </c>
      <c r="AI658">
        <v>-1</v>
      </c>
      <c r="AJ658" t="s">
        <v>3</v>
      </c>
      <c r="AK658">
        <v>0</v>
      </c>
      <c r="AL658">
        <v>0</v>
      </c>
      <c r="AM658">
        <v>0</v>
      </c>
      <c r="AN658">
        <v>0</v>
      </c>
      <c r="AO658">
        <v>0</v>
      </c>
      <c r="AP658">
        <v>0</v>
      </c>
      <c r="AQ658">
        <v>0</v>
      </c>
      <c r="AR658">
        <v>0</v>
      </c>
    </row>
    <row r="659" spans="1:44" x14ac:dyDescent="0.2">
      <c r="A659">
        <f>ROW(Source!A760)</f>
        <v>760</v>
      </c>
      <c r="B659">
        <v>1472513716</v>
      </c>
      <c r="C659">
        <v>1472499110</v>
      </c>
      <c r="D659">
        <v>1441819193</v>
      </c>
      <c r="E659">
        <v>15514512</v>
      </c>
      <c r="F659">
        <v>1</v>
      </c>
      <c r="G659">
        <v>15514512</v>
      </c>
      <c r="H659">
        <v>1</v>
      </c>
      <c r="I659" t="s">
        <v>885</v>
      </c>
      <c r="J659" t="s">
        <v>3</v>
      </c>
      <c r="K659" t="s">
        <v>886</v>
      </c>
      <c r="L659">
        <v>1191</v>
      </c>
      <c r="N659">
        <v>1013</v>
      </c>
      <c r="O659" t="s">
        <v>887</v>
      </c>
      <c r="P659" t="s">
        <v>887</v>
      </c>
      <c r="Q659">
        <v>1</v>
      </c>
      <c r="X659">
        <v>0.2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1</v>
      </c>
      <c r="AE659">
        <v>1</v>
      </c>
      <c r="AF659" t="s">
        <v>3</v>
      </c>
      <c r="AG659">
        <v>0.2</v>
      </c>
      <c r="AH659">
        <v>3</v>
      </c>
      <c r="AI659">
        <v>-1</v>
      </c>
      <c r="AJ659" t="s">
        <v>3</v>
      </c>
      <c r="AK659">
        <v>0</v>
      </c>
      <c r="AL659">
        <v>0</v>
      </c>
      <c r="AM659">
        <v>0</v>
      </c>
      <c r="AN659">
        <v>0</v>
      </c>
      <c r="AO659">
        <v>0</v>
      </c>
      <c r="AP659">
        <v>0</v>
      </c>
      <c r="AQ659">
        <v>0</v>
      </c>
      <c r="AR659">
        <v>0</v>
      </c>
    </row>
    <row r="660" spans="1:44" x14ac:dyDescent="0.2">
      <c r="A660">
        <f>ROW(Source!A760)</f>
        <v>760</v>
      </c>
      <c r="B660">
        <v>1472513717</v>
      </c>
      <c r="C660">
        <v>1472499110</v>
      </c>
      <c r="D660">
        <v>1441836235</v>
      </c>
      <c r="E660">
        <v>1</v>
      </c>
      <c r="F660">
        <v>1</v>
      </c>
      <c r="G660">
        <v>15514512</v>
      </c>
      <c r="H660">
        <v>3</v>
      </c>
      <c r="I660" t="s">
        <v>912</v>
      </c>
      <c r="J660" t="s">
        <v>913</v>
      </c>
      <c r="K660" t="s">
        <v>914</v>
      </c>
      <c r="L660">
        <v>1346</v>
      </c>
      <c r="N660">
        <v>1009</v>
      </c>
      <c r="O660" t="s">
        <v>898</v>
      </c>
      <c r="P660" t="s">
        <v>898</v>
      </c>
      <c r="Q660">
        <v>1</v>
      </c>
      <c r="X660">
        <v>0.05</v>
      </c>
      <c r="Y660">
        <v>31.49</v>
      </c>
      <c r="Z660">
        <v>0</v>
      </c>
      <c r="AA660">
        <v>0</v>
      </c>
      <c r="AB660">
        <v>0</v>
      </c>
      <c r="AC660">
        <v>0</v>
      </c>
      <c r="AD660">
        <v>1</v>
      </c>
      <c r="AE660">
        <v>0</v>
      </c>
      <c r="AF660" t="s">
        <v>3</v>
      </c>
      <c r="AG660">
        <v>0.05</v>
      </c>
      <c r="AH660">
        <v>3</v>
      </c>
      <c r="AI660">
        <v>-1</v>
      </c>
      <c r="AJ660" t="s">
        <v>3</v>
      </c>
      <c r="AK660">
        <v>0</v>
      </c>
      <c r="AL660">
        <v>0</v>
      </c>
      <c r="AM660">
        <v>0</v>
      </c>
      <c r="AN660">
        <v>0</v>
      </c>
      <c r="AO660">
        <v>0</v>
      </c>
      <c r="AP660">
        <v>0</v>
      </c>
      <c r="AQ660">
        <v>0</v>
      </c>
      <c r="AR660">
        <v>0</v>
      </c>
    </row>
    <row r="661" spans="1:44" x14ac:dyDescent="0.2">
      <c r="A661">
        <f>ROW(Source!A760)</f>
        <v>760</v>
      </c>
      <c r="B661">
        <v>1472513718</v>
      </c>
      <c r="C661">
        <v>1472499110</v>
      </c>
      <c r="D661">
        <v>1441839822</v>
      </c>
      <c r="E661">
        <v>1</v>
      </c>
      <c r="F661">
        <v>1</v>
      </c>
      <c r="G661">
        <v>15514512</v>
      </c>
      <c r="H661">
        <v>3</v>
      </c>
      <c r="I661" t="s">
        <v>1051</v>
      </c>
      <c r="J661" t="s">
        <v>1052</v>
      </c>
      <c r="K661" t="s">
        <v>1053</v>
      </c>
      <c r="L661">
        <v>1296</v>
      </c>
      <c r="N661">
        <v>1002</v>
      </c>
      <c r="O661" t="s">
        <v>918</v>
      </c>
      <c r="P661" t="s">
        <v>918</v>
      </c>
      <c r="Q661">
        <v>1</v>
      </c>
      <c r="X661">
        <v>0.03</v>
      </c>
      <c r="Y661">
        <v>157.41</v>
      </c>
      <c r="Z661">
        <v>0</v>
      </c>
      <c r="AA661">
        <v>0</v>
      </c>
      <c r="AB661">
        <v>0</v>
      </c>
      <c r="AC661">
        <v>0</v>
      </c>
      <c r="AD661">
        <v>1</v>
      </c>
      <c r="AE661">
        <v>0</v>
      </c>
      <c r="AF661" t="s">
        <v>3</v>
      </c>
      <c r="AG661">
        <v>0.03</v>
      </c>
      <c r="AH661">
        <v>3</v>
      </c>
      <c r="AI661">
        <v>-1</v>
      </c>
      <c r="AJ661" t="s">
        <v>3</v>
      </c>
      <c r="AK661">
        <v>0</v>
      </c>
      <c r="AL661">
        <v>0</v>
      </c>
      <c r="AM661">
        <v>0</v>
      </c>
      <c r="AN661">
        <v>0</v>
      </c>
      <c r="AO661">
        <v>0</v>
      </c>
      <c r="AP661">
        <v>0</v>
      </c>
      <c r="AQ661">
        <v>0</v>
      </c>
      <c r="AR661">
        <v>0</v>
      </c>
    </row>
    <row r="662" spans="1:44" x14ac:dyDescent="0.2">
      <c r="A662">
        <f>ROW(Source!A761)</f>
        <v>761</v>
      </c>
      <c r="B662">
        <v>1472513730</v>
      </c>
      <c r="C662">
        <v>1472499139</v>
      </c>
      <c r="D662">
        <v>1441819193</v>
      </c>
      <c r="E662">
        <v>15514512</v>
      </c>
      <c r="F662">
        <v>1</v>
      </c>
      <c r="G662">
        <v>15514512</v>
      </c>
      <c r="H662">
        <v>1</v>
      </c>
      <c r="I662" t="s">
        <v>885</v>
      </c>
      <c r="J662" t="s">
        <v>3</v>
      </c>
      <c r="K662" t="s">
        <v>886</v>
      </c>
      <c r="L662">
        <v>1191</v>
      </c>
      <c r="N662">
        <v>1013</v>
      </c>
      <c r="O662" t="s">
        <v>887</v>
      </c>
      <c r="P662" t="s">
        <v>887</v>
      </c>
      <c r="Q662">
        <v>1</v>
      </c>
      <c r="X662">
        <v>0.53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1</v>
      </c>
      <c r="AE662">
        <v>1</v>
      </c>
      <c r="AF662" t="s">
        <v>592</v>
      </c>
      <c r="AG662">
        <v>64.13000000000001</v>
      </c>
      <c r="AH662">
        <v>3</v>
      </c>
      <c r="AI662">
        <v>-1</v>
      </c>
      <c r="AJ662" t="s">
        <v>3</v>
      </c>
      <c r="AK662">
        <v>0</v>
      </c>
      <c r="AL662">
        <v>0</v>
      </c>
      <c r="AM662">
        <v>0</v>
      </c>
      <c r="AN662">
        <v>0</v>
      </c>
      <c r="AO662">
        <v>0</v>
      </c>
      <c r="AP662">
        <v>0</v>
      </c>
      <c r="AQ662">
        <v>0</v>
      </c>
      <c r="AR662">
        <v>0</v>
      </c>
    </row>
    <row r="663" spans="1:44" x14ac:dyDescent="0.2">
      <c r="A663">
        <f>ROW(Source!A762)</f>
        <v>762</v>
      </c>
      <c r="B663">
        <v>1472513743</v>
      </c>
      <c r="C663">
        <v>1472499148</v>
      </c>
      <c r="D663">
        <v>1441819193</v>
      </c>
      <c r="E663">
        <v>15514512</v>
      </c>
      <c r="F663">
        <v>1</v>
      </c>
      <c r="G663">
        <v>15514512</v>
      </c>
      <c r="H663">
        <v>1</v>
      </c>
      <c r="I663" t="s">
        <v>885</v>
      </c>
      <c r="J663" t="s">
        <v>3</v>
      </c>
      <c r="K663" t="s">
        <v>886</v>
      </c>
      <c r="L663">
        <v>1191</v>
      </c>
      <c r="N663">
        <v>1013</v>
      </c>
      <c r="O663" t="s">
        <v>887</v>
      </c>
      <c r="P663" t="s">
        <v>887</v>
      </c>
      <c r="Q663">
        <v>1</v>
      </c>
      <c r="X663">
        <v>24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1</v>
      </c>
      <c r="AE663">
        <v>1</v>
      </c>
      <c r="AF663" t="s">
        <v>3</v>
      </c>
      <c r="AG663">
        <v>24</v>
      </c>
      <c r="AH663">
        <v>3</v>
      </c>
      <c r="AI663">
        <v>-1</v>
      </c>
      <c r="AJ663" t="s">
        <v>3</v>
      </c>
      <c r="AK663">
        <v>0</v>
      </c>
      <c r="AL663">
        <v>0</v>
      </c>
      <c r="AM663">
        <v>0</v>
      </c>
      <c r="AN663">
        <v>0</v>
      </c>
      <c r="AO663">
        <v>0</v>
      </c>
      <c r="AP663">
        <v>0</v>
      </c>
      <c r="AQ663">
        <v>0</v>
      </c>
      <c r="AR663">
        <v>0</v>
      </c>
    </row>
    <row r="664" spans="1:44" x14ac:dyDescent="0.2">
      <c r="A664">
        <f>ROW(Source!A762)</f>
        <v>762</v>
      </c>
      <c r="B664">
        <v>1472513745</v>
      </c>
      <c r="C664">
        <v>1472499148</v>
      </c>
      <c r="D664">
        <v>1441836237</v>
      </c>
      <c r="E664">
        <v>1</v>
      </c>
      <c r="F664">
        <v>1</v>
      </c>
      <c r="G664">
        <v>15514512</v>
      </c>
      <c r="H664">
        <v>3</v>
      </c>
      <c r="I664" t="s">
        <v>1045</v>
      </c>
      <c r="J664" t="s">
        <v>1046</v>
      </c>
      <c r="K664" t="s">
        <v>1047</v>
      </c>
      <c r="L664">
        <v>1346</v>
      </c>
      <c r="N664">
        <v>1009</v>
      </c>
      <c r="O664" t="s">
        <v>898</v>
      </c>
      <c r="P664" t="s">
        <v>898</v>
      </c>
      <c r="Q664">
        <v>1</v>
      </c>
      <c r="X664">
        <v>0.48</v>
      </c>
      <c r="Y664">
        <v>375.16</v>
      </c>
      <c r="Z664">
        <v>0</v>
      </c>
      <c r="AA664">
        <v>0</v>
      </c>
      <c r="AB664">
        <v>0</v>
      </c>
      <c r="AC664">
        <v>0</v>
      </c>
      <c r="AD664">
        <v>1</v>
      </c>
      <c r="AE664">
        <v>0</v>
      </c>
      <c r="AF664" t="s">
        <v>3</v>
      </c>
      <c r="AG664">
        <v>0.48</v>
      </c>
      <c r="AH664">
        <v>3</v>
      </c>
      <c r="AI664">
        <v>-1</v>
      </c>
      <c r="AJ664" t="s">
        <v>3</v>
      </c>
      <c r="AK664">
        <v>0</v>
      </c>
      <c r="AL664">
        <v>0</v>
      </c>
      <c r="AM664">
        <v>0</v>
      </c>
      <c r="AN664">
        <v>0</v>
      </c>
      <c r="AO664">
        <v>0</v>
      </c>
      <c r="AP664">
        <v>0</v>
      </c>
      <c r="AQ664">
        <v>0</v>
      </c>
      <c r="AR664">
        <v>0</v>
      </c>
    </row>
    <row r="665" spans="1:44" x14ac:dyDescent="0.2">
      <c r="A665">
        <f>ROW(Source!A762)</f>
        <v>762</v>
      </c>
      <c r="B665">
        <v>1472513746</v>
      </c>
      <c r="C665">
        <v>1472499148</v>
      </c>
      <c r="D665">
        <v>1441836235</v>
      </c>
      <c r="E665">
        <v>1</v>
      </c>
      <c r="F665">
        <v>1</v>
      </c>
      <c r="G665">
        <v>15514512</v>
      </c>
      <c r="H665">
        <v>3</v>
      </c>
      <c r="I665" t="s">
        <v>912</v>
      </c>
      <c r="J665" t="s">
        <v>913</v>
      </c>
      <c r="K665" t="s">
        <v>914</v>
      </c>
      <c r="L665">
        <v>1346</v>
      </c>
      <c r="N665">
        <v>1009</v>
      </c>
      <c r="O665" t="s">
        <v>898</v>
      </c>
      <c r="P665" t="s">
        <v>898</v>
      </c>
      <c r="Q665">
        <v>1</v>
      </c>
      <c r="X665">
        <v>0.14000000000000001</v>
      </c>
      <c r="Y665">
        <v>31.49</v>
      </c>
      <c r="Z665">
        <v>0</v>
      </c>
      <c r="AA665">
        <v>0</v>
      </c>
      <c r="AB665">
        <v>0</v>
      </c>
      <c r="AC665">
        <v>0</v>
      </c>
      <c r="AD665">
        <v>1</v>
      </c>
      <c r="AE665">
        <v>0</v>
      </c>
      <c r="AF665" t="s">
        <v>3</v>
      </c>
      <c r="AG665">
        <v>0.14000000000000001</v>
      </c>
      <c r="AH665">
        <v>3</v>
      </c>
      <c r="AI665">
        <v>-1</v>
      </c>
      <c r="AJ665" t="s">
        <v>3</v>
      </c>
      <c r="AK665">
        <v>0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0</v>
      </c>
      <c r="AR665">
        <v>0</v>
      </c>
    </row>
    <row r="666" spans="1:44" x14ac:dyDescent="0.2">
      <c r="A666">
        <f>ROW(Source!A762)</f>
        <v>762</v>
      </c>
      <c r="B666">
        <v>1472513744</v>
      </c>
      <c r="C666">
        <v>1472499148</v>
      </c>
      <c r="D666">
        <v>1441822228</v>
      </c>
      <c r="E666">
        <v>15514512</v>
      </c>
      <c r="F666">
        <v>1</v>
      </c>
      <c r="G666">
        <v>15514512</v>
      </c>
      <c r="H666">
        <v>3</v>
      </c>
      <c r="I666" t="s">
        <v>956</v>
      </c>
      <c r="J666" t="s">
        <v>3</v>
      </c>
      <c r="K666" t="s">
        <v>958</v>
      </c>
      <c r="L666">
        <v>1346</v>
      </c>
      <c r="N666">
        <v>1009</v>
      </c>
      <c r="O666" t="s">
        <v>898</v>
      </c>
      <c r="P666" t="s">
        <v>898</v>
      </c>
      <c r="Q666">
        <v>1</v>
      </c>
      <c r="X666">
        <v>0.14000000000000001</v>
      </c>
      <c r="Y666">
        <v>73.951729999999998</v>
      </c>
      <c r="Z666">
        <v>0</v>
      </c>
      <c r="AA666">
        <v>0</v>
      </c>
      <c r="AB666">
        <v>0</v>
      </c>
      <c r="AC666">
        <v>0</v>
      </c>
      <c r="AD666">
        <v>1</v>
      </c>
      <c r="AE666">
        <v>0</v>
      </c>
      <c r="AF666" t="s">
        <v>3</v>
      </c>
      <c r="AG666">
        <v>0.14000000000000001</v>
      </c>
      <c r="AH666">
        <v>3</v>
      </c>
      <c r="AI666">
        <v>-1</v>
      </c>
      <c r="AJ666" t="s">
        <v>3</v>
      </c>
      <c r="AK666">
        <v>0</v>
      </c>
      <c r="AL666">
        <v>0</v>
      </c>
      <c r="AM666">
        <v>0</v>
      </c>
      <c r="AN666">
        <v>0</v>
      </c>
      <c r="AO666">
        <v>0</v>
      </c>
      <c r="AP666">
        <v>0</v>
      </c>
      <c r="AQ666">
        <v>0</v>
      </c>
      <c r="AR666">
        <v>0</v>
      </c>
    </row>
    <row r="667" spans="1:44" x14ac:dyDescent="0.2">
      <c r="A667">
        <f>ROW(Source!A762)</f>
        <v>762</v>
      </c>
      <c r="B667">
        <v>1472513747</v>
      </c>
      <c r="C667">
        <v>1472499148</v>
      </c>
      <c r="D667">
        <v>1441834920</v>
      </c>
      <c r="E667">
        <v>1</v>
      </c>
      <c r="F667">
        <v>1</v>
      </c>
      <c r="G667">
        <v>15514512</v>
      </c>
      <c r="H667">
        <v>3</v>
      </c>
      <c r="I667" t="s">
        <v>1048</v>
      </c>
      <c r="J667" t="s">
        <v>1049</v>
      </c>
      <c r="K667" t="s">
        <v>1050</v>
      </c>
      <c r="L667">
        <v>1346</v>
      </c>
      <c r="N667">
        <v>1009</v>
      </c>
      <c r="O667" t="s">
        <v>898</v>
      </c>
      <c r="P667" t="s">
        <v>898</v>
      </c>
      <c r="Q667">
        <v>1</v>
      </c>
      <c r="X667">
        <v>0.1</v>
      </c>
      <c r="Y667">
        <v>106.87</v>
      </c>
      <c r="Z667">
        <v>0</v>
      </c>
      <c r="AA667">
        <v>0</v>
      </c>
      <c r="AB667">
        <v>0</v>
      </c>
      <c r="AC667">
        <v>0</v>
      </c>
      <c r="AD667">
        <v>1</v>
      </c>
      <c r="AE667">
        <v>0</v>
      </c>
      <c r="AF667" t="s">
        <v>3</v>
      </c>
      <c r="AG667">
        <v>0.1</v>
      </c>
      <c r="AH667">
        <v>3</v>
      </c>
      <c r="AI667">
        <v>-1</v>
      </c>
      <c r="AJ667" t="s">
        <v>3</v>
      </c>
      <c r="AK667">
        <v>0</v>
      </c>
      <c r="AL667">
        <v>0</v>
      </c>
      <c r="AM667">
        <v>0</v>
      </c>
      <c r="AN667">
        <v>0</v>
      </c>
      <c r="AO667">
        <v>0</v>
      </c>
      <c r="AP667">
        <v>0</v>
      </c>
      <c r="AQ667">
        <v>0</v>
      </c>
      <c r="AR667">
        <v>0</v>
      </c>
    </row>
    <row r="668" spans="1:44" x14ac:dyDescent="0.2">
      <c r="A668">
        <f>ROW(Source!A763)</f>
        <v>763</v>
      </c>
      <c r="B668">
        <v>1472513774</v>
      </c>
      <c r="C668">
        <v>1472499166</v>
      </c>
      <c r="D668">
        <v>1441819193</v>
      </c>
      <c r="E668">
        <v>15514512</v>
      </c>
      <c r="F668">
        <v>1</v>
      </c>
      <c r="G668">
        <v>15514512</v>
      </c>
      <c r="H668">
        <v>1</v>
      </c>
      <c r="I668" t="s">
        <v>885</v>
      </c>
      <c r="J668" t="s">
        <v>3</v>
      </c>
      <c r="K668" t="s">
        <v>886</v>
      </c>
      <c r="L668">
        <v>1191</v>
      </c>
      <c r="N668">
        <v>1013</v>
      </c>
      <c r="O668" t="s">
        <v>887</v>
      </c>
      <c r="P668" t="s">
        <v>887</v>
      </c>
      <c r="Q668">
        <v>1</v>
      </c>
      <c r="X668">
        <v>0.8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1</v>
      </c>
      <c r="AE668">
        <v>1</v>
      </c>
      <c r="AF668" t="s">
        <v>577</v>
      </c>
      <c r="AG668">
        <v>2.4000000000000004</v>
      </c>
      <c r="AH668">
        <v>3</v>
      </c>
      <c r="AI668">
        <v>-1</v>
      </c>
      <c r="AJ668" t="s">
        <v>3</v>
      </c>
      <c r="AK668">
        <v>0</v>
      </c>
      <c r="AL668">
        <v>0</v>
      </c>
      <c r="AM668">
        <v>0</v>
      </c>
      <c r="AN668">
        <v>0</v>
      </c>
      <c r="AO668">
        <v>0</v>
      </c>
      <c r="AP668">
        <v>0</v>
      </c>
      <c r="AQ668">
        <v>0</v>
      </c>
      <c r="AR668">
        <v>0</v>
      </c>
    </row>
    <row r="669" spans="1:44" x14ac:dyDescent="0.2">
      <c r="A669">
        <f>ROW(Source!A763)</f>
        <v>763</v>
      </c>
      <c r="B669">
        <v>1472513775</v>
      </c>
      <c r="C669">
        <v>1472499166</v>
      </c>
      <c r="D669">
        <v>1441822228</v>
      </c>
      <c r="E669">
        <v>15514512</v>
      </c>
      <c r="F669">
        <v>1</v>
      </c>
      <c r="G669">
        <v>15514512</v>
      </c>
      <c r="H669">
        <v>3</v>
      </c>
      <c r="I669" t="s">
        <v>956</v>
      </c>
      <c r="J669" t="s">
        <v>3</v>
      </c>
      <c r="K669" t="s">
        <v>958</v>
      </c>
      <c r="L669">
        <v>1346</v>
      </c>
      <c r="N669">
        <v>1009</v>
      </c>
      <c r="O669" t="s">
        <v>898</v>
      </c>
      <c r="P669" t="s">
        <v>898</v>
      </c>
      <c r="Q669">
        <v>1</v>
      </c>
      <c r="X669">
        <v>0.01</v>
      </c>
      <c r="Y669">
        <v>73.951729999999998</v>
      </c>
      <c r="Z669">
        <v>0</v>
      </c>
      <c r="AA669">
        <v>0</v>
      </c>
      <c r="AB669">
        <v>0</v>
      </c>
      <c r="AC669">
        <v>0</v>
      </c>
      <c r="AD669">
        <v>1</v>
      </c>
      <c r="AE669">
        <v>0</v>
      </c>
      <c r="AF669" t="s">
        <v>577</v>
      </c>
      <c r="AG669">
        <v>0.03</v>
      </c>
      <c r="AH669">
        <v>3</v>
      </c>
      <c r="AI669">
        <v>-1</v>
      </c>
      <c r="AJ669" t="s">
        <v>3</v>
      </c>
      <c r="AK669">
        <v>0</v>
      </c>
      <c r="AL669">
        <v>0</v>
      </c>
      <c r="AM669">
        <v>0</v>
      </c>
      <c r="AN669">
        <v>0</v>
      </c>
      <c r="AO669">
        <v>0</v>
      </c>
      <c r="AP669">
        <v>0</v>
      </c>
      <c r="AQ669">
        <v>0</v>
      </c>
      <c r="AR669">
        <v>0</v>
      </c>
    </row>
    <row r="670" spans="1:44" x14ac:dyDescent="0.2">
      <c r="A670">
        <f>ROW(Source!A764)</f>
        <v>764</v>
      </c>
      <c r="B670">
        <v>1472513786</v>
      </c>
      <c r="C670">
        <v>1472499174</v>
      </c>
      <c r="D670">
        <v>1441819193</v>
      </c>
      <c r="E670">
        <v>15514512</v>
      </c>
      <c r="F670">
        <v>1</v>
      </c>
      <c r="G670">
        <v>15514512</v>
      </c>
      <c r="H670">
        <v>1</v>
      </c>
      <c r="I670" t="s">
        <v>885</v>
      </c>
      <c r="J670" t="s">
        <v>3</v>
      </c>
      <c r="K670" t="s">
        <v>886</v>
      </c>
      <c r="L670">
        <v>1191</v>
      </c>
      <c r="N670">
        <v>1013</v>
      </c>
      <c r="O670" t="s">
        <v>887</v>
      </c>
      <c r="P670" t="s">
        <v>887</v>
      </c>
      <c r="Q670">
        <v>1</v>
      </c>
      <c r="X670">
        <v>3.6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1</v>
      </c>
      <c r="AE670">
        <v>1</v>
      </c>
      <c r="AF670" t="s">
        <v>3</v>
      </c>
      <c r="AG670">
        <v>3.6</v>
      </c>
      <c r="AH670">
        <v>3</v>
      </c>
      <c r="AI670">
        <v>-1</v>
      </c>
      <c r="AJ670" t="s">
        <v>3</v>
      </c>
      <c r="AK670">
        <v>0</v>
      </c>
      <c r="AL670">
        <v>0</v>
      </c>
      <c r="AM670">
        <v>0</v>
      </c>
      <c r="AN670">
        <v>0</v>
      </c>
      <c r="AO670">
        <v>0</v>
      </c>
      <c r="AP670">
        <v>0</v>
      </c>
      <c r="AQ670">
        <v>0</v>
      </c>
      <c r="AR670">
        <v>0</v>
      </c>
    </row>
    <row r="671" spans="1:44" x14ac:dyDescent="0.2">
      <c r="A671">
        <f>ROW(Source!A765)</f>
        <v>765</v>
      </c>
      <c r="B671">
        <v>1472513797</v>
      </c>
      <c r="C671">
        <v>1472499180</v>
      </c>
      <c r="D671">
        <v>1441819193</v>
      </c>
      <c r="E671">
        <v>15514512</v>
      </c>
      <c r="F671">
        <v>1</v>
      </c>
      <c r="G671">
        <v>15514512</v>
      </c>
      <c r="H671">
        <v>1</v>
      </c>
      <c r="I671" t="s">
        <v>885</v>
      </c>
      <c r="J671" t="s">
        <v>3</v>
      </c>
      <c r="K671" t="s">
        <v>886</v>
      </c>
      <c r="L671">
        <v>1191</v>
      </c>
      <c r="N671">
        <v>1013</v>
      </c>
      <c r="O671" t="s">
        <v>887</v>
      </c>
      <c r="P671" t="s">
        <v>887</v>
      </c>
      <c r="Q671">
        <v>1</v>
      </c>
      <c r="X671">
        <v>0.12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1</v>
      </c>
      <c r="AE671">
        <v>1</v>
      </c>
      <c r="AF671" t="s">
        <v>106</v>
      </c>
      <c r="AG671">
        <v>0.48</v>
      </c>
      <c r="AH671">
        <v>3</v>
      </c>
      <c r="AI671">
        <v>-1</v>
      </c>
      <c r="AJ671" t="s">
        <v>3</v>
      </c>
      <c r="AK671">
        <v>0</v>
      </c>
      <c r="AL671">
        <v>0</v>
      </c>
      <c r="AM671">
        <v>0</v>
      </c>
      <c r="AN671">
        <v>0</v>
      </c>
      <c r="AO671">
        <v>0</v>
      </c>
      <c r="AP671">
        <v>0</v>
      </c>
      <c r="AQ671">
        <v>0</v>
      </c>
      <c r="AR671">
        <v>0</v>
      </c>
    </row>
    <row r="672" spans="1:44" x14ac:dyDescent="0.2">
      <c r="A672">
        <f>ROW(Source!A766)</f>
        <v>766</v>
      </c>
      <c r="B672">
        <v>1472513809</v>
      </c>
      <c r="C672">
        <v>1472499260</v>
      </c>
      <c r="D672">
        <v>1441819193</v>
      </c>
      <c r="E672">
        <v>15514512</v>
      </c>
      <c r="F672">
        <v>1</v>
      </c>
      <c r="G672">
        <v>15514512</v>
      </c>
      <c r="H672">
        <v>1</v>
      </c>
      <c r="I672" t="s">
        <v>885</v>
      </c>
      <c r="J672" t="s">
        <v>3</v>
      </c>
      <c r="K672" t="s">
        <v>886</v>
      </c>
      <c r="L672">
        <v>1191</v>
      </c>
      <c r="N672">
        <v>1013</v>
      </c>
      <c r="O672" t="s">
        <v>887</v>
      </c>
      <c r="P672" t="s">
        <v>887</v>
      </c>
      <c r="Q672">
        <v>1</v>
      </c>
      <c r="X672">
        <v>11.22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1</v>
      </c>
      <c r="AE672">
        <v>1</v>
      </c>
      <c r="AF672" t="s">
        <v>3</v>
      </c>
      <c r="AG672">
        <v>11.22</v>
      </c>
      <c r="AH672">
        <v>3</v>
      </c>
      <c r="AI672">
        <v>-1</v>
      </c>
      <c r="AJ672" t="s">
        <v>3</v>
      </c>
      <c r="AK672">
        <v>0</v>
      </c>
      <c r="AL672">
        <v>0</v>
      </c>
      <c r="AM672">
        <v>0</v>
      </c>
      <c r="AN672">
        <v>0</v>
      </c>
      <c r="AO672">
        <v>0</v>
      </c>
      <c r="AP672">
        <v>0</v>
      </c>
      <c r="AQ672">
        <v>0</v>
      </c>
      <c r="AR672">
        <v>0</v>
      </c>
    </row>
    <row r="673" spans="1:44" x14ac:dyDescent="0.2">
      <c r="A673">
        <f>ROW(Source!A766)</f>
        <v>766</v>
      </c>
      <c r="B673">
        <v>1472513810</v>
      </c>
      <c r="C673">
        <v>1472499260</v>
      </c>
      <c r="D673">
        <v>1441836237</v>
      </c>
      <c r="E673">
        <v>1</v>
      </c>
      <c r="F673">
        <v>1</v>
      </c>
      <c r="G673">
        <v>15514512</v>
      </c>
      <c r="H673">
        <v>3</v>
      </c>
      <c r="I673" t="s">
        <v>1045</v>
      </c>
      <c r="J673" t="s">
        <v>1046</v>
      </c>
      <c r="K673" t="s">
        <v>1047</v>
      </c>
      <c r="L673">
        <v>1346</v>
      </c>
      <c r="N673">
        <v>1009</v>
      </c>
      <c r="O673" t="s">
        <v>898</v>
      </c>
      <c r="P673" t="s">
        <v>898</v>
      </c>
      <c r="Q673">
        <v>1</v>
      </c>
      <c r="X673">
        <v>3.9E-2</v>
      </c>
      <c r="Y673">
        <v>375.16</v>
      </c>
      <c r="Z673">
        <v>0</v>
      </c>
      <c r="AA673">
        <v>0</v>
      </c>
      <c r="AB673">
        <v>0</v>
      </c>
      <c r="AC673">
        <v>0</v>
      </c>
      <c r="AD673">
        <v>1</v>
      </c>
      <c r="AE673">
        <v>0</v>
      </c>
      <c r="AF673" t="s">
        <v>3</v>
      </c>
      <c r="AG673">
        <v>3.9E-2</v>
      </c>
      <c r="AH673">
        <v>3</v>
      </c>
      <c r="AI673">
        <v>-1</v>
      </c>
      <c r="AJ673" t="s">
        <v>3</v>
      </c>
      <c r="AK673">
        <v>0</v>
      </c>
      <c r="AL673">
        <v>0</v>
      </c>
      <c r="AM673">
        <v>0</v>
      </c>
      <c r="AN673">
        <v>0</v>
      </c>
      <c r="AO673">
        <v>0</v>
      </c>
      <c r="AP673">
        <v>0</v>
      </c>
      <c r="AQ673">
        <v>0</v>
      </c>
      <c r="AR673">
        <v>0</v>
      </c>
    </row>
    <row r="674" spans="1:44" x14ac:dyDescent="0.2">
      <c r="A674">
        <f>ROW(Source!A767)</f>
        <v>767</v>
      </c>
      <c r="B674">
        <v>1472513837</v>
      </c>
      <c r="C674">
        <v>1472499267</v>
      </c>
      <c r="D674">
        <v>1441819193</v>
      </c>
      <c r="E674">
        <v>15514512</v>
      </c>
      <c r="F674">
        <v>1</v>
      </c>
      <c r="G674">
        <v>15514512</v>
      </c>
      <c r="H674">
        <v>1</v>
      </c>
      <c r="I674" t="s">
        <v>885</v>
      </c>
      <c r="J674" t="s">
        <v>3</v>
      </c>
      <c r="K674" t="s">
        <v>886</v>
      </c>
      <c r="L674">
        <v>1191</v>
      </c>
      <c r="N674">
        <v>1013</v>
      </c>
      <c r="O674" t="s">
        <v>887</v>
      </c>
      <c r="P674" t="s">
        <v>887</v>
      </c>
      <c r="Q674">
        <v>1</v>
      </c>
      <c r="X674">
        <v>2.04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1</v>
      </c>
      <c r="AE674">
        <v>1</v>
      </c>
      <c r="AF674" t="s">
        <v>3</v>
      </c>
      <c r="AG674">
        <v>2.04</v>
      </c>
      <c r="AH674">
        <v>3</v>
      </c>
      <c r="AI674">
        <v>-1</v>
      </c>
      <c r="AJ674" t="s">
        <v>3</v>
      </c>
      <c r="AK674">
        <v>0</v>
      </c>
      <c r="AL674">
        <v>0</v>
      </c>
      <c r="AM674">
        <v>0</v>
      </c>
      <c r="AN674">
        <v>0</v>
      </c>
      <c r="AO674">
        <v>0</v>
      </c>
      <c r="AP674">
        <v>0</v>
      </c>
      <c r="AQ674">
        <v>0</v>
      </c>
      <c r="AR674">
        <v>0</v>
      </c>
    </row>
    <row r="675" spans="1:44" x14ac:dyDescent="0.2">
      <c r="A675">
        <f>ROW(Source!A768)</f>
        <v>768</v>
      </c>
      <c r="B675">
        <v>1472513847</v>
      </c>
      <c r="C675">
        <v>1472499274</v>
      </c>
      <c r="D675">
        <v>1441819193</v>
      </c>
      <c r="E675">
        <v>15514512</v>
      </c>
      <c r="F675">
        <v>1</v>
      </c>
      <c r="G675">
        <v>15514512</v>
      </c>
      <c r="H675">
        <v>1</v>
      </c>
      <c r="I675" t="s">
        <v>885</v>
      </c>
      <c r="J675" t="s">
        <v>3</v>
      </c>
      <c r="K675" t="s">
        <v>886</v>
      </c>
      <c r="L675">
        <v>1191</v>
      </c>
      <c r="N675">
        <v>1013</v>
      </c>
      <c r="O675" t="s">
        <v>887</v>
      </c>
      <c r="P675" t="s">
        <v>887</v>
      </c>
      <c r="Q675">
        <v>1</v>
      </c>
      <c r="X675">
        <v>0.6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1</v>
      </c>
      <c r="AE675">
        <v>1</v>
      </c>
      <c r="AF675" t="s">
        <v>3</v>
      </c>
      <c r="AG675">
        <v>0.6</v>
      </c>
      <c r="AH675">
        <v>3</v>
      </c>
      <c r="AI675">
        <v>-1</v>
      </c>
      <c r="AJ675" t="s">
        <v>3</v>
      </c>
      <c r="AK675">
        <v>0</v>
      </c>
      <c r="AL675">
        <v>0</v>
      </c>
      <c r="AM675">
        <v>0</v>
      </c>
      <c r="AN675">
        <v>0</v>
      </c>
      <c r="AO675">
        <v>0</v>
      </c>
      <c r="AP675">
        <v>0</v>
      </c>
      <c r="AQ675">
        <v>0</v>
      </c>
      <c r="AR675">
        <v>0</v>
      </c>
    </row>
    <row r="676" spans="1:44" x14ac:dyDescent="0.2">
      <c r="A676">
        <f>ROW(Source!A768)</f>
        <v>768</v>
      </c>
      <c r="B676">
        <v>1472513848</v>
      </c>
      <c r="C676">
        <v>1472499274</v>
      </c>
      <c r="D676">
        <v>1441836235</v>
      </c>
      <c r="E676">
        <v>1</v>
      </c>
      <c r="F676">
        <v>1</v>
      </c>
      <c r="G676">
        <v>15514512</v>
      </c>
      <c r="H676">
        <v>3</v>
      </c>
      <c r="I676" t="s">
        <v>912</v>
      </c>
      <c r="J676" t="s">
        <v>913</v>
      </c>
      <c r="K676" t="s">
        <v>914</v>
      </c>
      <c r="L676">
        <v>1346</v>
      </c>
      <c r="N676">
        <v>1009</v>
      </c>
      <c r="O676" t="s">
        <v>898</v>
      </c>
      <c r="P676" t="s">
        <v>898</v>
      </c>
      <c r="Q676">
        <v>1</v>
      </c>
      <c r="X676">
        <v>0.05</v>
      </c>
      <c r="Y676">
        <v>31.49</v>
      </c>
      <c r="Z676">
        <v>0</v>
      </c>
      <c r="AA676">
        <v>0</v>
      </c>
      <c r="AB676">
        <v>0</v>
      </c>
      <c r="AC676">
        <v>0</v>
      </c>
      <c r="AD676">
        <v>1</v>
      </c>
      <c r="AE676">
        <v>0</v>
      </c>
      <c r="AF676" t="s">
        <v>3</v>
      </c>
      <c r="AG676">
        <v>0.05</v>
      </c>
      <c r="AH676">
        <v>3</v>
      </c>
      <c r="AI676">
        <v>-1</v>
      </c>
      <c r="AJ676" t="s">
        <v>3</v>
      </c>
      <c r="AK676">
        <v>0</v>
      </c>
      <c r="AL676">
        <v>0</v>
      </c>
      <c r="AM676">
        <v>0</v>
      </c>
      <c r="AN676">
        <v>0</v>
      </c>
      <c r="AO676">
        <v>0</v>
      </c>
      <c r="AP676">
        <v>0</v>
      </c>
      <c r="AQ676">
        <v>0</v>
      </c>
      <c r="AR676">
        <v>0</v>
      </c>
    </row>
    <row r="677" spans="1:44" x14ac:dyDescent="0.2">
      <c r="A677">
        <f>ROW(Source!A769)</f>
        <v>769</v>
      </c>
      <c r="B677">
        <v>1472513868</v>
      </c>
      <c r="C677">
        <v>1472499304</v>
      </c>
      <c r="D677">
        <v>1441819193</v>
      </c>
      <c r="E677">
        <v>15514512</v>
      </c>
      <c r="F677">
        <v>1</v>
      </c>
      <c r="G677">
        <v>15514512</v>
      </c>
      <c r="H677">
        <v>1</v>
      </c>
      <c r="I677" t="s">
        <v>885</v>
      </c>
      <c r="J677" t="s">
        <v>3</v>
      </c>
      <c r="K677" t="s">
        <v>886</v>
      </c>
      <c r="L677">
        <v>1191</v>
      </c>
      <c r="N677">
        <v>1013</v>
      </c>
      <c r="O677" t="s">
        <v>887</v>
      </c>
      <c r="P677" t="s">
        <v>887</v>
      </c>
      <c r="Q677">
        <v>1</v>
      </c>
      <c r="X677">
        <v>0.14000000000000001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1</v>
      </c>
      <c r="AE677">
        <v>1</v>
      </c>
      <c r="AF677" t="s">
        <v>584</v>
      </c>
      <c r="AG677">
        <v>0.56000000000000005</v>
      </c>
      <c r="AH677">
        <v>3</v>
      </c>
      <c r="AI677">
        <v>-1</v>
      </c>
      <c r="AJ677" t="s">
        <v>3</v>
      </c>
      <c r="AK677">
        <v>0</v>
      </c>
      <c r="AL677">
        <v>0</v>
      </c>
      <c r="AM677">
        <v>0</v>
      </c>
      <c r="AN677">
        <v>0</v>
      </c>
      <c r="AO677">
        <v>0</v>
      </c>
      <c r="AP677">
        <v>0</v>
      </c>
      <c r="AQ677">
        <v>0</v>
      </c>
      <c r="AR677">
        <v>0</v>
      </c>
    </row>
    <row r="678" spans="1:44" x14ac:dyDescent="0.2">
      <c r="A678">
        <f>ROW(Source!A770)</f>
        <v>770</v>
      </c>
      <c r="B678">
        <v>1472513895</v>
      </c>
      <c r="C678">
        <v>1472499308</v>
      </c>
      <c r="D678">
        <v>1441819193</v>
      </c>
      <c r="E678">
        <v>15514512</v>
      </c>
      <c r="F678">
        <v>1</v>
      </c>
      <c r="G678">
        <v>15514512</v>
      </c>
      <c r="H678">
        <v>1</v>
      </c>
      <c r="I678" t="s">
        <v>885</v>
      </c>
      <c r="J678" t="s">
        <v>3</v>
      </c>
      <c r="K678" t="s">
        <v>886</v>
      </c>
      <c r="L678">
        <v>1191</v>
      </c>
      <c r="N678">
        <v>1013</v>
      </c>
      <c r="O678" t="s">
        <v>887</v>
      </c>
      <c r="P678" t="s">
        <v>887</v>
      </c>
      <c r="Q678">
        <v>1</v>
      </c>
      <c r="X678">
        <v>0.08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1</v>
      </c>
      <c r="AE678">
        <v>1</v>
      </c>
      <c r="AF678" t="s">
        <v>640</v>
      </c>
      <c r="AG678">
        <v>9.44</v>
      </c>
      <c r="AH678">
        <v>3</v>
      </c>
      <c r="AI678">
        <v>-1</v>
      </c>
      <c r="AJ678" t="s">
        <v>3</v>
      </c>
      <c r="AK678">
        <v>0</v>
      </c>
      <c r="AL678">
        <v>0</v>
      </c>
      <c r="AM678">
        <v>0</v>
      </c>
      <c r="AN678">
        <v>0</v>
      </c>
      <c r="AO678">
        <v>0</v>
      </c>
      <c r="AP678">
        <v>0</v>
      </c>
      <c r="AQ678">
        <v>0</v>
      </c>
      <c r="AR678">
        <v>0</v>
      </c>
    </row>
    <row r="679" spans="1:44" x14ac:dyDescent="0.2">
      <c r="A679">
        <f>ROW(Source!A771)</f>
        <v>771</v>
      </c>
      <c r="B679">
        <v>1472576168</v>
      </c>
      <c r="C679">
        <v>1472499313</v>
      </c>
      <c r="D679">
        <v>1441819193</v>
      </c>
      <c r="E679">
        <v>15514512</v>
      </c>
      <c r="F679">
        <v>1</v>
      </c>
      <c r="G679">
        <v>15514512</v>
      </c>
      <c r="H679">
        <v>1</v>
      </c>
      <c r="I679" t="s">
        <v>885</v>
      </c>
      <c r="J679" t="s">
        <v>3</v>
      </c>
      <c r="K679" t="s">
        <v>886</v>
      </c>
      <c r="L679">
        <v>1191</v>
      </c>
      <c r="N679">
        <v>1013</v>
      </c>
      <c r="O679" t="s">
        <v>887</v>
      </c>
      <c r="P679" t="s">
        <v>887</v>
      </c>
      <c r="Q679">
        <v>1</v>
      </c>
      <c r="X679">
        <v>0.45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1</v>
      </c>
      <c r="AE679">
        <v>1</v>
      </c>
      <c r="AF679" t="s">
        <v>3</v>
      </c>
      <c r="AG679">
        <v>0.45</v>
      </c>
      <c r="AH679">
        <v>3</v>
      </c>
      <c r="AI679">
        <v>-1</v>
      </c>
      <c r="AJ679" t="s">
        <v>3</v>
      </c>
      <c r="AK679">
        <v>0</v>
      </c>
      <c r="AL679">
        <v>0</v>
      </c>
      <c r="AM679">
        <v>0</v>
      </c>
      <c r="AN679">
        <v>0</v>
      </c>
      <c r="AO679">
        <v>0</v>
      </c>
      <c r="AP679">
        <v>0</v>
      </c>
      <c r="AQ679">
        <v>0</v>
      </c>
      <c r="AR679">
        <v>0</v>
      </c>
    </row>
    <row r="680" spans="1:44" x14ac:dyDescent="0.2">
      <c r="A680">
        <f>ROW(Source!A771)</f>
        <v>771</v>
      </c>
      <c r="B680">
        <v>1472576169</v>
      </c>
      <c r="C680">
        <v>1472499313</v>
      </c>
      <c r="D680">
        <v>1441834258</v>
      </c>
      <c r="E680">
        <v>1</v>
      </c>
      <c r="F680">
        <v>1</v>
      </c>
      <c r="G680">
        <v>15514512</v>
      </c>
      <c r="H680">
        <v>2</v>
      </c>
      <c r="I680" t="s">
        <v>892</v>
      </c>
      <c r="J680" t="s">
        <v>893</v>
      </c>
      <c r="K680" t="s">
        <v>894</v>
      </c>
      <c r="L680">
        <v>1368</v>
      </c>
      <c r="N680">
        <v>1011</v>
      </c>
      <c r="O680" t="s">
        <v>895</v>
      </c>
      <c r="P680" t="s">
        <v>895</v>
      </c>
      <c r="Q680">
        <v>1</v>
      </c>
      <c r="X680">
        <v>2.5999999999999999E-2</v>
      </c>
      <c r="Y680">
        <v>0</v>
      </c>
      <c r="Z680">
        <v>1303.01</v>
      </c>
      <c r="AA680">
        <v>826.2</v>
      </c>
      <c r="AB680">
        <v>0</v>
      </c>
      <c r="AC680">
        <v>0</v>
      </c>
      <c r="AD680">
        <v>1</v>
      </c>
      <c r="AE680">
        <v>0</v>
      </c>
      <c r="AF680" t="s">
        <v>3</v>
      </c>
      <c r="AG680">
        <v>2.5999999999999999E-2</v>
      </c>
      <c r="AH680">
        <v>3</v>
      </c>
      <c r="AI680">
        <v>-1</v>
      </c>
      <c r="AJ680" t="s">
        <v>3</v>
      </c>
      <c r="AK680">
        <v>0</v>
      </c>
      <c r="AL680">
        <v>0</v>
      </c>
      <c r="AM680">
        <v>0</v>
      </c>
      <c r="AN680">
        <v>0</v>
      </c>
      <c r="AO680">
        <v>0</v>
      </c>
      <c r="AP680">
        <v>0</v>
      </c>
      <c r="AQ680">
        <v>0</v>
      </c>
      <c r="AR680">
        <v>0</v>
      </c>
    </row>
    <row r="681" spans="1:44" x14ac:dyDescent="0.2">
      <c r="A681">
        <f>ROW(Source!A771)</f>
        <v>771</v>
      </c>
      <c r="B681">
        <v>1472576170</v>
      </c>
      <c r="C681">
        <v>1472499313</v>
      </c>
      <c r="D681">
        <v>1441836235</v>
      </c>
      <c r="E681">
        <v>1</v>
      </c>
      <c r="F681">
        <v>1</v>
      </c>
      <c r="G681">
        <v>15514512</v>
      </c>
      <c r="H681">
        <v>3</v>
      </c>
      <c r="I681" t="s">
        <v>912</v>
      </c>
      <c r="J681" t="s">
        <v>913</v>
      </c>
      <c r="K681" t="s">
        <v>914</v>
      </c>
      <c r="L681">
        <v>1346</v>
      </c>
      <c r="N681">
        <v>1009</v>
      </c>
      <c r="O681" t="s">
        <v>898</v>
      </c>
      <c r="P681" t="s">
        <v>898</v>
      </c>
      <c r="Q681">
        <v>1</v>
      </c>
      <c r="X681">
        <v>3.0000000000000001E-3</v>
      </c>
      <c r="Y681">
        <v>31.49</v>
      </c>
      <c r="Z681">
        <v>0</v>
      </c>
      <c r="AA681">
        <v>0</v>
      </c>
      <c r="AB681">
        <v>0</v>
      </c>
      <c r="AC681">
        <v>0</v>
      </c>
      <c r="AD681">
        <v>1</v>
      </c>
      <c r="AE681">
        <v>0</v>
      </c>
      <c r="AF681" t="s">
        <v>3</v>
      </c>
      <c r="AG681">
        <v>3.0000000000000001E-3</v>
      </c>
      <c r="AH681">
        <v>3</v>
      </c>
      <c r="AI681">
        <v>-1</v>
      </c>
      <c r="AJ681" t="s">
        <v>3</v>
      </c>
      <c r="AK681">
        <v>0</v>
      </c>
      <c r="AL681">
        <v>0</v>
      </c>
      <c r="AM681">
        <v>0</v>
      </c>
      <c r="AN681">
        <v>0</v>
      </c>
      <c r="AO681">
        <v>0</v>
      </c>
      <c r="AP681">
        <v>0</v>
      </c>
      <c r="AQ681">
        <v>0</v>
      </c>
      <c r="AR681">
        <v>0</v>
      </c>
    </row>
    <row r="682" spans="1:44" x14ac:dyDescent="0.2">
      <c r="A682">
        <f>ROW(Source!A773)</f>
        <v>773</v>
      </c>
      <c r="B682">
        <v>1472513936</v>
      </c>
      <c r="C682">
        <v>1472499343</v>
      </c>
      <c r="D682">
        <v>1441819193</v>
      </c>
      <c r="E682">
        <v>15514512</v>
      </c>
      <c r="F682">
        <v>1</v>
      </c>
      <c r="G682">
        <v>15514512</v>
      </c>
      <c r="H682">
        <v>1</v>
      </c>
      <c r="I682" t="s">
        <v>885</v>
      </c>
      <c r="J682" t="s">
        <v>3</v>
      </c>
      <c r="K682" t="s">
        <v>886</v>
      </c>
      <c r="L682">
        <v>1191</v>
      </c>
      <c r="N682">
        <v>1013</v>
      </c>
      <c r="O682" t="s">
        <v>887</v>
      </c>
      <c r="P682" t="s">
        <v>887</v>
      </c>
      <c r="Q682">
        <v>1</v>
      </c>
      <c r="X682">
        <v>9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1</v>
      </c>
      <c r="AE682">
        <v>1</v>
      </c>
      <c r="AF682" t="s">
        <v>3</v>
      </c>
      <c r="AG682">
        <v>9</v>
      </c>
      <c r="AH682">
        <v>3</v>
      </c>
      <c r="AI682">
        <v>-1</v>
      </c>
      <c r="AJ682" t="s">
        <v>3</v>
      </c>
      <c r="AK682">
        <v>0</v>
      </c>
      <c r="AL682">
        <v>0</v>
      </c>
      <c r="AM682">
        <v>0</v>
      </c>
      <c r="AN682">
        <v>0</v>
      </c>
      <c r="AO682">
        <v>0</v>
      </c>
      <c r="AP682">
        <v>0</v>
      </c>
      <c r="AQ682">
        <v>0</v>
      </c>
      <c r="AR682">
        <v>0</v>
      </c>
    </row>
    <row r="683" spans="1:44" x14ac:dyDescent="0.2">
      <c r="A683">
        <f>ROW(Source!A773)</f>
        <v>773</v>
      </c>
      <c r="B683">
        <v>1472513939</v>
      </c>
      <c r="C683">
        <v>1472499343</v>
      </c>
      <c r="D683">
        <v>1441836237</v>
      </c>
      <c r="E683">
        <v>1</v>
      </c>
      <c r="F683">
        <v>1</v>
      </c>
      <c r="G683">
        <v>15514512</v>
      </c>
      <c r="H683">
        <v>3</v>
      </c>
      <c r="I683" t="s">
        <v>1045</v>
      </c>
      <c r="J683" t="s">
        <v>1046</v>
      </c>
      <c r="K683" t="s">
        <v>1047</v>
      </c>
      <c r="L683">
        <v>1346</v>
      </c>
      <c r="N683">
        <v>1009</v>
      </c>
      <c r="O683" t="s">
        <v>898</v>
      </c>
      <c r="P683" t="s">
        <v>898</v>
      </c>
      <c r="Q683">
        <v>1</v>
      </c>
      <c r="X683">
        <v>0.18</v>
      </c>
      <c r="Y683">
        <v>375.16</v>
      </c>
      <c r="Z683">
        <v>0</v>
      </c>
      <c r="AA683">
        <v>0</v>
      </c>
      <c r="AB683">
        <v>0</v>
      </c>
      <c r="AC683">
        <v>0</v>
      </c>
      <c r="AD683">
        <v>1</v>
      </c>
      <c r="AE683">
        <v>0</v>
      </c>
      <c r="AF683" t="s">
        <v>3</v>
      </c>
      <c r="AG683">
        <v>0.18</v>
      </c>
      <c r="AH683">
        <v>3</v>
      </c>
      <c r="AI683">
        <v>-1</v>
      </c>
      <c r="AJ683" t="s">
        <v>3</v>
      </c>
      <c r="AK683">
        <v>0</v>
      </c>
      <c r="AL683">
        <v>0</v>
      </c>
      <c r="AM683">
        <v>0</v>
      </c>
      <c r="AN683">
        <v>0</v>
      </c>
      <c r="AO683">
        <v>0</v>
      </c>
      <c r="AP683">
        <v>0</v>
      </c>
      <c r="AQ683">
        <v>0</v>
      </c>
      <c r="AR683">
        <v>0</v>
      </c>
    </row>
    <row r="684" spans="1:44" x14ac:dyDescent="0.2">
      <c r="A684">
        <f>ROW(Source!A773)</f>
        <v>773</v>
      </c>
      <c r="B684">
        <v>1472513940</v>
      </c>
      <c r="C684">
        <v>1472499343</v>
      </c>
      <c r="D684">
        <v>1441836235</v>
      </c>
      <c r="E684">
        <v>1</v>
      </c>
      <c r="F684">
        <v>1</v>
      </c>
      <c r="G684">
        <v>15514512</v>
      </c>
      <c r="H684">
        <v>3</v>
      </c>
      <c r="I684" t="s">
        <v>912</v>
      </c>
      <c r="J684" t="s">
        <v>913</v>
      </c>
      <c r="K684" t="s">
        <v>914</v>
      </c>
      <c r="L684">
        <v>1346</v>
      </c>
      <c r="N684">
        <v>1009</v>
      </c>
      <c r="O684" t="s">
        <v>898</v>
      </c>
      <c r="P684" t="s">
        <v>898</v>
      </c>
      <c r="Q684">
        <v>1</v>
      </c>
      <c r="X684">
        <v>0.05</v>
      </c>
      <c r="Y684">
        <v>31.49</v>
      </c>
      <c r="Z684">
        <v>0</v>
      </c>
      <c r="AA684">
        <v>0</v>
      </c>
      <c r="AB684">
        <v>0</v>
      </c>
      <c r="AC684">
        <v>0</v>
      </c>
      <c r="AD684">
        <v>1</v>
      </c>
      <c r="AE684">
        <v>0</v>
      </c>
      <c r="AF684" t="s">
        <v>3</v>
      </c>
      <c r="AG684">
        <v>0.05</v>
      </c>
      <c r="AH684">
        <v>3</v>
      </c>
      <c r="AI684">
        <v>-1</v>
      </c>
      <c r="AJ684" t="s">
        <v>3</v>
      </c>
      <c r="AK684">
        <v>0</v>
      </c>
      <c r="AL684">
        <v>0</v>
      </c>
      <c r="AM684">
        <v>0</v>
      </c>
      <c r="AN684">
        <v>0</v>
      </c>
      <c r="AO684">
        <v>0</v>
      </c>
      <c r="AP684">
        <v>0</v>
      </c>
      <c r="AQ684">
        <v>0</v>
      </c>
      <c r="AR684">
        <v>0</v>
      </c>
    </row>
    <row r="685" spans="1:44" x14ac:dyDescent="0.2">
      <c r="A685">
        <f>ROW(Source!A773)</f>
        <v>773</v>
      </c>
      <c r="B685">
        <v>1472513937</v>
      </c>
      <c r="C685">
        <v>1472499343</v>
      </c>
      <c r="D685">
        <v>1441822228</v>
      </c>
      <c r="E685">
        <v>15514512</v>
      </c>
      <c r="F685">
        <v>1</v>
      </c>
      <c r="G685">
        <v>15514512</v>
      </c>
      <c r="H685">
        <v>3</v>
      </c>
      <c r="I685" t="s">
        <v>956</v>
      </c>
      <c r="J685" t="s">
        <v>3</v>
      </c>
      <c r="K685" t="s">
        <v>958</v>
      </c>
      <c r="L685">
        <v>1346</v>
      </c>
      <c r="N685">
        <v>1009</v>
      </c>
      <c r="O685" t="s">
        <v>898</v>
      </c>
      <c r="P685" t="s">
        <v>898</v>
      </c>
      <c r="Q685">
        <v>1</v>
      </c>
      <c r="X685">
        <v>0.05</v>
      </c>
      <c r="Y685">
        <v>73.951729999999998</v>
      </c>
      <c r="Z685">
        <v>0</v>
      </c>
      <c r="AA685">
        <v>0</v>
      </c>
      <c r="AB685">
        <v>0</v>
      </c>
      <c r="AC685">
        <v>0</v>
      </c>
      <c r="AD685">
        <v>1</v>
      </c>
      <c r="AE685">
        <v>0</v>
      </c>
      <c r="AF685" t="s">
        <v>3</v>
      </c>
      <c r="AG685">
        <v>0.05</v>
      </c>
      <c r="AH685">
        <v>3</v>
      </c>
      <c r="AI685">
        <v>-1</v>
      </c>
      <c r="AJ685" t="s">
        <v>3</v>
      </c>
      <c r="AK685">
        <v>0</v>
      </c>
      <c r="AL685">
        <v>0</v>
      </c>
      <c r="AM685">
        <v>0</v>
      </c>
      <c r="AN685">
        <v>0</v>
      </c>
      <c r="AO685">
        <v>0</v>
      </c>
      <c r="AP685">
        <v>0</v>
      </c>
      <c r="AQ685">
        <v>0</v>
      </c>
      <c r="AR685">
        <v>0</v>
      </c>
    </row>
    <row r="686" spans="1:44" x14ac:dyDescent="0.2">
      <c r="A686">
        <f>ROW(Source!A773)</f>
        <v>773</v>
      </c>
      <c r="B686">
        <v>1472513941</v>
      </c>
      <c r="C686">
        <v>1472499343</v>
      </c>
      <c r="D686">
        <v>1441834920</v>
      </c>
      <c r="E686">
        <v>1</v>
      </c>
      <c r="F686">
        <v>1</v>
      </c>
      <c r="G686">
        <v>15514512</v>
      </c>
      <c r="H686">
        <v>3</v>
      </c>
      <c r="I686" t="s">
        <v>1048</v>
      </c>
      <c r="J686" t="s">
        <v>1049</v>
      </c>
      <c r="K686" t="s">
        <v>1050</v>
      </c>
      <c r="L686">
        <v>1346</v>
      </c>
      <c r="N686">
        <v>1009</v>
      </c>
      <c r="O686" t="s">
        <v>898</v>
      </c>
      <c r="P686" t="s">
        <v>898</v>
      </c>
      <c r="Q686">
        <v>1</v>
      </c>
      <c r="X686">
        <v>0.04</v>
      </c>
      <c r="Y686">
        <v>106.87</v>
      </c>
      <c r="Z686">
        <v>0</v>
      </c>
      <c r="AA686">
        <v>0</v>
      </c>
      <c r="AB686">
        <v>0</v>
      </c>
      <c r="AC686">
        <v>0</v>
      </c>
      <c r="AD686">
        <v>1</v>
      </c>
      <c r="AE686">
        <v>0</v>
      </c>
      <c r="AF686" t="s">
        <v>3</v>
      </c>
      <c r="AG686">
        <v>0.04</v>
      </c>
      <c r="AH686">
        <v>3</v>
      </c>
      <c r="AI686">
        <v>-1</v>
      </c>
      <c r="AJ686" t="s">
        <v>3</v>
      </c>
      <c r="AK686">
        <v>0</v>
      </c>
      <c r="AL686">
        <v>0</v>
      </c>
      <c r="AM686">
        <v>0</v>
      </c>
      <c r="AN686">
        <v>0</v>
      </c>
      <c r="AO686">
        <v>0</v>
      </c>
      <c r="AP686">
        <v>0</v>
      </c>
      <c r="AQ686">
        <v>0</v>
      </c>
      <c r="AR686">
        <v>0</v>
      </c>
    </row>
    <row r="687" spans="1:44" x14ac:dyDescent="0.2">
      <c r="A687">
        <f>ROW(Source!A774)</f>
        <v>774</v>
      </c>
      <c r="B687">
        <v>1472513951</v>
      </c>
      <c r="C687">
        <v>1472499370</v>
      </c>
      <c r="D687">
        <v>1441819193</v>
      </c>
      <c r="E687">
        <v>15514512</v>
      </c>
      <c r="F687">
        <v>1</v>
      </c>
      <c r="G687">
        <v>15514512</v>
      </c>
      <c r="H687">
        <v>1</v>
      </c>
      <c r="I687" t="s">
        <v>885</v>
      </c>
      <c r="J687" t="s">
        <v>3</v>
      </c>
      <c r="K687" t="s">
        <v>886</v>
      </c>
      <c r="L687">
        <v>1191</v>
      </c>
      <c r="N687">
        <v>1013</v>
      </c>
      <c r="O687" t="s">
        <v>887</v>
      </c>
      <c r="P687" t="s">
        <v>887</v>
      </c>
      <c r="Q687">
        <v>1</v>
      </c>
      <c r="X687">
        <v>0.3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1</v>
      </c>
      <c r="AE687">
        <v>1</v>
      </c>
      <c r="AF687" t="s">
        <v>577</v>
      </c>
      <c r="AG687">
        <v>0.89999999999999991</v>
      </c>
      <c r="AH687">
        <v>3</v>
      </c>
      <c r="AI687">
        <v>-1</v>
      </c>
      <c r="AJ687" t="s">
        <v>3</v>
      </c>
      <c r="AK687">
        <v>0</v>
      </c>
      <c r="AL687">
        <v>0</v>
      </c>
      <c r="AM687">
        <v>0</v>
      </c>
      <c r="AN687">
        <v>0</v>
      </c>
      <c r="AO687">
        <v>0</v>
      </c>
      <c r="AP687">
        <v>0</v>
      </c>
      <c r="AQ687">
        <v>0</v>
      </c>
      <c r="AR687">
        <v>0</v>
      </c>
    </row>
    <row r="688" spans="1:44" x14ac:dyDescent="0.2">
      <c r="A688">
        <f>ROW(Source!A774)</f>
        <v>774</v>
      </c>
      <c r="B688">
        <v>1472513953</v>
      </c>
      <c r="C688">
        <v>1472499370</v>
      </c>
      <c r="D688">
        <v>1441836235</v>
      </c>
      <c r="E688">
        <v>1</v>
      </c>
      <c r="F688">
        <v>1</v>
      </c>
      <c r="G688">
        <v>15514512</v>
      </c>
      <c r="H688">
        <v>3</v>
      </c>
      <c r="I688" t="s">
        <v>912</v>
      </c>
      <c r="J688" t="s">
        <v>913</v>
      </c>
      <c r="K688" t="s">
        <v>914</v>
      </c>
      <c r="L688">
        <v>1346</v>
      </c>
      <c r="N688">
        <v>1009</v>
      </c>
      <c r="O688" t="s">
        <v>898</v>
      </c>
      <c r="P688" t="s">
        <v>898</v>
      </c>
      <c r="Q688">
        <v>1</v>
      </c>
      <c r="X688">
        <v>2E-3</v>
      </c>
      <c r="Y688">
        <v>31.49</v>
      </c>
      <c r="Z688">
        <v>0</v>
      </c>
      <c r="AA688">
        <v>0</v>
      </c>
      <c r="AB688">
        <v>0</v>
      </c>
      <c r="AC688">
        <v>0</v>
      </c>
      <c r="AD688">
        <v>1</v>
      </c>
      <c r="AE688">
        <v>0</v>
      </c>
      <c r="AF688" t="s">
        <v>577</v>
      </c>
      <c r="AG688">
        <v>6.0000000000000001E-3</v>
      </c>
      <c r="AH688">
        <v>3</v>
      </c>
      <c r="AI688">
        <v>-1</v>
      </c>
      <c r="AJ688" t="s">
        <v>3</v>
      </c>
      <c r="AK688">
        <v>0</v>
      </c>
      <c r="AL688">
        <v>0</v>
      </c>
      <c r="AM688">
        <v>0</v>
      </c>
      <c r="AN688">
        <v>0</v>
      </c>
      <c r="AO688">
        <v>0</v>
      </c>
      <c r="AP688">
        <v>0</v>
      </c>
      <c r="AQ688">
        <v>0</v>
      </c>
      <c r="AR688">
        <v>0</v>
      </c>
    </row>
    <row r="689" spans="1:44" x14ac:dyDescent="0.2">
      <c r="A689">
        <f>ROW(Source!A774)</f>
        <v>774</v>
      </c>
      <c r="B689">
        <v>1472513952</v>
      </c>
      <c r="C689">
        <v>1472499370</v>
      </c>
      <c r="D689">
        <v>1441822228</v>
      </c>
      <c r="E689">
        <v>15514512</v>
      </c>
      <c r="F689">
        <v>1</v>
      </c>
      <c r="G689">
        <v>15514512</v>
      </c>
      <c r="H689">
        <v>3</v>
      </c>
      <c r="I689" t="s">
        <v>956</v>
      </c>
      <c r="J689" t="s">
        <v>3</v>
      </c>
      <c r="K689" t="s">
        <v>958</v>
      </c>
      <c r="L689">
        <v>1346</v>
      </c>
      <c r="N689">
        <v>1009</v>
      </c>
      <c r="O689" t="s">
        <v>898</v>
      </c>
      <c r="P689" t="s">
        <v>898</v>
      </c>
      <c r="Q689">
        <v>1</v>
      </c>
      <c r="X689">
        <v>5.0000000000000001E-3</v>
      </c>
      <c r="Y689">
        <v>73.951729999999998</v>
      </c>
      <c r="Z689">
        <v>0</v>
      </c>
      <c r="AA689">
        <v>0</v>
      </c>
      <c r="AB689">
        <v>0</v>
      </c>
      <c r="AC689">
        <v>0</v>
      </c>
      <c r="AD689">
        <v>1</v>
      </c>
      <c r="AE689">
        <v>0</v>
      </c>
      <c r="AF689" t="s">
        <v>577</v>
      </c>
      <c r="AG689">
        <v>1.4999999999999999E-2</v>
      </c>
      <c r="AH689">
        <v>3</v>
      </c>
      <c r="AI689">
        <v>-1</v>
      </c>
      <c r="AJ689" t="s">
        <v>3</v>
      </c>
      <c r="AK689">
        <v>0</v>
      </c>
      <c r="AL689">
        <v>0</v>
      </c>
      <c r="AM689">
        <v>0</v>
      </c>
      <c r="AN689">
        <v>0</v>
      </c>
      <c r="AO689">
        <v>0</v>
      </c>
      <c r="AP689">
        <v>0</v>
      </c>
      <c r="AQ689">
        <v>0</v>
      </c>
      <c r="AR689">
        <v>0</v>
      </c>
    </row>
    <row r="690" spans="1:44" x14ac:dyDescent="0.2">
      <c r="A690">
        <f>ROW(Source!A775)</f>
        <v>775</v>
      </c>
      <c r="B690">
        <v>1472513979</v>
      </c>
      <c r="C690">
        <v>1472499393</v>
      </c>
      <c r="D690">
        <v>1441819193</v>
      </c>
      <c r="E690">
        <v>15514512</v>
      </c>
      <c r="F690">
        <v>1</v>
      </c>
      <c r="G690">
        <v>15514512</v>
      </c>
      <c r="H690">
        <v>1</v>
      </c>
      <c r="I690" t="s">
        <v>885</v>
      </c>
      <c r="J690" t="s">
        <v>3</v>
      </c>
      <c r="K690" t="s">
        <v>886</v>
      </c>
      <c r="L690">
        <v>1191</v>
      </c>
      <c r="N690">
        <v>1013</v>
      </c>
      <c r="O690" t="s">
        <v>887</v>
      </c>
      <c r="P690" t="s">
        <v>887</v>
      </c>
      <c r="Q690">
        <v>1</v>
      </c>
      <c r="X690">
        <v>1.63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1</v>
      </c>
      <c r="AE690">
        <v>1</v>
      </c>
      <c r="AF690" t="s">
        <v>3</v>
      </c>
      <c r="AG690">
        <v>1.63</v>
      </c>
      <c r="AH690">
        <v>3</v>
      </c>
      <c r="AI690">
        <v>-1</v>
      </c>
      <c r="AJ690" t="s">
        <v>3</v>
      </c>
      <c r="AK690">
        <v>0</v>
      </c>
      <c r="AL690">
        <v>0</v>
      </c>
      <c r="AM690">
        <v>0</v>
      </c>
      <c r="AN690">
        <v>0</v>
      </c>
      <c r="AO690">
        <v>0</v>
      </c>
      <c r="AP690">
        <v>0</v>
      </c>
      <c r="AQ690">
        <v>0</v>
      </c>
      <c r="AR690">
        <v>0</v>
      </c>
    </row>
    <row r="691" spans="1:44" x14ac:dyDescent="0.2">
      <c r="A691">
        <f>ROW(Source!A775)</f>
        <v>775</v>
      </c>
      <c r="B691">
        <v>1472513980</v>
      </c>
      <c r="C691">
        <v>1472499393</v>
      </c>
      <c r="D691">
        <v>1441836187</v>
      </c>
      <c r="E691">
        <v>1</v>
      </c>
      <c r="F691">
        <v>1</v>
      </c>
      <c r="G691">
        <v>15514512</v>
      </c>
      <c r="H691">
        <v>3</v>
      </c>
      <c r="I691" t="s">
        <v>909</v>
      </c>
      <c r="J691" t="s">
        <v>910</v>
      </c>
      <c r="K691" t="s">
        <v>911</v>
      </c>
      <c r="L691">
        <v>1346</v>
      </c>
      <c r="N691">
        <v>1009</v>
      </c>
      <c r="O691" t="s">
        <v>898</v>
      </c>
      <c r="P691" t="s">
        <v>898</v>
      </c>
      <c r="Q691">
        <v>1</v>
      </c>
      <c r="X691">
        <v>1.9599999999999999E-3</v>
      </c>
      <c r="Y691">
        <v>424.66</v>
      </c>
      <c r="Z691">
        <v>0</v>
      </c>
      <c r="AA691">
        <v>0</v>
      </c>
      <c r="AB691">
        <v>0</v>
      </c>
      <c r="AC691">
        <v>0</v>
      </c>
      <c r="AD691">
        <v>1</v>
      </c>
      <c r="AE691">
        <v>0</v>
      </c>
      <c r="AF691" t="s">
        <v>3</v>
      </c>
      <c r="AG691">
        <v>1.9599999999999999E-3</v>
      </c>
      <c r="AH691">
        <v>3</v>
      </c>
      <c r="AI691">
        <v>-1</v>
      </c>
      <c r="AJ691" t="s">
        <v>3</v>
      </c>
      <c r="AK691">
        <v>0</v>
      </c>
      <c r="AL691">
        <v>0</v>
      </c>
      <c r="AM691">
        <v>0</v>
      </c>
      <c r="AN691">
        <v>0</v>
      </c>
      <c r="AO691">
        <v>0</v>
      </c>
      <c r="AP691">
        <v>0</v>
      </c>
      <c r="AQ691">
        <v>0</v>
      </c>
      <c r="AR691">
        <v>0</v>
      </c>
    </row>
    <row r="692" spans="1:44" x14ac:dyDescent="0.2">
      <c r="A692">
        <f>ROW(Source!A775)</f>
        <v>775</v>
      </c>
      <c r="B692">
        <v>1472513981</v>
      </c>
      <c r="C692">
        <v>1472499393</v>
      </c>
      <c r="D692">
        <v>1441836235</v>
      </c>
      <c r="E692">
        <v>1</v>
      </c>
      <c r="F692">
        <v>1</v>
      </c>
      <c r="G692">
        <v>15514512</v>
      </c>
      <c r="H692">
        <v>3</v>
      </c>
      <c r="I692" t="s">
        <v>912</v>
      </c>
      <c r="J692" t="s">
        <v>913</v>
      </c>
      <c r="K692" t="s">
        <v>914</v>
      </c>
      <c r="L692">
        <v>1346</v>
      </c>
      <c r="N692">
        <v>1009</v>
      </c>
      <c r="O692" t="s">
        <v>898</v>
      </c>
      <c r="P692" t="s">
        <v>898</v>
      </c>
      <c r="Q692">
        <v>1</v>
      </c>
      <c r="X692">
        <v>0.03</v>
      </c>
      <c r="Y692">
        <v>31.49</v>
      </c>
      <c r="Z692">
        <v>0</v>
      </c>
      <c r="AA692">
        <v>0</v>
      </c>
      <c r="AB692">
        <v>0</v>
      </c>
      <c r="AC692">
        <v>0</v>
      </c>
      <c r="AD692">
        <v>1</v>
      </c>
      <c r="AE692">
        <v>0</v>
      </c>
      <c r="AF692" t="s">
        <v>3</v>
      </c>
      <c r="AG692">
        <v>0.03</v>
      </c>
      <c r="AH692">
        <v>3</v>
      </c>
      <c r="AI692">
        <v>-1</v>
      </c>
      <c r="AJ692" t="s">
        <v>3</v>
      </c>
      <c r="AK692">
        <v>0</v>
      </c>
      <c r="AL692">
        <v>0</v>
      </c>
      <c r="AM692">
        <v>0</v>
      </c>
      <c r="AN692">
        <v>0</v>
      </c>
      <c r="AO692">
        <v>0</v>
      </c>
      <c r="AP692">
        <v>0</v>
      </c>
      <c r="AQ692">
        <v>0</v>
      </c>
      <c r="AR692">
        <v>0</v>
      </c>
    </row>
    <row r="693" spans="1:44" x14ac:dyDescent="0.2">
      <c r="A693">
        <f>ROW(Source!A776)</f>
        <v>776</v>
      </c>
      <c r="B693">
        <v>1472514001</v>
      </c>
      <c r="C693">
        <v>1472499404</v>
      </c>
      <c r="D693">
        <v>1441819193</v>
      </c>
      <c r="E693">
        <v>15514512</v>
      </c>
      <c r="F693">
        <v>1</v>
      </c>
      <c r="G693">
        <v>15514512</v>
      </c>
      <c r="H693">
        <v>1</v>
      </c>
      <c r="I693" t="s">
        <v>885</v>
      </c>
      <c r="J693" t="s">
        <v>3</v>
      </c>
      <c r="K693" t="s">
        <v>886</v>
      </c>
      <c r="L693">
        <v>1191</v>
      </c>
      <c r="N693">
        <v>1013</v>
      </c>
      <c r="O693" t="s">
        <v>887</v>
      </c>
      <c r="P693" t="s">
        <v>887</v>
      </c>
      <c r="Q693">
        <v>1</v>
      </c>
      <c r="X693">
        <v>0.2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1</v>
      </c>
      <c r="AE693">
        <v>1</v>
      </c>
      <c r="AF693" t="s">
        <v>584</v>
      </c>
      <c r="AG693">
        <v>0.8</v>
      </c>
      <c r="AH693">
        <v>3</v>
      </c>
      <c r="AI693">
        <v>-1</v>
      </c>
      <c r="AJ693" t="s">
        <v>3</v>
      </c>
      <c r="AK693">
        <v>0</v>
      </c>
      <c r="AL693">
        <v>0</v>
      </c>
      <c r="AM693">
        <v>0</v>
      </c>
      <c r="AN693">
        <v>0</v>
      </c>
      <c r="AO693">
        <v>0</v>
      </c>
      <c r="AP693">
        <v>0</v>
      </c>
      <c r="AQ693">
        <v>0</v>
      </c>
      <c r="AR693">
        <v>0</v>
      </c>
    </row>
    <row r="694" spans="1:44" x14ac:dyDescent="0.2">
      <c r="A694">
        <f>ROW(Source!A776)</f>
        <v>776</v>
      </c>
      <c r="B694">
        <v>1472514003</v>
      </c>
      <c r="C694">
        <v>1472499404</v>
      </c>
      <c r="D694">
        <v>1441836235</v>
      </c>
      <c r="E694">
        <v>1</v>
      </c>
      <c r="F694">
        <v>1</v>
      </c>
      <c r="G694">
        <v>15514512</v>
      </c>
      <c r="H694">
        <v>3</v>
      </c>
      <c r="I694" t="s">
        <v>912</v>
      </c>
      <c r="J694" t="s">
        <v>913</v>
      </c>
      <c r="K694" t="s">
        <v>914</v>
      </c>
      <c r="L694">
        <v>1346</v>
      </c>
      <c r="N694">
        <v>1009</v>
      </c>
      <c r="O694" t="s">
        <v>898</v>
      </c>
      <c r="P694" t="s">
        <v>898</v>
      </c>
      <c r="Q694">
        <v>1</v>
      </c>
      <c r="X694">
        <v>1E-3</v>
      </c>
      <c r="Y694">
        <v>31.49</v>
      </c>
      <c r="Z694">
        <v>0</v>
      </c>
      <c r="AA694">
        <v>0</v>
      </c>
      <c r="AB694">
        <v>0</v>
      </c>
      <c r="AC694">
        <v>0</v>
      </c>
      <c r="AD694">
        <v>1</v>
      </c>
      <c r="AE694">
        <v>0</v>
      </c>
      <c r="AF694" t="s">
        <v>584</v>
      </c>
      <c r="AG694">
        <v>4.0000000000000001E-3</v>
      </c>
      <c r="AH694">
        <v>3</v>
      </c>
      <c r="AI694">
        <v>-1</v>
      </c>
      <c r="AJ694" t="s">
        <v>3</v>
      </c>
      <c r="AK694">
        <v>0</v>
      </c>
      <c r="AL694">
        <v>0</v>
      </c>
      <c r="AM694">
        <v>0</v>
      </c>
      <c r="AN694">
        <v>0</v>
      </c>
      <c r="AO694">
        <v>0</v>
      </c>
      <c r="AP694">
        <v>0</v>
      </c>
      <c r="AQ694">
        <v>0</v>
      </c>
      <c r="AR694">
        <v>0</v>
      </c>
    </row>
    <row r="695" spans="1:44" x14ac:dyDescent="0.2">
      <c r="A695">
        <f>ROW(Source!A776)</f>
        <v>776</v>
      </c>
      <c r="B695">
        <v>1472514002</v>
      </c>
      <c r="C695">
        <v>1472499404</v>
      </c>
      <c r="D695">
        <v>1441822196</v>
      </c>
      <c r="E695">
        <v>15514512</v>
      </c>
      <c r="F695">
        <v>1</v>
      </c>
      <c r="G695">
        <v>15514512</v>
      </c>
      <c r="H695">
        <v>3</v>
      </c>
      <c r="I695" t="s">
        <v>1002</v>
      </c>
      <c r="J695" t="s">
        <v>3</v>
      </c>
      <c r="K695" t="s">
        <v>1004</v>
      </c>
      <c r="L695">
        <v>1346</v>
      </c>
      <c r="N695">
        <v>1009</v>
      </c>
      <c r="O695" t="s">
        <v>898</v>
      </c>
      <c r="P695" t="s">
        <v>898</v>
      </c>
      <c r="Q695">
        <v>1</v>
      </c>
      <c r="X695">
        <v>1E-3</v>
      </c>
      <c r="Y695">
        <v>88.053759999999997</v>
      </c>
      <c r="Z695">
        <v>0</v>
      </c>
      <c r="AA695">
        <v>0</v>
      </c>
      <c r="AB695">
        <v>0</v>
      </c>
      <c r="AC695">
        <v>0</v>
      </c>
      <c r="AD695">
        <v>1</v>
      </c>
      <c r="AE695">
        <v>0</v>
      </c>
      <c r="AF695" t="s">
        <v>584</v>
      </c>
      <c r="AG695">
        <v>4.0000000000000001E-3</v>
      </c>
      <c r="AH695">
        <v>3</v>
      </c>
      <c r="AI695">
        <v>-1</v>
      </c>
      <c r="AJ695" t="s">
        <v>3</v>
      </c>
      <c r="AK695">
        <v>0</v>
      </c>
      <c r="AL695">
        <v>0</v>
      </c>
      <c r="AM695">
        <v>0</v>
      </c>
      <c r="AN695">
        <v>0</v>
      </c>
      <c r="AO695">
        <v>0</v>
      </c>
      <c r="AP695">
        <v>0</v>
      </c>
      <c r="AQ695">
        <v>0</v>
      </c>
      <c r="AR695">
        <v>0</v>
      </c>
    </row>
    <row r="696" spans="1:44" x14ac:dyDescent="0.2">
      <c r="A696">
        <f>ROW(Source!A776)</f>
        <v>776</v>
      </c>
      <c r="B696">
        <v>1472514004</v>
      </c>
      <c r="C696">
        <v>1472499404</v>
      </c>
      <c r="D696">
        <v>1441820992</v>
      </c>
      <c r="E696">
        <v>15514512</v>
      </c>
      <c r="F696">
        <v>1</v>
      </c>
      <c r="G696">
        <v>15514512</v>
      </c>
      <c r="H696">
        <v>3</v>
      </c>
      <c r="I696" t="s">
        <v>1008</v>
      </c>
      <c r="J696" t="s">
        <v>3</v>
      </c>
      <c r="K696" t="s">
        <v>1010</v>
      </c>
      <c r="L696">
        <v>1346</v>
      </c>
      <c r="N696">
        <v>1009</v>
      </c>
      <c r="O696" t="s">
        <v>898</v>
      </c>
      <c r="P696" t="s">
        <v>898</v>
      </c>
      <c r="Q696">
        <v>1</v>
      </c>
      <c r="X696">
        <v>0.01</v>
      </c>
      <c r="Y696">
        <v>78.065730000000002</v>
      </c>
      <c r="Z696">
        <v>0</v>
      </c>
      <c r="AA696">
        <v>0</v>
      </c>
      <c r="AB696">
        <v>0</v>
      </c>
      <c r="AC696">
        <v>0</v>
      </c>
      <c r="AD696">
        <v>1</v>
      </c>
      <c r="AE696">
        <v>0</v>
      </c>
      <c r="AF696" t="s">
        <v>584</v>
      </c>
      <c r="AG696">
        <v>0.04</v>
      </c>
      <c r="AH696">
        <v>3</v>
      </c>
      <c r="AI696">
        <v>-1</v>
      </c>
      <c r="AJ696" t="s">
        <v>3</v>
      </c>
      <c r="AK696">
        <v>0</v>
      </c>
      <c r="AL696">
        <v>0</v>
      </c>
      <c r="AM696">
        <v>0</v>
      </c>
      <c r="AN696">
        <v>0</v>
      </c>
      <c r="AO696">
        <v>0</v>
      </c>
      <c r="AP696">
        <v>0</v>
      </c>
      <c r="AQ696">
        <v>0</v>
      </c>
      <c r="AR696">
        <v>0</v>
      </c>
    </row>
    <row r="697" spans="1:44" x14ac:dyDescent="0.2">
      <c r="A697">
        <f>ROW(Source!A777)</f>
        <v>777</v>
      </c>
      <c r="B697">
        <v>1472514037</v>
      </c>
      <c r="C697">
        <v>1472499436</v>
      </c>
      <c r="D697">
        <v>1441819193</v>
      </c>
      <c r="E697">
        <v>15514512</v>
      </c>
      <c r="F697">
        <v>1</v>
      </c>
      <c r="G697">
        <v>15514512</v>
      </c>
      <c r="H697">
        <v>1</v>
      </c>
      <c r="I697" t="s">
        <v>885</v>
      </c>
      <c r="J697" t="s">
        <v>3</v>
      </c>
      <c r="K697" t="s">
        <v>886</v>
      </c>
      <c r="L697">
        <v>1191</v>
      </c>
      <c r="N697">
        <v>1013</v>
      </c>
      <c r="O697" t="s">
        <v>887</v>
      </c>
      <c r="P697" t="s">
        <v>887</v>
      </c>
      <c r="Q697">
        <v>1</v>
      </c>
      <c r="X697">
        <v>0.2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1</v>
      </c>
      <c r="AE697">
        <v>1</v>
      </c>
      <c r="AF697" t="s">
        <v>3</v>
      </c>
      <c r="AG697">
        <v>0.2</v>
      </c>
      <c r="AH697">
        <v>3</v>
      </c>
      <c r="AI697">
        <v>-1</v>
      </c>
      <c r="AJ697" t="s">
        <v>3</v>
      </c>
      <c r="AK697">
        <v>0</v>
      </c>
      <c r="AL697">
        <v>0</v>
      </c>
      <c r="AM697">
        <v>0</v>
      </c>
      <c r="AN697">
        <v>0</v>
      </c>
      <c r="AO697">
        <v>0</v>
      </c>
      <c r="AP697">
        <v>0</v>
      </c>
      <c r="AQ697">
        <v>0</v>
      </c>
      <c r="AR697">
        <v>0</v>
      </c>
    </row>
    <row r="698" spans="1:44" x14ac:dyDescent="0.2">
      <c r="A698">
        <f>ROW(Source!A777)</f>
        <v>777</v>
      </c>
      <c r="B698">
        <v>1472514038</v>
      </c>
      <c r="C698">
        <v>1472499436</v>
      </c>
      <c r="D698">
        <v>1441836235</v>
      </c>
      <c r="E698">
        <v>1</v>
      </c>
      <c r="F698">
        <v>1</v>
      </c>
      <c r="G698">
        <v>15514512</v>
      </c>
      <c r="H698">
        <v>3</v>
      </c>
      <c r="I698" t="s">
        <v>912</v>
      </c>
      <c r="J698" t="s">
        <v>913</v>
      </c>
      <c r="K698" t="s">
        <v>914</v>
      </c>
      <c r="L698">
        <v>1346</v>
      </c>
      <c r="N698">
        <v>1009</v>
      </c>
      <c r="O698" t="s">
        <v>898</v>
      </c>
      <c r="P698" t="s">
        <v>898</v>
      </c>
      <c r="Q698">
        <v>1</v>
      </c>
      <c r="X698">
        <v>0.05</v>
      </c>
      <c r="Y698">
        <v>31.49</v>
      </c>
      <c r="Z698">
        <v>0</v>
      </c>
      <c r="AA698">
        <v>0</v>
      </c>
      <c r="AB698">
        <v>0</v>
      </c>
      <c r="AC698">
        <v>0</v>
      </c>
      <c r="AD698">
        <v>1</v>
      </c>
      <c r="AE698">
        <v>0</v>
      </c>
      <c r="AF698" t="s">
        <v>3</v>
      </c>
      <c r="AG698">
        <v>0.05</v>
      </c>
      <c r="AH698">
        <v>3</v>
      </c>
      <c r="AI698">
        <v>-1</v>
      </c>
      <c r="AJ698" t="s">
        <v>3</v>
      </c>
      <c r="AK698">
        <v>0</v>
      </c>
      <c r="AL698">
        <v>0</v>
      </c>
      <c r="AM698">
        <v>0</v>
      </c>
      <c r="AN698">
        <v>0</v>
      </c>
      <c r="AO698">
        <v>0</v>
      </c>
      <c r="AP698">
        <v>0</v>
      </c>
      <c r="AQ698">
        <v>0</v>
      </c>
      <c r="AR698">
        <v>0</v>
      </c>
    </row>
    <row r="699" spans="1:44" x14ac:dyDescent="0.2">
      <c r="A699">
        <f>ROW(Source!A777)</f>
        <v>777</v>
      </c>
      <c r="B699">
        <v>1472514039</v>
      </c>
      <c r="C699">
        <v>1472499436</v>
      </c>
      <c r="D699">
        <v>1441839822</v>
      </c>
      <c r="E699">
        <v>1</v>
      </c>
      <c r="F699">
        <v>1</v>
      </c>
      <c r="G699">
        <v>15514512</v>
      </c>
      <c r="H699">
        <v>3</v>
      </c>
      <c r="I699" t="s">
        <v>1051</v>
      </c>
      <c r="J699" t="s">
        <v>1052</v>
      </c>
      <c r="K699" t="s">
        <v>1053</v>
      </c>
      <c r="L699">
        <v>1296</v>
      </c>
      <c r="N699">
        <v>1002</v>
      </c>
      <c r="O699" t="s">
        <v>918</v>
      </c>
      <c r="P699" t="s">
        <v>918</v>
      </c>
      <c r="Q699">
        <v>1</v>
      </c>
      <c r="X699">
        <v>0.03</v>
      </c>
      <c r="Y699">
        <v>157.41</v>
      </c>
      <c r="Z699">
        <v>0</v>
      </c>
      <c r="AA699">
        <v>0</v>
      </c>
      <c r="AB699">
        <v>0</v>
      </c>
      <c r="AC699">
        <v>0</v>
      </c>
      <c r="AD699">
        <v>1</v>
      </c>
      <c r="AE699">
        <v>0</v>
      </c>
      <c r="AF699" t="s">
        <v>3</v>
      </c>
      <c r="AG699">
        <v>0.03</v>
      </c>
      <c r="AH699">
        <v>3</v>
      </c>
      <c r="AI699">
        <v>-1</v>
      </c>
      <c r="AJ699" t="s">
        <v>3</v>
      </c>
      <c r="AK699">
        <v>0</v>
      </c>
      <c r="AL699">
        <v>0</v>
      </c>
      <c r="AM699">
        <v>0</v>
      </c>
      <c r="AN699">
        <v>0</v>
      </c>
      <c r="AO699">
        <v>0</v>
      </c>
      <c r="AP699">
        <v>0</v>
      </c>
      <c r="AQ699">
        <v>0</v>
      </c>
      <c r="AR699">
        <v>0</v>
      </c>
    </row>
    <row r="700" spans="1:44" x14ac:dyDescent="0.2">
      <c r="A700">
        <f>ROW(Source!A778)</f>
        <v>778</v>
      </c>
      <c r="B700">
        <v>1472514058</v>
      </c>
      <c r="C700">
        <v>1472499447</v>
      </c>
      <c r="D700">
        <v>1441819193</v>
      </c>
      <c r="E700">
        <v>15514512</v>
      </c>
      <c r="F700">
        <v>1</v>
      </c>
      <c r="G700">
        <v>15514512</v>
      </c>
      <c r="H700">
        <v>1</v>
      </c>
      <c r="I700" t="s">
        <v>885</v>
      </c>
      <c r="J700" t="s">
        <v>3</v>
      </c>
      <c r="K700" t="s">
        <v>886</v>
      </c>
      <c r="L700">
        <v>1191</v>
      </c>
      <c r="N700">
        <v>1013</v>
      </c>
      <c r="O700" t="s">
        <v>887</v>
      </c>
      <c r="P700" t="s">
        <v>887</v>
      </c>
      <c r="Q700">
        <v>1</v>
      </c>
      <c r="X700">
        <v>0.53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1</v>
      </c>
      <c r="AE700">
        <v>1</v>
      </c>
      <c r="AF700" t="s">
        <v>592</v>
      </c>
      <c r="AG700">
        <v>64.13000000000001</v>
      </c>
      <c r="AH700">
        <v>3</v>
      </c>
      <c r="AI700">
        <v>-1</v>
      </c>
      <c r="AJ700" t="s">
        <v>3</v>
      </c>
      <c r="AK700">
        <v>0</v>
      </c>
      <c r="AL700">
        <v>0</v>
      </c>
      <c r="AM700">
        <v>0</v>
      </c>
      <c r="AN700">
        <v>0</v>
      </c>
      <c r="AO700">
        <v>0</v>
      </c>
      <c r="AP700">
        <v>0</v>
      </c>
      <c r="AQ700">
        <v>0</v>
      </c>
      <c r="AR700">
        <v>0</v>
      </c>
    </row>
    <row r="701" spans="1:44" x14ac:dyDescent="0.2">
      <c r="A701">
        <f>ROW(Source!A779)</f>
        <v>779</v>
      </c>
      <c r="B701">
        <v>1472514084</v>
      </c>
      <c r="C701">
        <v>1472499460</v>
      </c>
      <c r="D701">
        <v>1441819193</v>
      </c>
      <c r="E701">
        <v>15514512</v>
      </c>
      <c r="F701">
        <v>1</v>
      </c>
      <c r="G701">
        <v>15514512</v>
      </c>
      <c r="H701">
        <v>1</v>
      </c>
      <c r="I701" t="s">
        <v>885</v>
      </c>
      <c r="J701" t="s">
        <v>3</v>
      </c>
      <c r="K701" t="s">
        <v>886</v>
      </c>
      <c r="L701">
        <v>1191</v>
      </c>
      <c r="N701">
        <v>1013</v>
      </c>
      <c r="O701" t="s">
        <v>887</v>
      </c>
      <c r="P701" t="s">
        <v>887</v>
      </c>
      <c r="Q701">
        <v>1</v>
      </c>
      <c r="X701">
        <v>18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1</v>
      </c>
      <c r="AE701">
        <v>1</v>
      </c>
      <c r="AF701" t="s">
        <v>3</v>
      </c>
      <c r="AG701">
        <v>18</v>
      </c>
      <c r="AH701">
        <v>3</v>
      </c>
      <c r="AI701">
        <v>-1</v>
      </c>
      <c r="AJ701" t="s">
        <v>3</v>
      </c>
      <c r="AK701">
        <v>0</v>
      </c>
      <c r="AL701">
        <v>0</v>
      </c>
      <c r="AM701">
        <v>0</v>
      </c>
      <c r="AN701">
        <v>0</v>
      </c>
      <c r="AO701">
        <v>0</v>
      </c>
      <c r="AP701">
        <v>0</v>
      </c>
      <c r="AQ701">
        <v>0</v>
      </c>
      <c r="AR701">
        <v>0</v>
      </c>
    </row>
    <row r="702" spans="1:44" x14ac:dyDescent="0.2">
      <c r="A702">
        <f>ROW(Source!A779)</f>
        <v>779</v>
      </c>
      <c r="B702">
        <v>1472514086</v>
      </c>
      <c r="C702">
        <v>1472499460</v>
      </c>
      <c r="D702">
        <v>1441836237</v>
      </c>
      <c r="E702">
        <v>1</v>
      </c>
      <c r="F702">
        <v>1</v>
      </c>
      <c r="G702">
        <v>15514512</v>
      </c>
      <c r="H702">
        <v>3</v>
      </c>
      <c r="I702" t="s">
        <v>1045</v>
      </c>
      <c r="J702" t="s">
        <v>1046</v>
      </c>
      <c r="K702" t="s">
        <v>1047</v>
      </c>
      <c r="L702">
        <v>1346</v>
      </c>
      <c r="N702">
        <v>1009</v>
      </c>
      <c r="O702" t="s">
        <v>898</v>
      </c>
      <c r="P702" t="s">
        <v>898</v>
      </c>
      <c r="Q702">
        <v>1</v>
      </c>
      <c r="X702">
        <v>0.36</v>
      </c>
      <c r="Y702">
        <v>375.16</v>
      </c>
      <c r="Z702">
        <v>0</v>
      </c>
      <c r="AA702">
        <v>0</v>
      </c>
      <c r="AB702">
        <v>0</v>
      </c>
      <c r="AC702">
        <v>0</v>
      </c>
      <c r="AD702">
        <v>1</v>
      </c>
      <c r="AE702">
        <v>0</v>
      </c>
      <c r="AF702" t="s">
        <v>3</v>
      </c>
      <c r="AG702">
        <v>0.36</v>
      </c>
      <c r="AH702">
        <v>3</v>
      </c>
      <c r="AI702">
        <v>-1</v>
      </c>
      <c r="AJ702" t="s">
        <v>3</v>
      </c>
      <c r="AK702">
        <v>0</v>
      </c>
      <c r="AL702">
        <v>0</v>
      </c>
      <c r="AM702">
        <v>0</v>
      </c>
      <c r="AN702">
        <v>0</v>
      </c>
      <c r="AO702">
        <v>0</v>
      </c>
      <c r="AP702">
        <v>0</v>
      </c>
      <c r="AQ702">
        <v>0</v>
      </c>
      <c r="AR702">
        <v>0</v>
      </c>
    </row>
    <row r="703" spans="1:44" x14ac:dyDescent="0.2">
      <c r="A703">
        <f>ROW(Source!A779)</f>
        <v>779</v>
      </c>
      <c r="B703">
        <v>1472514087</v>
      </c>
      <c r="C703">
        <v>1472499460</v>
      </c>
      <c r="D703">
        <v>1441836235</v>
      </c>
      <c r="E703">
        <v>1</v>
      </c>
      <c r="F703">
        <v>1</v>
      </c>
      <c r="G703">
        <v>15514512</v>
      </c>
      <c r="H703">
        <v>3</v>
      </c>
      <c r="I703" t="s">
        <v>912</v>
      </c>
      <c r="J703" t="s">
        <v>913</v>
      </c>
      <c r="K703" t="s">
        <v>914</v>
      </c>
      <c r="L703">
        <v>1346</v>
      </c>
      <c r="N703">
        <v>1009</v>
      </c>
      <c r="O703" t="s">
        <v>898</v>
      </c>
      <c r="P703" t="s">
        <v>898</v>
      </c>
      <c r="Q703">
        <v>1</v>
      </c>
      <c r="X703">
        <v>0.11</v>
      </c>
      <c r="Y703">
        <v>31.49</v>
      </c>
      <c r="Z703">
        <v>0</v>
      </c>
      <c r="AA703">
        <v>0</v>
      </c>
      <c r="AB703">
        <v>0</v>
      </c>
      <c r="AC703">
        <v>0</v>
      </c>
      <c r="AD703">
        <v>1</v>
      </c>
      <c r="AE703">
        <v>0</v>
      </c>
      <c r="AF703" t="s">
        <v>3</v>
      </c>
      <c r="AG703">
        <v>0.11</v>
      </c>
      <c r="AH703">
        <v>3</v>
      </c>
      <c r="AI703">
        <v>-1</v>
      </c>
      <c r="AJ703" t="s">
        <v>3</v>
      </c>
      <c r="AK703">
        <v>0</v>
      </c>
      <c r="AL703">
        <v>0</v>
      </c>
      <c r="AM703">
        <v>0</v>
      </c>
      <c r="AN703">
        <v>0</v>
      </c>
      <c r="AO703">
        <v>0</v>
      </c>
      <c r="AP703">
        <v>0</v>
      </c>
      <c r="AQ703">
        <v>0</v>
      </c>
      <c r="AR703">
        <v>0</v>
      </c>
    </row>
    <row r="704" spans="1:44" x14ac:dyDescent="0.2">
      <c r="A704">
        <f>ROW(Source!A779)</f>
        <v>779</v>
      </c>
      <c r="B704">
        <v>1472514085</v>
      </c>
      <c r="C704">
        <v>1472499460</v>
      </c>
      <c r="D704">
        <v>1441822228</v>
      </c>
      <c r="E704">
        <v>15514512</v>
      </c>
      <c r="F704">
        <v>1</v>
      </c>
      <c r="G704">
        <v>15514512</v>
      </c>
      <c r="H704">
        <v>3</v>
      </c>
      <c r="I704" t="s">
        <v>956</v>
      </c>
      <c r="J704" t="s">
        <v>3</v>
      </c>
      <c r="K704" t="s">
        <v>958</v>
      </c>
      <c r="L704">
        <v>1346</v>
      </c>
      <c r="N704">
        <v>1009</v>
      </c>
      <c r="O704" t="s">
        <v>898</v>
      </c>
      <c r="P704" t="s">
        <v>898</v>
      </c>
      <c r="Q704">
        <v>1</v>
      </c>
      <c r="X704">
        <v>0.11</v>
      </c>
      <c r="Y704">
        <v>73.951729999999998</v>
      </c>
      <c r="Z704">
        <v>0</v>
      </c>
      <c r="AA704">
        <v>0</v>
      </c>
      <c r="AB704">
        <v>0</v>
      </c>
      <c r="AC704">
        <v>0</v>
      </c>
      <c r="AD704">
        <v>1</v>
      </c>
      <c r="AE704">
        <v>0</v>
      </c>
      <c r="AF704" t="s">
        <v>3</v>
      </c>
      <c r="AG704">
        <v>0.11</v>
      </c>
      <c r="AH704">
        <v>3</v>
      </c>
      <c r="AI704">
        <v>-1</v>
      </c>
      <c r="AJ704" t="s">
        <v>3</v>
      </c>
      <c r="AK704">
        <v>0</v>
      </c>
      <c r="AL704">
        <v>0</v>
      </c>
      <c r="AM704">
        <v>0</v>
      </c>
      <c r="AN704">
        <v>0</v>
      </c>
      <c r="AO704">
        <v>0</v>
      </c>
      <c r="AP704">
        <v>0</v>
      </c>
      <c r="AQ704">
        <v>0</v>
      </c>
      <c r="AR704">
        <v>0</v>
      </c>
    </row>
    <row r="705" spans="1:44" x14ac:dyDescent="0.2">
      <c r="A705">
        <f>ROW(Source!A779)</f>
        <v>779</v>
      </c>
      <c r="B705">
        <v>1472514088</v>
      </c>
      <c r="C705">
        <v>1472499460</v>
      </c>
      <c r="D705">
        <v>1441834920</v>
      </c>
      <c r="E705">
        <v>1</v>
      </c>
      <c r="F705">
        <v>1</v>
      </c>
      <c r="G705">
        <v>15514512</v>
      </c>
      <c r="H705">
        <v>3</v>
      </c>
      <c r="I705" t="s">
        <v>1048</v>
      </c>
      <c r="J705" t="s">
        <v>1049</v>
      </c>
      <c r="K705" t="s">
        <v>1050</v>
      </c>
      <c r="L705">
        <v>1346</v>
      </c>
      <c r="N705">
        <v>1009</v>
      </c>
      <c r="O705" t="s">
        <v>898</v>
      </c>
      <c r="P705" t="s">
        <v>898</v>
      </c>
      <c r="Q705">
        <v>1</v>
      </c>
      <c r="X705">
        <v>7.0000000000000007E-2</v>
      </c>
      <c r="Y705">
        <v>106.87</v>
      </c>
      <c r="Z705">
        <v>0</v>
      </c>
      <c r="AA705">
        <v>0</v>
      </c>
      <c r="AB705">
        <v>0</v>
      </c>
      <c r="AC705">
        <v>0</v>
      </c>
      <c r="AD705">
        <v>1</v>
      </c>
      <c r="AE705">
        <v>0</v>
      </c>
      <c r="AF705" t="s">
        <v>3</v>
      </c>
      <c r="AG705">
        <v>7.0000000000000007E-2</v>
      </c>
      <c r="AH705">
        <v>3</v>
      </c>
      <c r="AI705">
        <v>-1</v>
      </c>
      <c r="AJ705" t="s">
        <v>3</v>
      </c>
      <c r="AK705">
        <v>0</v>
      </c>
      <c r="AL705">
        <v>0</v>
      </c>
      <c r="AM705">
        <v>0</v>
      </c>
      <c r="AN705">
        <v>0</v>
      </c>
      <c r="AO705">
        <v>0</v>
      </c>
      <c r="AP705">
        <v>0</v>
      </c>
      <c r="AQ705">
        <v>0</v>
      </c>
      <c r="AR705">
        <v>0</v>
      </c>
    </row>
    <row r="706" spans="1:44" x14ac:dyDescent="0.2">
      <c r="A706">
        <f>ROW(Source!A780)</f>
        <v>780</v>
      </c>
      <c r="B706">
        <v>1472514101</v>
      </c>
      <c r="C706">
        <v>1472499485</v>
      </c>
      <c r="D706">
        <v>1441819193</v>
      </c>
      <c r="E706">
        <v>15514512</v>
      </c>
      <c r="F706">
        <v>1</v>
      </c>
      <c r="G706">
        <v>15514512</v>
      </c>
      <c r="H706">
        <v>1</v>
      </c>
      <c r="I706" t="s">
        <v>885</v>
      </c>
      <c r="J706" t="s">
        <v>3</v>
      </c>
      <c r="K706" t="s">
        <v>886</v>
      </c>
      <c r="L706">
        <v>1191</v>
      </c>
      <c r="N706">
        <v>1013</v>
      </c>
      <c r="O706" t="s">
        <v>887</v>
      </c>
      <c r="P706" t="s">
        <v>887</v>
      </c>
      <c r="Q706">
        <v>1</v>
      </c>
      <c r="X706">
        <v>0.6</v>
      </c>
      <c r="Y706">
        <v>0</v>
      </c>
      <c r="Z706">
        <v>0</v>
      </c>
      <c r="AA706">
        <v>0</v>
      </c>
      <c r="AB706">
        <v>0</v>
      </c>
      <c r="AC706">
        <v>0</v>
      </c>
      <c r="AD706">
        <v>1</v>
      </c>
      <c r="AE706">
        <v>1</v>
      </c>
      <c r="AF706" t="s">
        <v>577</v>
      </c>
      <c r="AG706">
        <v>1.7999999999999998</v>
      </c>
      <c r="AH706">
        <v>3</v>
      </c>
      <c r="AI706">
        <v>-1</v>
      </c>
      <c r="AJ706" t="s">
        <v>3</v>
      </c>
      <c r="AK706">
        <v>0</v>
      </c>
      <c r="AL706">
        <v>0</v>
      </c>
      <c r="AM706">
        <v>0</v>
      </c>
      <c r="AN706">
        <v>0</v>
      </c>
      <c r="AO706">
        <v>0</v>
      </c>
      <c r="AP706">
        <v>0</v>
      </c>
      <c r="AQ706">
        <v>0</v>
      </c>
      <c r="AR706">
        <v>0</v>
      </c>
    </row>
    <row r="707" spans="1:44" x14ac:dyDescent="0.2">
      <c r="A707">
        <f>ROW(Source!A780)</f>
        <v>780</v>
      </c>
      <c r="B707">
        <v>1472514102</v>
      </c>
      <c r="C707">
        <v>1472499485</v>
      </c>
      <c r="D707">
        <v>1441822228</v>
      </c>
      <c r="E707">
        <v>15514512</v>
      </c>
      <c r="F707">
        <v>1</v>
      </c>
      <c r="G707">
        <v>15514512</v>
      </c>
      <c r="H707">
        <v>3</v>
      </c>
      <c r="I707" t="s">
        <v>956</v>
      </c>
      <c r="J707" t="s">
        <v>3</v>
      </c>
      <c r="K707" t="s">
        <v>958</v>
      </c>
      <c r="L707">
        <v>1346</v>
      </c>
      <c r="N707">
        <v>1009</v>
      </c>
      <c r="O707" t="s">
        <v>898</v>
      </c>
      <c r="P707" t="s">
        <v>898</v>
      </c>
      <c r="Q707">
        <v>1</v>
      </c>
      <c r="X707">
        <v>0.01</v>
      </c>
      <c r="Y707">
        <v>73.951729999999998</v>
      </c>
      <c r="Z707">
        <v>0</v>
      </c>
      <c r="AA707">
        <v>0</v>
      </c>
      <c r="AB707">
        <v>0</v>
      </c>
      <c r="AC707">
        <v>0</v>
      </c>
      <c r="AD707">
        <v>1</v>
      </c>
      <c r="AE707">
        <v>0</v>
      </c>
      <c r="AF707" t="s">
        <v>577</v>
      </c>
      <c r="AG707">
        <v>0.03</v>
      </c>
      <c r="AH707">
        <v>3</v>
      </c>
      <c r="AI707">
        <v>-1</v>
      </c>
      <c r="AJ707" t="s">
        <v>3</v>
      </c>
      <c r="AK707">
        <v>0</v>
      </c>
      <c r="AL707">
        <v>0</v>
      </c>
      <c r="AM707">
        <v>0</v>
      </c>
      <c r="AN707">
        <v>0</v>
      </c>
      <c r="AO707">
        <v>0</v>
      </c>
      <c r="AP707">
        <v>0</v>
      </c>
      <c r="AQ707">
        <v>0</v>
      </c>
      <c r="AR707">
        <v>0</v>
      </c>
    </row>
    <row r="708" spans="1:44" x14ac:dyDescent="0.2">
      <c r="A708">
        <f>ROW(Source!A781)</f>
        <v>781</v>
      </c>
      <c r="B708">
        <v>1472514114</v>
      </c>
      <c r="C708">
        <v>1472499504</v>
      </c>
      <c r="D708">
        <v>1441819193</v>
      </c>
      <c r="E708">
        <v>15514512</v>
      </c>
      <c r="F708">
        <v>1</v>
      </c>
      <c r="G708">
        <v>15514512</v>
      </c>
      <c r="H708">
        <v>1</v>
      </c>
      <c r="I708" t="s">
        <v>885</v>
      </c>
      <c r="J708" t="s">
        <v>3</v>
      </c>
      <c r="K708" t="s">
        <v>886</v>
      </c>
      <c r="L708">
        <v>1191</v>
      </c>
      <c r="N708">
        <v>1013</v>
      </c>
      <c r="O708" t="s">
        <v>887</v>
      </c>
      <c r="P708" t="s">
        <v>887</v>
      </c>
      <c r="Q708">
        <v>1</v>
      </c>
      <c r="X708">
        <v>15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1</v>
      </c>
      <c r="AE708">
        <v>1</v>
      </c>
      <c r="AF708" t="s">
        <v>3</v>
      </c>
      <c r="AG708">
        <v>15</v>
      </c>
      <c r="AH708">
        <v>3</v>
      </c>
      <c r="AI708">
        <v>-1</v>
      </c>
      <c r="AJ708" t="s">
        <v>3</v>
      </c>
      <c r="AK708">
        <v>0</v>
      </c>
      <c r="AL708">
        <v>0</v>
      </c>
      <c r="AM708">
        <v>0</v>
      </c>
      <c r="AN708">
        <v>0</v>
      </c>
      <c r="AO708">
        <v>0</v>
      </c>
      <c r="AP708">
        <v>0</v>
      </c>
      <c r="AQ708">
        <v>0</v>
      </c>
      <c r="AR708">
        <v>0</v>
      </c>
    </row>
    <row r="709" spans="1:44" x14ac:dyDescent="0.2">
      <c r="A709">
        <f>ROW(Source!A781)</f>
        <v>781</v>
      </c>
      <c r="B709">
        <v>1472514116</v>
      </c>
      <c r="C709">
        <v>1472499504</v>
      </c>
      <c r="D709">
        <v>1441836237</v>
      </c>
      <c r="E709">
        <v>1</v>
      </c>
      <c r="F709">
        <v>1</v>
      </c>
      <c r="G709">
        <v>15514512</v>
      </c>
      <c r="H709">
        <v>3</v>
      </c>
      <c r="I709" t="s">
        <v>1045</v>
      </c>
      <c r="J709" t="s">
        <v>1046</v>
      </c>
      <c r="K709" t="s">
        <v>1047</v>
      </c>
      <c r="L709">
        <v>1346</v>
      </c>
      <c r="N709">
        <v>1009</v>
      </c>
      <c r="O709" t="s">
        <v>898</v>
      </c>
      <c r="P709" t="s">
        <v>898</v>
      </c>
      <c r="Q709">
        <v>1</v>
      </c>
      <c r="X709">
        <v>0.3</v>
      </c>
      <c r="Y709">
        <v>375.16</v>
      </c>
      <c r="Z709">
        <v>0</v>
      </c>
      <c r="AA709">
        <v>0</v>
      </c>
      <c r="AB709">
        <v>0</v>
      </c>
      <c r="AC709">
        <v>0</v>
      </c>
      <c r="AD709">
        <v>1</v>
      </c>
      <c r="AE709">
        <v>0</v>
      </c>
      <c r="AF709" t="s">
        <v>3</v>
      </c>
      <c r="AG709">
        <v>0.3</v>
      </c>
      <c r="AH709">
        <v>3</v>
      </c>
      <c r="AI709">
        <v>-1</v>
      </c>
      <c r="AJ709" t="s">
        <v>3</v>
      </c>
      <c r="AK709">
        <v>0</v>
      </c>
      <c r="AL709">
        <v>0</v>
      </c>
      <c r="AM709">
        <v>0</v>
      </c>
      <c r="AN709">
        <v>0</v>
      </c>
      <c r="AO709">
        <v>0</v>
      </c>
      <c r="AP709">
        <v>0</v>
      </c>
      <c r="AQ709">
        <v>0</v>
      </c>
      <c r="AR709">
        <v>0</v>
      </c>
    </row>
    <row r="710" spans="1:44" x14ac:dyDescent="0.2">
      <c r="A710">
        <f>ROW(Source!A781)</f>
        <v>781</v>
      </c>
      <c r="B710">
        <v>1472514117</v>
      </c>
      <c r="C710">
        <v>1472499504</v>
      </c>
      <c r="D710">
        <v>1441836235</v>
      </c>
      <c r="E710">
        <v>1</v>
      </c>
      <c r="F710">
        <v>1</v>
      </c>
      <c r="G710">
        <v>15514512</v>
      </c>
      <c r="H710">
        <v>3</v>
      </c>
      <c r="I710" t="s">
        <v>912</v>
      </c>
      <c r="J710" t="s">
        <v>913</v>
      </c>
      <c r="K710" t="s">
        <v>914</v>
      </c>
      <c r="L710">
        <v>1346</v>
      </c>
      <c r="N710">
        <v>1009</v>
      </c>
      <c r="O710" t="s">
        <v>898</v>
      </c>
      <c r="P710" t="s">
        <v>898</v>
      </c>
      <c r="Q710">
        <v>1</v>
      </c>
      <c r="X710">
        <v>0.09</v>
      </c>
      <c r="Y710">
        <v>31.49</v>
      </c>
      <c r="Z710">
        <v>0</v>
      </c>
      <c r="AA710">
        <v>0</v>
      </c>
      <c r="AB710">
        <v>0</v>
      </c>
      <c r="AC710">
        <v>0</v>
      </c>
      <c r="AD710">
        <v>1</v>
      </c>
      <c r="AE710">
        <v>0</v>
      </c>
      <c r="AF710" t="s">
        <v>3</v>
      </c>
      <c r="AG710">
        <v>0.09</v>
      </c>
      <c r="AH710">
        <v>3</v>
      </c>
      <c r="AI710">
        <v>-1</v>
      </c>
      <c r="AJ710" t="s">
        <v>3</v>
      </c>
      <c r="AK710">
        <v>0</v>
      </c>
      <c r="AL710">
        <v>0</v>
      </c>
      <c r="AM710">
        <v>0</v>
      </c>
      <c r="AN710">
        <v>0</v>
      </c>
      <c r="AO710">
        <v>0</v>
      </c>
      <c r="AP710">
        <v>0</v>
      </c>
      <c r="AQ710">
        <v>0</v>
      </c>
      <c r="AR710">
        <v>0</v>
      </c>
    </row>
    <row r="711" spans="1:44" x14ac:dyDescent="0.2">
      <c r="A711">
        <f>ROW(Source!A781)</f>
        <v>781</v>
      </c>
      <c r="B711">
        <v>1472514115</v>
      </c>
      <c r="C711">
        <v>1472499504</v>
      </c>
      <c r="D711">
        <v>1441822228</v>
      </c>
      <c r="E711">
        <v>15514512</v>
      </c>
      <c r="F711">
        <v>1</v>
      </c>
      <c r="G711">
        <v>15514512</v>
      </c>
      <c r="H711">
        <v>3</v>
      </c>
      <c r="I711" t="s">
        <v>956</v>
      </c>
      <c r="J711" t="s">
        <v>3</v>
      </c>
      <c r="K711" t="s">
        <v>958</v>
      </c>
      <c r="L711">
        <v>1346</v>
      </c>
      <c r="N711">
        <v>1009</v>
      </c>
      <c r="O711" t="s">
        <v>898</v>
      </c>
      <c r="P711" t="s">
        <v>898</v>
      </c>
      <c r="Q711">
        <v>1</v>
      </c>
      <c r="X711">
        <v>0.09</v>
      </c>
      <c r="Y711">
        <v>73.951729999999998</v>
      </c>
      <c r="Z711">
        <v>0</v>
      </c>
      <c r="AA711">
        <v>0</v>
      </c>
      <c r="AB711">
        <v>0</v>
      </c>
      <c r="AC711">
        <v>0</v>
      </c>
      <c r="AD711">
        <v>1</v>
      </c>
      <c r="AE711">
        <v>0</v>
      </c>
      <c r="AF711" t="s">
        <v>3</v>
      </c>
      <c r="AG711">
        <v>0.09</v>
      </c>
      <c r="AH711">
        <v>3</v>
      </c>
      <c r="AI711">
        <v>-1</v>
      </c>
      <c r="AJ711" t="s">
        <v>3</v>
      </c>
      <c r="AK711">
        <v>0</v>
      </c>
      <c r="AL711">
        <v>0</v>
      </c>
      <c r="AM711">
        <v>0</v>
      </c>
      <c r="AN711">
        <v>0</v>
      </c>
      <c r="AO711">
        <v>0</v>
      </c>
      <c r="AP711">
        <v>0</v>
      </c>
      <c r="AQ711">
        <v>0</v>
      </c>
      <c r="AR711">
        <v>0</v>
      </c>
    </row>
    <row r="712" spans="1:44" x14ac:dyDescent="0.2">
      <c r="A712">
        <f>ROW(Source!A781)</f>
        <v>781</v>
      </c>
      <c r="B712">
        <v>1472514119</v>
      </c>
      <c r="C712">
        <v>1472499504</v>
      </c>
      <c r="D712">
        <v>1441834920</v>
      </c>
      <c r="E712">
        <v>1</v>
      </c>
      <c r="F712">
        <v>1</v>
      </c>
      <c r="G712">
        <v>15514512</v>
      </c>
      <c r="H712">
        <v>3</v>
      </c>
      <c r="I712" t="s">
        <v>1048</v>
      </c>
      <c r="J712" t="s">
        <v>1049</v>
      </c>
      <c r="K712" t="s">
        <v>1050</v>
      </c>
      <c r="L712">
        <v>1346</v>
      </c>
      <c r="N712">
        <v>1009</v>
      </c>
      <c r="O712" t="s">
        <v>898</v>
      </c>
      <c r="P712" t="s">
        <v>898</v>
      </c>
      <c r="Q712">
        <v>1</v>
      </c>
      <c r="X712">
        <v>0.06</v>
      </c>
      <c r="Y712">
        <v>106.87</v>
      </c>
      <c r="Z712">
        <v>0</v>
      </c>
      <c r="AA712">
        <v>0</v>
      </c>
      <c r="AB712">
        <v>0</v>
      </c>
      <c r="AC712">
        <v>0</v>
      </c>
      <c r="AD712">
        <v>1</v>
      </c>
      <c r="AE712">
        <v>0</v>
      </c>
      <c r="AF712" t="s">
        <v>3</v>
      </c>
      <c r="AG712">
        <v>0.06</v>
      </c>
      <c r="AH712">
        <v>3</v>
      </c>
      <c r="AI712">
        <v>-1</v>
      </c>
      <c r="AJ712" t="s">
        <v>3</v>
      </c>
      <c r="AK712">
        <v>0</v>
      </c>
      <c r="AL712">
        <v>0</v>
      </c>
      <c r="AM712">
        <v>0</v>
      </c>
      <c r="AN712">
        <v>0</v>
      </c>
      <c r="AO712">
        <v>0</v>
      </c>
      <c r="AP712">
        <v>0</v>
      </c>
      <c r="AQ712">
        <v>0</v>
      </c>
      <c r="AR712">
        <v>0</v>
      </c>
    </row>
    <row r="713" spans="1:44" x14ac:dyDescent="0.2">
      <c r="A713">
        <f>ROW(Source!A782)</f>
        <v>782</v>
      </c>
      <c r="B713">
        <v>1472514134</v>
      </c>
      <c r="C713">
        <v>1472499522</v>
      </c>
      <c r="D713">
        <v>1441819193</v>
      </c>
      <c r="E713">
        <v>15514512</v>
      </c>
      <c r="F713">
        <v>1</v>
      </c>
      <c r="G713">
        <v>15514512</v>
      </c>
      <c r="H713">
        <v>1</v>
      </c>
      <c r="I713" t="s">
        <v>885</v>
      </c>
      <c r="J713" t="s">
        <v>3</v>
      </c>
      <c r="K713" t="s">
        <v>886</v>
      </c>
      <c r="L713">
        <v>1191</v>
      </c>
      <c r="N713">
        <v>1013</v>
      </c>
      <c r="O713" t="s">
        <v>887</v>
      </c>
      <c r="P713" t="s">
        <v>887</v>
      </c>
      <c r="Q713">
        <v>1</v>
      </c>
      <c r="X713">
        <v>0.5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1</v>
      </c>
      <c r="AE713">
        <v>1</v>
      </c>
      <c r="AF713" t="s">
        <v>577</v>
      </c>
      <c r="AG713">
        <v>1.5</v>
      </c>
      <c r="AH713">
        <v>3</v>
      </c>
      <c r="AI713">
        <v>-1</v>
      </c>
      <c r="AJ713" t="s">
        <v>3</v>
      </c>
      <c r="AK713">
        <v>0</v>
      </c>
      <c r="AL713">
        <v>0</v>
      </c>
      <c r="AM713">
        <v>0</v>
      </c>
      <c r="AN713">
        <v>0</v>
      </c>
      <c r="AO713">
        <v>0</v>
      </c>
      <c r="AP713">
        <v>0</v>
      </c>
      <c r="AQ713">
        <v>0</v>
      </c>
      <c r="AR713">
        <v>0</v>
      </c>
    </row>
    <row r="714" spans="1:44" x14ac:dyDescent="0.2">
      <c r="A714">
        <f>ROW(Source!A782)</f>
        <v>782</v>
      </c>
      <c r="B714">
        <v>1472514135</v>
      </c>
      <c r="C714">
        <v>1472499522</v>
      </c>
      <c r="D714">
        <v>1441822228</v>
      </c>
      <c r="E714">
        <v>15514512</v>
      </c>
      <c r="F714">
        <v>1</v>
      </c>
      <c r="G714">
        <v>15514512</v>
      </c>
      <c r="H714">
        <v>3</v>
      </c>
      <c r="I714" t="s">
        <v>956</v>
      </c>
      <c r="J714" t="s">
        <v>3</v>
      </c>
      <c r="K714" t="s">
        <v>958</v>
      </c>
      <c r="L714">
        <v>1346</v>
      </c>
      <c r="N714">
        <v>1009</v>
      </c>
      <c r="O714" t="s">
        <v>898</v>
      </c>
      <c r="P714" t="s">
        <v>898</v>
      </c>
      <c r="Q714">
        <v>1</v>
      </c>
      <c r="X714">
        <v>0.01</v>
      </c>
      <c r="Y714">
        <v>73.951729999999998</v>
      </c>
      <c r="Z714">
        <v>0</v>
      </c>
      <c r="AA714">
        <v>0</v>
      </c>
      <c r="AB714">
        <v>0</v>
      </c>
      <c r="AC714">
        <v>0</v>
      </c>
      <c r="AD714">
        <v>1</v>
      </c>
      <c r="AE714">
        <v>0</v>
      </c>
      <c r="AF714" t="s">
        <v>577</v>
      </c>
      <c r="AG714">
        <v>0.03</v>
      </c>
      <c r="AH714">
        <v>3</v>
      </c>
      <c r="AI714">
        <v>-1</v>
      </c>
      <c r="AJ714" t="s">
        <v>3</v>
      </c>
      <c r="AK714">
        <v>0</v>
      </c>
      <c r="AL714">
        <v>0</v>
      </c>
      <c r="AM714">
        <v>0</v>
      </c>
      <c r="AN714">
        <v>0</v>
      </c>
      <c r="AO714">
        <v>0</v>
      </c>
      <c r="AP714">
        <v>0</v>
      </c>
      <c r="AQ714">
        <v>0</v>
      </c>
      <c r="AR714">
        <v>0</v>
      </c>
    </row>
    <row r="715" spans="1:44" x14ac:dyDescent="0.2">
      <c r="A715">
        <f>ROW(Source!A783)</f>
        <v>783</v>
      </c>
      <c r="B715">
        <v>1472514149</v>
      </c>
      <c r="C715">
        <v>1472499540</v>
      </c>
      <c r="D715">
        <v>1441819193</v>
      </c>
      <c r="E715">
        <v>15514512</v>
      </c>
      <c r="F715">
        <v>1</v>
      </c>
      <c r="G715">
        <v>15514512</v>
      </c>
      <c r="H715">
        <v>1</v>
      </c>
      <c r="I715" t="s">
        <v>885</v>
      </c>
      <c r="J715" t="s">
        <v>3</v>
      </c>
      <c r="K715" t="s">
        <v>886</v>
      </c>
      <c r="L715">
        <v>1191</v>
      </c>
      <c r="N715">
        <v>1013</v>
      </c>
      <c r="O715" t="s">
        <v>887</v>
      </c>
      <c r="P715" t="s">
        <v>887</v>
      </c>
      <c r="Q715">
        <v>1</v>
      </c>
      <c r="X715">
        <v>2.42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1</v>
      </c>
      <c r="AE715">
        <v>1</v>
      </c>
      <c r="AF715" t="s">
        <v>3</v>
      </c>
      <c r="AG715">
        <v>2.42</v>
      </c>
      <c r="AH715">
        <v>3</v>
      </c>
      <c r="AI715">
        <v>-1</v>
      </c>
      <c r="AJ715" t="s">
        <v>3</v>
      </c>
      <c r="AK715">
        <v>0</v>
      </c>
      <c r="AL715">
        <v>0</v>
      </c>
      <c r="AM715">
        <v>0</v>
      </c>
      <c r="AN715">
        <v>0</v>
      </c>
      <c r="AO715">
        <v>0</v>
      </c>
      <c r="AP715">
        <v>0</v>
      </c>
      <c r="AQ715">
        <v>0</v>
      </c>
      <c r="AR715">
        <v>0</v>
      </c>
    </row>
    <row r="716" spans="1:44" x14ac:dyDescent="0.2">
      <c r="A716">
        <f>ROW(Source!A783)</f>
        <v>783</v>
      </c>
      <c r="B716">
        <v>1472514150</v>
      </c>
      <c r="C716">
        <v>1472499540</v>
      </c>
      <c r="D716">
        <v>1441836235</v>
      </c>
      <c r="E716">
        <v>1</v>
      </c>
      <c r="F716">
        <v>1</v>
      </c>
      <c r="G716">
        <v>15514512</v>
      </c>
      <c r="H716">
        <v>3</v>
      </c>
      <c r="I716" t="s">
        <v>912</v>
      </c>
      <c r="J716" t="s">
        <v>913</v>
      </c>
      <c r="K716" t="s">
        <v>914</v>
      </c>
      <c r="L716">
        <v>1346</v>
      </c>
      <c r="N716">
        <v>1009</v>
      </c>
      <c r="O716" t="s">
        <v>898</v>
      </c>
      <c r="P716" t="s">
        <v>898</v>
      </c>
      <c r="Q716">
        <v>1</v>
      </c>
      <c r="X716">
        <v>2.06</v>
      </c>
      <c r="Y716">
        <v>31.49</v>
      </c>
      <c r="Z716">
        <v>0</v>
      </c>
      <c r="AA716">
        <v>0</v>
      </c>
      <c r="AB716">
        <v>0</v>
      </c>
      <c r="AC716">
        <v>0</v>
      </c>
      <c r="AD716">
        <v>1</v>
      </c>
      <c r="AE716">
        <v>0</v>
      </c>
      <c r="AF716" t="s">
        <v>3</v>
      </c>
      <c r="AG716">
        <v>2.06</v>
      </c>
      <c r="AH716">
        <v>3</v>
      </c>
      <c r="AI716">
        <v>-1</v>
      </c>
      <c r="AJ716" t="s">
        <v>3</v>
      </c>
      <c r="AK716">
        <v>0</v>
      </c>
      <c r="AL716">
        <v>0</v>
      </c>
      <c r="AM716">
        <v>0</v>
      </c>
      <c r="AN716">
        <v>0</v>
      </c>
      <c r="AO716">
        <v>0</v>
      </c>
      <c r="AP716">
        <v>0</v>
      </c>
      <c r="AQ716">
        <v>0</v>
      </c>
      <c r="AR716">
        <v>0</v>
      </c>
    </row>
    <row r="717" spans="1:44" x14ac:dyDescent="0.2">
      <c r="A717">
        <f>ROW(Source!A783)</f>
        <v>783</v>
      </c>
      <c r="B717">
        <v>1472514151</v>
      </c>
      <c r="C717">
        <v>1472499540</v>
      </c>
      <c r="D717">
        <v>1441838749</v>
      </c>
      <c r="E717">
        <v>1</v>
      </c>
      <c r="F717">
        <v>1</v>
      </c>
      <c r="G717">
        <v>15514512</v>
      </c>
      <c r="H717">
        <v>3</v>
      </c>
      <c r="I717" t="s">
        <v>1054</v>
      </c>
      <c r="J717" t="s">
        <v>1055</v>
      </c>
      <c r="K717" t="s">
        <v>1056</v>
      </c>
      <c r="L717">
        <v>1327</v>
      </c>
      <c r="N717">
        <v>1005</v>
      </c>
      <c r="O717" t="s">
        <v>949</v>
      </c>
      <c r="P717" t="s">
        <v>949</v>
      </c>
      <c r="Q717">
        <v>1</v>
      </c>
      <c r="X717">
        <v>1.1000000000000001</v>
      </c>
      <c r="Y717">
        <v>509.19</v>
      </c>
      <c r="Z717">
        <v>0</v>
      </c>
      <c r="AA717">
        <v>0</v>
      </c>
      <c r="AB717">
        <v>0</v>
      </c>
      <c r="AC717">
        <v>0</v>
      </c>
      <c r="AD717">
        <v>1</v>
      </c>
      <c r="AE717">
        <v>0</v>
      </c>
      <c r="AF717" t="s">
        <v>3</v>
      </c>
      <c r="AG717">
        <v>1.1000000000000001</v>
      </c>
      <c r="AH717">
        <v>3</v>
      </c>
      <c r="AI717">
        <v>-1</v>
      </c>
      <c r="AJ717" t="s">
        <v>3</v>
      </c>
      <c r="AK717">
        <v>0</v>
      </c>
      <c r="AL717">
        <v>0</v>
      </c>
      <c r="AM717">
        <v>0</v>
      </c>
      <c r="AN717">
        <v>0</v>
      </c>
      <c r="AO717">
        <v>0</v>
      </c>
      <c r="AP717">
        <v>0</v>
      </c>
      <c r="AQ717">
        <v>0</v>
      </c>
      <c r="AR717">
        <v>0</v>
      </c>
    </row>
    <row r="718" spans="1:44" x14ac:dyDescent="0.2">
      <c r="A718">
        <f>ROW(Source!A783)</f>
        <v>783</v>
      </c>
      <c r="B718">
        <v>1472514152</v>
      </c>
      <c r="C718">
        <v>1472499540</v>
      </c>
      <c r="D718">
        <v>1441834669</v>
      </c>
      <c r="E718">
        <v>1</v>
      </c>
      <c r="F718">
        <v>1</v>
      </c>
      <c r="G718">
        <v>15514512</v>
      </c>
      <c r="H718">
        <v>3</v>
      </c>
      <c r="I718" t="s">
        <v>1057</v>
      </c>
      <c r="J718" t="s">
        <v>1058</v>
      </c>
      <c r="K718" t="s">
        <v>1059</v>
      </c>
      <c r="L718">
        <v>1346</v>
      </c>
      <c r="N718">
        <v>1009</v>
      </c>
      <c r="O718" t="s">
        <v>898</v>
      </c>
      <c r="P718" t="s">
        <v>898</v>
      </c>
      <c r="Q718">
        <v>1</v>
      </c>
      <c r="X718">
        <v>1.3</v>
      </c>
      <c r="Y718">
        <v>222.28</v>
      </c>
      <c r="Z718">
        <v>0</v>
      </c>
      <c r="AA718">
        <v>0</v>
      </c>
      <c r="AB718">
        <v>0</v>
      </c>
      <c r="AC718">
        <v>0</v>
      </c>
      <c r="AD718">
        <v>1</v>
      </c>
      <c r="AE718">
        <v>0</v>
      </c>
      <c r="AF718" t="s">
        <v>3</v>
      </c>
      <c r="AG718">
        <v>1.3</v>
      </c>
      <c r="AH718">
        <v>3</v>
      </c>
      <c r="AI718">
        <v>-1</v>
      </c>
      <c r="AJ718" t="s">
        <v>3</v>
      </c>
      <c r="AK718">
        <v>0</v>
      </c>
      <c r="AL718">
        <v>0</v>
      </c>
      <c r="AM718">
        <v>0</v>
      </c>
      <c r="AN718">
        <v>0</v>
      </c>
      <c r="AO718">
        <v>0</v>
      </c>
      <c r="AP718">
        <v>0</v>
      </c>
      <c r="AQ718">
        <v>0</v>
      </c>
      <c r="AR718">
        <v>0</v>
      </c>
    </row>
    <row r="719" spans="1:44" x14ac:dyDescent="0.2">
      <c r="A719">
        <f>ROW(Source!A783)</f>
        <v>783</v>
      </c>
      <c r="B719">
        <v>1472514153</v>
      </c>
      <c r="C719">
        <v>1472499540</v>
      </c>
      <c r="D719">
        <v>1441834893</v>
      </c>
      <c r="E719">
        <v>1</v>
      </c>
      <c r="F719">
        <v>1</v>
      </c>
      <c r="G719">
        <v>15514512</v>
      </c>
      <c r="H719">
        <v>3</v>
      </c>
      <c r="I719" t="s">
        <v>1060</v>
      </c>
      <c r="J719" t="s">
        <v>1061</v>
      </c>
      <c r="K719" t="s">
        <v>1062</v>
      </c>
      <c r="L719">
        <v>1348</v>
      </c>
      <c r="N719">
        <v>1009</v>
      </c>
      <c r="O719" t="s">
        <v>905</v>
      </c>
      <c r="P719" t="s">
        <v>905</v>
      </c>
      <c r="Q719">
        <v>1000</v>
      </c>
      <c r="X719">
        <v>2.0999999999999999E-3</v>
      </c>
      <c r="Y719">
        <v>139465.25</v>
      </c>
      <c r="Z719">
        <v>0</v>
      </c>
      <c r="AA719">
        <v>0</v>
      </c>
      <c r="AB719">
        <v>0</v>
      </c>
      <c r="AC719">
        <v>0</v>
      </c>
      <c r="AD719">
        <v>1</v>
      </c>
      <c r="AE719">
        <v>0</v>
      </c>
      <c r="AF719" t="s">
        <v>3</v>
      </c>
      <c r="AG719">
        <v>2.0999999999999999E-3</v>
      </c>
      <c r="AH719">
        <v>3</v>
      </c>
      <c r="AI719">
        <v>-1</v>
      </c>
      <c r="AJ719" t="s">
        <v>3</v>
      </c>
      <c r="AK719">
        <v>0</v>
      </c>
      <c r="AL719">
        <v>0</v>
      </c>
      <c r="AM719">
        <v>0</v>
      </c>
      <c r="AN719">
        <v>0</v>
      </c>
      <c r="AO719">
        <v>0</v>
      </c>
      <c r="AP719">
        <v>0</v>
      </c>
      <c r="AQ719">
        <v>0</v>
      </c>
      <c r="AR719">
        <v>0</v>
      </c>
    </row>
    <row r="720" spans="1:44" x14ac:dyDescent="0.2">
      <c r="A720">
        <f>ROW(Source!A784)</f>
        <v>784</v>
      </c>
      <c r="B720">
        <v>1472514167</v>
      </c>
      <c r="C720">
        <v>1472499588</v>
      </c>
      <c r="D720">
        <v>1441819193</v>
      </c>
      <c r="E720">
        <v>15514512</v>
      </c>
      <c r="F720">
        <v>1</v>
      </c>
      <c r="G720">
        <v>15514512</v>
      </c>
      <c r="H720">
        <v>1</v>
      </c>
      <c r="I720" t="s">
        <v>885</v>
      </c>
      <c r="J720" t="s">
        <v>3</v>
      </c>
      <c r="K720" t="s">
        <v>886</v>
      </c>
      <c r="L720">
        <v>1191</v>
      </c>
      <c r="N720">
        <v>1013</v>
      </c>
      <c r="O720" t="s">
        <v>887</v>
      </c>
      <c r="P720" t="s">
        <v>887</v>
      </c>
      <c r="Q720">
        <v>1</v>
      </c>
      <c r="X720">
        <v>1.63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1</v>
      </c>
      <c r="AE720">
        <v>1</v>
      </c>
      <c r="AF720" t="s">
        <v>3</v>
      </c>
      <c r="AG720">
        <v>1.63</v>
      </c>
      <c r="AH720">
        <v>3</v>
      </c>
      <c r="AI720">
        <v>-1</v>
      </c>
      <c r="AJ720" t="s">
        <v>3</v>
      </c>
      <c r="AK720">
        <v>0</v>
      </c>
      <c r="AL720">
        <v>0</v>
      </c>
      <c r="AM720">
        <v>0</v>
      </c>
      <c r="AN720">
        <v>0</v>
      </c>
      <c r="AO720">
        <v>0</v>
      </c>
      <c r="AP720">
        <v>0</v>
      </c>
      <c r="AQ720">
        <v>0</v>
      </c>
      <c r="AR720">
        <v>0</v>
      </c>
    </row>
    <row r="721" spans="1:44" x14ac:dyDescent="0.2">
      <c r="A721">
        <f>ROW(Source!A784)</f>
        <v>784</v>
      </c>
      <c r="B721">
        <v>1472514168</v>
      </c>
      <c r="C721">
        <v>1472499588</v>
      </c>
      <c r="D721">
        <v>1441836187</v>
      </c>
      <c r="E721">
        <v>1</v>
      </c>
      <c r="F721">
        <v>1</v>
      </c>
      <c r="G721">
        <v>15514512</v>
      </c>
      <c r="H721">
        <v>3</v>
      </c>
      <c r="I721" t="s">
        <v>909</v>
      </c>
      <c r="J721" t="s">
        <v>910</v>
      </c>
      <c r="K721" t="s">
        <v>911</v>
      </c>
      <c r="L721">
        <v>1346</v>
      </c>
      <c r="N721">
        <v>1009</v>
      </c>
      <c r="O721" t="s">
        <v>898</v>
      </c>
      <c r="P721" t="s">
        <v>898</v>
      </c>
      <c r="Q721">
        <v>1</v>
      </c>
      <c r="X721">
        <v>1.9599999999999999E-3</v>
      </c>
      <c r="Y721">
        <v>424.66</v>
      </c>
      <c r="Z721">
        <v>0</v>
      </c>
      <c r="AA721">
        <v>0</v>
      </c>
      <c r="AB721">
        <v>0</v>
      </c>
      <c r="AC721">
        <v>0</v>
      </c>
      <c r="AD721">
        <v>1</v>
      </c>
      <c r="AE721">
        <v>0</v>
      </c>
      <c r="AF721" t="s">
        <v>3</v>
      </c>
      <c r="AG721">
        <v>1.9599999999999999E-3</v>
      </c>
      <c r="AH721">
        <v>3</v>
      </c>
      <c r="AI721">
        <v>-1</v>
      </c>
      <c r="AJ721" t="s">
        <v>3</v>
      </c>
      <c r="AK721">
        <v>0</v>
      </c>
      <c r="AL721">
        <v>0</v>
      </c>
      <c r="AM721">
        <v>0</v>
      </c>
      <c r="AN721">
        <v>0</v>
      </c>
      <c r="AO721">
        <v>0</v>
      </c>
      <c r="AP721">
        <v>0</v>
      </c>
      <c r="AQ721">
        <v>0</v>
      </c>
      <c r="AR721">
        <v>0</v>
      </c>
    </row>
    <row r="722" spans="1:44" x14ac:dyDescent="0.2">
      <c r="A722">
        <f>ROW(Source!A784)</f>
        <v>784</v>
      </c>
      <c r="B722">
        <v>1472514169</v>
      </c>
      <c r="C722">
        <v>1472499588</v>
      </c>
      <c r="D722">
        <v>1441836235</v>
      </c>
      <c r="E722">
        <v>1</v>
      </c>
      <c r="F722">
        <v>1</v>
      </c>
      <c r="G722">
        <v>15514512</v>
      </c>
      <c r="H722">
        <v>3</v>
      </c>
      <c r="I722" t="s">
        <v>912</v>
      </c>
      <c r="J722" t="s">
        <v>913</v>
      </c>
      <c r="K722" t="s">
        <v>914</v>
      </c>
      <c r="L722">
        <v>1346</v>
      </c>
      <c r="N722">
        <v>1009</v>
      </c>
      <c r="O722" t="s">
        <v>898</v>
      </c>
      <c r="P722" t="s">
        <v>898</v>
      </c>
      <c r="Q722">
        <v>1</v>
      </c>
      <c r="X722">
        <v>0.03</v>
      </c>
      <c r="Y722">
        <v>31.49</v>
      </c>
      <c r="Z722">
        <v>0</v>
      </c>
      <c r="AA722">
        <v>0</v>
      </c>
      <c r="AB722">
        <v>0</v>
      </c>
      <c r="AC722">
        <v>0</v>
      </c>
      <c r="AD722">
        <v>1</v>
      </c>
      <c r="AE722">
        <v>0</v>
      </c>
      <c r="AF722" t="s">
        <v>3</v>
      </c>
      <c r="AG722">
        <v>0.03</v>
      </c>
      <c r="AH722">
        <v>3</v>
      </c>
      <c r="AI722">
        <v>-1</v>
      </c>
      <c r="AJ722" t="s">
        <v>3</v>
      </c>
      <c r="AK722">
        <v>0</v>
      </c>
      <c r="AL722">
        <v>0</v>
      </c>
      <c r="AM722">
        <v>0</v>
      </c>
      <c r="AN722">
        <v>0</v>
      </c>
      <c r="AO722">
        <v>0</v>
      </c>
      <c r="AP722">
        <v>0</v>
      </c>
      <c r="AQ722">
        <v>0</v>
      </c>
      <c r="AR722">
        <v>0</v>
      </c>
    </row>
    <row r="723" spans="1:44" x14ac:dyDescent="0.2">
      <c r="A723">
        <f>ROW(Source!A785)</f>
        <v>785</v>
      </c>
      <c r="B723">
        <v>1472514186</v>
      </c>
      <c r="C723">
        <v>1472499598</v>
      </c>
      <c r="D723">
        <v>1441819193</v>
      </c>
      <c r="E723">
        <v>15514512</v>
      </c>
      <c r="F723">
        <v>1</v>
      </c>
      <c r="G723">
        <v>15514512</v>
      </c>
      <c r="H723">
        <v>1</v>
      </c>
      <c r="I723" t="s">
        <v>885</v>
      </c>
      <c r="J723" t="s">
        <v>3</v>
      </c>
      <c r="K723" t="s">
        <v>886</v>
      </c>
      <c r="L723">
        <v>1191</v>
      </c>
      <c r="N723">
        <v>1013</v>
      </c>
      <c r="O723" t="s">
        <v>887</v>
      </c>
      <c r="P723" t="s">
        <v>887</v>
      </c>
      <c r="Q723">
        <v>1</v>
      </c>
      <c r="X723">
        <v>0.2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1</v>
      </c>
      <c r="AE723">
        <v>1</v>
      </c>
      <c r="AF723" t="s">
        <v>584</v>
      </c>
      <c r="AG723">
        <v>0.8</v>
      </c>
      <c r="AH723">
        <v>3</v>
      </c>
      <c r="AI723">
        <v>-1</v>
      </c>
      <c r="AJ723" t="s">
        <v>3</v>
      </c>
      <c r="AK723">
        <v>0</v>
      </c>
      <c r="AL723">
        <v>0</v>
      </c>
      <c r="AM723">
        <v>0</v>
      </c>
      <c r="AN723">
        <v>0</v>
      </c>
      <c r="AO723">
        <v>0</v>
      </c>
      <c r="AP723">
        <v>0</v>
      </c>
      <c r="AQ723">
        <v>0</v>
      </c>
      <c r="AR723">
        <v>0</v>
      </c>
    </row>
    <row r="724" spans="1:44" x14ac:dyDescent="0.2">
      <c r="A724">
        <f>ROW(Source!A785)</f>
        <v>785</v>
      </c>
      <c r="B724">
        <v>1472514189</v>
      </c>
      <c r="C724">
        <v>1472499598</v>
      </c>
      <c r="D724">
        <v>1441836235</v>
      </c>
      <c r="E724">
        <v>1</v>
      </c>
      <c r="F724">
        <v>1</v>
      </c>
      <c r="G724">
        <v>15514512</v>
      </c>
      <c r="H724">
        <v>3</v>
      </c>
      <c r="I724" t="s">
        <v>912</v>
      </c>
      <c r="J724" t="s">
        <v>913</v>
      </c>
      <c r="K724" t="s">
        <v>914</v>
      </c>
      <c r="L724">
        <v>1346</v>
      </c>
      <c r="N724">
        <v>1009</v>
      </c>
      <c r="O724" t="s">
        <v>898</v>
      </c>
      <c r="P724" t="s">
        <v>898</v>
      </c>
      <c r="Q724">
        <v>1</v>
      </c>
      <c r="X724">
        <v>1E-3</v>
      </c>
      <c r="Y724">
        <v>31.49</v>
      </c>
      <c r="Z724">
        <v>0</v>
      </c>
      <c r="AA724">
        <v>0</v>
      </c>
      <c r="AB724">
        <v>0</v>
      </c>
      <c r="AC724">
        <v>0</v>
      </c>
      <c r="AD724">
        <v>1</v>
      </c>
      <c r="AE724">
        <v>0</v>
      </c>
      <c r="AF724" t="s">
        <v>584</v>
      </c>
      <c r="AG724">
        <v>4.0000000000000001E-3</v>
      </c>
      <c r="AH724">
        <v>3</v>
      </c>
      <c r="AI724">
        <v>-1</v>
      </c>
      <c r="AJ724" t="s">
        <v>3</v>
      </c>
      <c r="AK724">
        <v>0</v>
      </c>
      <c r="AL724">
        <v>0</v>
      </c>
      <c r="AM724">
        <v>0</v>
      </c>
      <c r="AN724">
        <v>0</v>
      </c>
      <c r="AO724">
        <v>0</v>
      </c>
      <c r="AP724">
        <v>0</v>
      </c>
      <c r="AQ724">
        <v>0</v>
      </c>
      <c r="AR724">
        <v>0</v>
      </c>
    </row>
    <row r="725" spans="1:44" x14ac:dyDescent="0.2">
      <c r="A725">
        <f>ROW(Source!A785)</f>
        <v>785</v>
      </c>
      <c r="B725">
        <v>1472514188</v>
      </c>
      <c r="C725">
        <v>1472499598</v>
      </c>
      <c r="D725">
        <v>1441822196</v>
      </c>
      <c r="E725">
        <v>15514512</v>
      </c>
      <c r="F725">
        <v>1</v>
      </c>
      <c r="G725">
        <v>15514512</v>
      </c>
      <c r="H725">
        <v>3</v>
      </c>
      <c r="I725" t="s">
        <v>1002</v>
      </c>
      <c r="J725" t="s">
        <v>3</v>
      </c>
      <c r="K725" t="s">
        <v>1004</v>
      </c>
      <c r="L725">
        <v>1346</v>
      </c>
      <c r="N725">
        <v>1009</v>
      </c>
      <c r="O725" t="s">
        <v>898</v>
      </c>
      <c r="P725" t="s">
        <v>898</v>
      </c>
      <c r="Q725">
        <v>1</v>
      </c>
      <c r="X725">
        <v>1E-3</v>
      </c>
      <c r="Y725">
        <v>88.053759999999997</v>
      </c>
      <c r="Z725">
        <v>0</v>
      </c>
      <c r="AA725">
        <v>0</v>
      </c>
      <c r="AB725">
        <v>0</v>
      </c>
      <c r="AC725">
        <v>0</v>
      </c>
      <c r="AD725">
        <v>1</v>
      </c>
      <c r="AE725">
        <v>0</v>
      </c>
      <c r="AF725" t="s">
        <v>584</v>
      </c>
      <c r="AG725">
        <v>4.0000000000000001E-3</v>
      </c>
      <c r="AH725">
        <v>3</v>
      </c>
      <c r="AI725">
        <v>-1</v>
      </c>
      <c r="AJ725" t="s">
        <v>3</v>
      </c>
      <c r="AK725">
        <v>0</v>
      </c>
      <c r="AL725">
        <v>0</v>
      </c>
      <c r="AM725">
        <v>0</v>
      </c>
      <c r="AN725">
        <v>0</v>
      </c>
      <c r="AO725">
        <v>0</v>
      </c>
      <c r="AP725">
        <v>0</v>
      </c>
      <c r="AQ725">
        <v>0</v>
      </c>
      <c r="AR725">
        <v>0</v>
      </c>
    </row>
    <row r="726" spans="1:44" x14ac:dyDescent="0.2">
      <c r="A726">
        <f>ROW(Source!A785)</f>
        <v>785</v>
      </c>
      <c r="B726">
        <v>1472514190</v>
      </c>
      <c r="C726">
        <v>1472499598</v>
      </c>
      <c r="D726">
        <v>1441820992</v>
      </c>
      <c r="E726">
        <v>15514512</v>
      </c>
      <c r="F726">
        <v>1</v>
      </c>
      <c r="G726">
        <v>15514512</v>
      </c>
      <c r="H726">
        <v>3</v>
      </c>
      <c r="I726" t="s">
        <v>1008</v>
      </c>
      <c r="J726" t="s">
        <v>3</v>
      </c>
      <c r="K726" t="s">
        <v>1010</v>
      </c>
      <c r="L726">
        <v>1346</v>
      </c>
      <c r="N726">
        <v>1009</v>
      </c>
      <c r="O726" t="s">
        <v>898</v>
      </c>
      <c r="P726" t="s">
        <v>898</v>
      </c>
      <c r="Q726">
        <v>1</v>
      </c>
      <c r="X726">
        <v>0.01</v>
      </c>
      <c r="Y726">
        <v>78.065730000000002</v>
      </c>
      <c r="Z726">
        <v>0</v>
      </c>
      <c r="AA726">
        <v>0</v>
      </c>
      <c r="AB726">
        <v>0</v>
      </c>
      <c r="AC726">
        <v>0</v>
      </c>
      <c r="AD726">
        <v>1</v>
      </c>
      <c r="AE726">
        <v>0</v>
      </c>
      <c r="AF726" t="s">
        <v>584</v>
      </c>
      <c r="AG726">
        <v>0.04</v>
      </c>
      <c r="AH726">
        <v>3</v>
      </c>
      <c r="AI726">
        <v>-1</v>
      </c>
      <c r="AJ726" t="s">
        <v>3</v>
      </c>
      <c r="AK726">
        <v>0</v>
      </c>
      <c r="AL726">
        <v>0</v>
      </c>
      <c r="AM726">
        <v>0</v>
      </c>
      <c r="AN726">
        <v>0</v>
      </c>
      <c r="AO726">
        <v>0</v>
      </c>
      <c r="AP726">
        <v>0</v>
      </c>
      <c r="AQ726">
        <v>0</v>
      </c>
      <c r="AR726">
        <v>0</v>
      </c>
    </row>
    <row r="727" spans="1:44" x14ac:dyDescent="0.2">
      <c r="A727">
        <f>ROW(Source!A786)</f>
        <v>786</v>
      </c>
      <c r="B727">
        <v>1472514202</v>
      </c>
      <c r="C727">
        <v>1472499613</v>
      </c>
      <c r="D727">
        <v>1441819193</v>
      </c>
      <c r="E727">
        <v>15514512</v>
      </c>
      <c r="F727">
        <v>1</v>
      </c>
      <c r="G727">
        <v>15514512</v>
      </c>
      <c r="H727">
        <v>1</v>
      </c>
      <c r="I727" t="s">
        <v>885</v>
      </c>
      <c r="J727" t="s">
        <v>3</v>
      </c>
      <c r="K727" t="s">
        <v>886</v>
      </c>
      <c r="L727">
        <v>1191</v>
      </c>
      <c r="N727">
        <v>1013</v>
      </c>
      <c r="O727" t="s">
        <v>887</v>
      </c>
      <c r="P727" t="s">
        <v>887</v>
      </c>
      <c r="Q727">
        <v>1</v>
      </c>
      <c r="X727">
        <v>0.2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1</v>
      </c>
      <c r="AE727">
        <v>1</v>
      </c>
      <c r="AF727" t="s">
        <v>3</v>
      </c>
      <c r="AG727">
        <v>0.2</v>
      </c>
      <c r="AH727">
        <v>3</v>
      </c>
      <c r="AI727">
        <v>-1</v>
      </c>
      <c r="AJ727" t="s">
        <v>3</v>
      </c>
      <c r="AK727">
        <v>0</v>
      </c>
      <c r="AL727">
        <v>0</v>
      </c>
      <c r="AM727">
        <v>0</v>
      </c>
      <c r="AN727">
        <v>0</v>
      </c>
      <c r="AO727">
        <v>0</v>
      </c>
      <c r="AP727">
        <v>0</v>
      </c>
      <c r="AQ727">
        <v>0</v>
      </c>
      <c r="AR727">
        <v>0</v>
      </c>
    </row>
    <row r="728" spans="1:44" x14ac:dyDescent="0.2">
      <c r="A728">
        <f>ROW(Source!A786)</f>
        <v>786</v>
      </c>
      <c r="B728">
        <v>1472514204</v>
      </c>
      <c r="C728">
        <v>1472499613</v>
      </c>
      <c r="D728">
        <v>1441836235</v>
      </c>
      <c r="E728">
        <v>1</v>
      </c>
      <c r="F728">
        <v>1</v>
      </c>
      <c r="G728">
        <v>15514512</v>
      </c>
      <c r="H728">
        <v>3</v>
      </c>
      <c r="I728" t="s">
        <v>912</v>
      </c>
      <c r="J728" t="s">
        <v>913</v>
      </c>
      <c r="K728" t="s">
        <v>914</v>
      </c>
      <c r="L728">
        <v>1346</v>
      </c>
      <c r="N728">
        <v>1009</v>
      </c>
      <c r="O728" t="s">
        <v>898</v>
      </c>
      <c r="P728" t="s">
        <v>898</v>
      </c>
      <c r="Q728">
        <v>1</v>
      </c>
      <c r="X728">
        <v>0.05</v>
      </c>
      <c r="Y728">
        <v>31.49</v>
      </c>
      <c r="Z728">
        <v>0</v>
      </c>
      <c r="AA728">
        <v>0</v>
      </c>
      <c r="AB728">
        <v>0</v>
      </c>
      <c r="AC728">
        <v>0</v>
      </c>
      <c r="AD728">
        <v>1</v>
      </c>
      <c r="AE728">
        <v>0</v>
      </c>
      <c r="AF728" t="s">
        <v>3</v>
      </c>
      <c r="AG728">
        <v>0.05</v>
      </c>
      <c r="AH728">
        <v>3</v>
      </c>
      <c r="AI728">
        <v>-1</v>
      </c>
      <c r="AJ728" t="s">
        <v>3</v>
      </c>
      <c r="AK728">
        <v>0</v>
      </c>
      <c r="AL728">
        <v>0</v>
      </c>
      <c r="AM728">
        <v>0</v>
      </c>
      <c r="AN728">
        <v>0</v>
      </c>
      <c r="AO728">
        <v>0</v>
      </c>
      <c r="AP728">
        <v>0</v>
      </c>
      <c r="AQ728">
        <v>0</v>
      </c>
      <c r="AR728">
        <v>0</v>
      </c>
    </row>
    <row r="729" spans="1:44" x14ac:dyDescent="0.2">
      <c r="A729">
        <f>ROW(Source!A786)</f>
        <v>786</v>
      </c>
      <c r="B729">
        <v>1472514205</v>
      </c>
      <c r="C729">
        <v>1472499613</v>
      </c>
      <c r="D729">
        <v>1441839822</v>
      </c>
      <c r="E729">
        <v>1</v>
      </c>
      <c r="F729">
        <v>1</v>
      </c>
      <c r="G729">
        <v>15514512</v>
      </c>
      <c r="H729">
        <v>3</v>
      </c>
      <c r="I729" t="s">
        <v>1051</v>
      </c>
      <c r="J729" t="s">
        <v>1052</v>
      </c>
      <c r="K729" t="s">
        <v>1053</v>
      </c>
      <c r="L729">
        <v>1296</v>
      </c>
      <c r="N729">
        <v>1002</v>
      </c>
      <c r="O729" t="s">
        <v>918</v>
      </c>
      <c r="P729" t="s">
        <v>918</v>
      </c>
      <c r="Q729">
        <v>1</v>
      </c>
      <c r="X729">
        <v>0.03</v>
      </c>
      <c r="Y729">
        <v>157.41</v>
      </c>
      <c r="Z729">
        <v>0</v>
      </c>
      <c r="AA729">
        <v>0</v>
      </c>
      <c r="AB729">
        <v>0</v>
      </c>
      <c r="AC729">
        <v>0</v>
      </c>
      <c r="AD729">
        <v>1</v>
      </c>
      <c r="AE729">
        <v>0</v>
      </c>
      <c r="AF729" t="s">
        <v>3</v>
      </c>
      <c r="AG729">
        <v>0.03</v>
      </c>
      <c r="AH729">
        <v>3</v>
      </c>
      <c r="AI729">
        <v>-1</v>
      </c>
      <c r="AJ729" t="s">
        <v>3</v>
      </c>
      <c r="AK729">
        <v>0</v>
      </c>
      <c r="AL729">
        <v>0</v>
      </c>
      <c r="AM729">
        <v>0</v>
      </c>
      <c r="AN729">
        <v>0</v>
      </c>
      <c r="AO729">
        <v>0</v>
      </c>
      <c r="AP729">
        <v>0</v>
      </c>
      <c r="AQ729">
        <v>0</v>
      </c>
      <c r="AR729">
        <v>0</v>
      </c>
    </row>
    <row r="730" spans="1:44" x14ac:dyDescent="0.2">
      <c r="A730">
        <f>ROW(Source!A787)</f>
        <v>787</v>
      </c>
      <c r="B730">
        <v>1472514221</v>
      </c>
      <c r="C730">
        <v>1472499654</v>
      </c>
      <c r="D730">
        <v>1441819193</v>
      </c>
      <c r="E730">
        <v>15514512</v>
      </c>
      <c r="F730">
        <v>1</v>
      </c>
      <c r="G730">
        <v>15514512</v>
      </c>
      <c r="H730">
        <v>1</v>
      </c>
      <c r="I730" t="s">
        <v>885</v>
      </c>
      <c r="J730" t="s">
        <v>3</v>
      </c>
      <c r="K730" t="s">
        <v>886</v>
      </c>
      <c r="L730">
        <v>1191</v>
      </c>
      <c r="N730">
        <v>1013</v>
      </c>
      <c r="O730" t="s">
        <v>887</v>
      </c>
      <c r="P730" t="s">
        <v>887</v>
      </c>
      <c r="Q730">
        <v>1</v>
      </c>
      <c r="X730">
        <v>0.53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1</v>
      </c>
      <c r="AE730">
        <v>1</v>
      </c>
      <c r="AF730" t="s">
        <v>592</v>
      </c>
      <c r="AG730">
        <v>64.13000000000001</v>
      </c>
      <c r="AH730">
        <v>3</v>
      </c>
      <c r="AI730">
        <v>-1</v>
      </c>
      <c r="AJ730" t="s">
        <v>3</v>
      </c>
      <c r="AK730">
        <v>0</v>
      </c>
      <c r="AL730">
        <v>0</v>
      </c>
      <c r="AM730">
        <v>0</v>
      </c>
      <c r="AN730">
        <v>0</v>
      </c>
      <c r="AO730">
        <v>0</v>
      </c>
      <c r="AP730">
        <v>0</v>
      </c>
      <c r="AQ730">
        <v>0</v>
      </c>
      <c r="AR730">
        <v>0</v>
      </c>
    </row>
    <row r="731" spans="1:44" x14ac:dyDescent="0.2">
      <c r="A731">
        <f>ROW(Source!A788)</f>
        <v>788</v>
      </c>
      <c r="B731">
        <v>1472514316</v>
      </c>
      <c r="C731">
        <v>1472499670</v>
      </c>
      <c r="D731">
        <v>1441819193</v>
      </c>
      <c r="E731">
        <v>15514512</v>
      </c>
      <c r="F731">
        <v>1</v>
      </c>
      <c r="G731">
        <v>15514512</v>
      </c>
      <c r="H731">
        <v>1</v>
      </c>
      <c r="I731" t="s">
        <v>885</v>
      </c>
      <c r="J731" t="s">
        <v>3</v>
      </c>
      <c r="K731" t="s">
        <v>886</v>
      </c>
      <c r="L731">
        <v>1191</v>
      </c>
      <c r="N731">
        <v>1013</v>
      </c>
      <c r="O731" t="s">
        <v>887</v>
      </c>
      <c r="P731" t="s">
        <v>887</v>
      </c>
      <c r="Q731">
        <v>1</v>
      </c>
      <c r="X731">
        <v>3.6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1</v>
      </c>
      <c r="AE731">
        <v>1</v>
      </c>
      <c r="AF731" t="s">
        <v>3</v>
      </c>
      <c r="AG731">
        <v>3.6</v>
      </c>
      <c r="AH731">
        <v>3</v>
      </c>
      <c r="AI731">
        <v>-1</v>
      </c>
      <c r="AJ731" t="s">
        <v>3</v>
      </c>
      <c r="AK731">
        <v>0</v>
      </c>
      <c r="AL731">
        <v>0</v>
      </c>
      <c r="AM731">
        <v>0</v>
      </c>
      <c r="AN731">
        <v>0</v>
      </c>
      <c r="AO731">
        <v>0</v>
      </c>
      <c r="AP731">
        <v>0</v>
      </c>
      <c r="AQ731">
        <v>0</v>
      </c>
      <c r="AR731">
        <v>0</v>
      </c>
    </row>
    <row r="732" spans="1:44" x14ac:dyDescent="0.2">
      <c r="A732">
        <f>ROW(Source!A789)</f>
        <v>789</v>
      </c>
      <c r="B732">
        <v>1472514373</v>
      </c>
      <c r="C732">
        <v>1472499674</v>
      </c>
      <c r="D732">
        <v>1441819193</v>
      </c>
      <c r="E732">
        <v>15514512</v>
      </c>
      <c r="F732">
        <v>1</v>
      </c>
      <c r="G732">
        <v>15514512</v>
      </c>
      <c r="H732">
        <v>1</v>
      </c>
      <c r="I732" t="s">
        <v>885</v>
      </c>
      <c r="J732" t="s">
        <v>3</v>
      </c>
      <c r="K732" t="s">
        <v>886</v>
      </c>
      <c r="L732">
        <v>1191</v>
      </c>
      <c r="N732">
        <v>1013</v>
      </c>
      <c r="O732" t="s">
        <v>887</v>
      </c>
      <c r="P732" t="s">
        <v>887</v>
      </c>
      <c r="Q732">
        <v>1</v>
      </c>
      <c r="X732">
        <v>0.12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1</v>
      </c>
      <c r="AE732">
        <v>1</v>
      </c>
      <c r="AF732" t="s">
        <v>106</v>
      </c>
      <c r="AG732">
        <v>0.48</v>
      </c>
      <c r="AH732">
        <v>3</v>
      </c>
      <c r="AI732">
        <v>-1</v>
      </c>
      <c r="AJ732" t="s">
        <v>3</v>
      </c>
      <c r="AK732">
        <v>0</v>
      </c>
      <c r="AL732">
        <v>0</v>
      </c>
      <c r="AM732">
        <v>0</v>
      </c>
      <c r="AN732">
        <v>0</v>
      </c>
      <c r="AO732">
        <v>0</v>
      </c>
      <c r="AP732">
        <v>0</v>
      </c>
      <c r="AQ732">
        <v>0</v>
      </c>
      <c r="AR732">
        <v>0</v>
      </c>
    </row>
    <row r="733" spans="1:44" x14ac:dyDescent="0.2">
      <c r="A733">
        <f>ROW(Source!A790)</f>
        <v>790</v>
      </c>
      <c r="B733">
        <v>1472514468</v>
      </c>
      <c r="C733">
        <v>1472499679</v>
      </c>
      <c r="D733">
        <v>1441819193</v>
      </c>
      <c r="E733">
        <v>15514512</v>
      </c>
      <c r="F733">
        <v>1</v>
      </c>
      <c r="G733">
        <v>15514512</v>
      </c>
      <c r="H733">
        <v>1</v>
      </c>
      <c r="I733" t="s">
        <v>885</v>
      </c>
      <c r="J733" t="s">
        <v>3</v>
      </c>
      <c r="K733" t="s">
        <v>886</v>
      </c>
      <c r="L733">
        <v>1191</v>
      </c>
      <c r="N733">
        <v>1013</v>
      </c>
      <c r="O733" t="s">
        <v>887</v>
      </c>
      <c r="P733" t="s">
        <v>887</v>
      </c>
      <c r="Q733">
        <v>1</v>
      </c>
      <c r="X733">
        <v>11.22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1</v>
      </c>
      <c r="AE733">
        <v>1</v>
      </c>
      <c r="AF733" t="s">
        <v>3</v>
      </c>
      <c r="AG733">
        <v>11.22</v>
      </c>
      <c r="AH733">
        <v>3</v>
      </c>
      <c r="AI733">
        <v>-1</v>
      </c>
      <c r="AJ733" t="s">
        <v>3</v>
      </c>
      <c r="AK733">
        <v>0</v>
      </c>
      <c r="AL733">
        <v>0</v>
      </c>
      <c r="AM733">
        <v>0</v>
      </c>
      <c r="AN733">
        <v>0</v>
      </c>
      <c r="AO733">
        <v>0</v>
      </c>
      <c r="AP733">
        <v>0</v>
      </c>
      <c r="AQ733">
        <v>0</v>
      </c>
      <c r="AR733">
        <v>0</v>
      </c>
    </row>
    <row r="734" spans="1:44" x14ac:dyDescent="0.2">
      <c r="A734">
        <f>ROW(Source!A790)</f>
        <v>790</v>
      </c>
      <c r="B734">
        <v>1472514470</v>
      </c>
      <c r="C734">
        <v>1472499679</v>
      </c>
      <c r="D734">
        <v>1441836237</v>
      </c>
      <c r="E734">
        <v>1</v>
      </c>
      <c r="F734">
        <v>1</v>
      </c>
      <c r="G734">
        <v>15514512</v>
      </c>
      <c r="H734">
        <v>3</v>
      </c>
      <c r="I734" t="s">
        <v>1045</v>
      </c>
      <c r="J734" t="s">
        <v>1046</v>
      </c>
      <c r="K734" t="s">
        <v>1047</v>
      </c>
      <c r="L734">
        <v>1346</v>
      </c>
      <c r="N734">
        <v>1009</v>
      </c>
      <c r="O734" t="s">
        <v>898</v>
      </c>
      <c r="P734" t="s">
        <v>898</v>
      </c>
      <c r="Q734">
        <v>1</v>
      </c>
      <c r="X734">
        <v>3.9E-2</v>
      </c>
      <c r="Y734">
        <v>375.16</v>
      </c>
      <c r="Z734">
        <v>0</v>
      </c>
      <c r="AA734">
        <v>0</v>
      </c>
      <c r="AB734">
        <v>0</v>
      </c>
      <c r="AC734">
        <v>0</v>
      </c>
      <c r="AD734">
        <v>1</v>
      </c>
      <c r="AE734">
        <v>0</v>
      </c>
      <c r="AF734" t="s">
        <v>3</v>
      </c>
      <c r="AG734">
        <v>3.9E-2</v>
      </c>
      <c r="AH734">
        <v>3</v>
      </c>
      <c r="AI734">
        <v>-1</v>
      </c>
      <c r="AJ734" t="s">
        <v>3</v>
      </c>
      <c r="AK734">
        <v>0</v>
      </c>
      <c r="AL734">
        <v>0</v>
      </c>
      <c r="AM734">
        <v>0</v>
      </c>
      <c r="AN734">
        <v>0</v>
      </c>
      <c r="AO734">
        <v>0</v>
      </c>
      <c r="AP734">
        <v>0</v>
      </c>
      <c r="AQ734">
        <v>0</v>
      </c>
      <c r="AR734">
        <v>0</v>
      </c>
    </row>
    <row r="735" spans="1:44" x14ac:dyDescent="0.2">
      <c r="A735">
        <f>ROW(Source!A791)</f>
        <v>791</v>
      </c>
      <c r="B735">
        <v>1472514584</v>
      </c>
      <c r="C735">
        <v>1472499687</v>
      </c>
      <c r="D735">
        <v>1441819193</v>
      </c>
      <c r="E735">
        <v>15514512</v>
      </c>
      <c r="F735">
        <v>1</v>
      </c>
      <c r="G735">
        <v>15514512</v>
      </c>
      <c r="H735">
        <v>1</v>
      </c>
      <c r="I735" t="s">
        <v>885</v>
      </c>
      <c r="J735" t="s">
        <v>3</v>
      </c>
      <c r="K735" t="s">
        <v>886</v>
      </c>
      <c r="L735">
        <v>1191</v>
      </c>
      <c r="N735">
        <v>1013</v>
      </c>
      <c r="O735" t="s">
        <v>887</v>
      </c>
      <c r="P735" t="s">
        <v>887</v>
      </c>
      <c r="Q735">
        <v>1</v>
      </c>
      <c r="X735">
        <v>2.04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1</v>
      </c>
      <c r="AE735">
        <v>1</v>
      </c>
      <c r="AF735" t="s">
        <v>3</v>
      </c>
      <c r="AG735">
        <v>2.04</v>
      </c>
      <c r="AH735">
        <v>3</v>
      </c>
      <c r="AI735">
        <v>-1</v>
      </c>
      <c r="AJ735" t="s">
        <v>3</v>
      </c>
      <c r="AK735">
        <v>0</v>
      </c>
      <c r="AL735">
        <v>0</v>
      </c>
      <c r="AM735">
        <v>0</v>
      </c>
      <c r="AN735">
        <v>0</v>
      </c>
      <c r="AO735">
        <v>0</v>
      </c>
      <c r="AP735">
        <v>0</v>
      </c>
      <c r="AQ735">
        <v>0</v>
      </c>
      <c r="AR735">
        <v>0</v>
      </c>
    </row>
    <row r="736" spans="1:44" x14ac:dyDescent="0.2">
      <c r="A736">
        <f>ROW(Source!A792)</f>
        <v>792</v>
      </c>
      <c r="B736">
        <v>1472514721</v>
      </c>
      <c r="C736">
        <v>1472499706</v>
      </c>
      <c r="D736">
        <v>1441819193</v>
      </c>
      <c r="E736">
        <v>15514512</v>
      </c>
      <c r="F736">
        <v>1</v>
      </c>
      <c r="G736">
        <v>15514512</v>
      </c>
      <c r="H736">
        <v>1</v>
      </c>
      <c r="I736" t="s">
        <v>885</v>
      </c>
      <c r="J736" t="s">
        <v>3</v>
      </c>
      <c r="K736" t="s">
        <v>886</v>
      </c>
      <c r="L736">
        <v>1191</v>
      </c>
      <c r="N736">
        <v>1013</v>
      </c>
      <c r="O736" t="s">
        <v>887</v>
      </c>
      <c r="P736" t="s">
        <v>887</v>
      </c>
      <c r="Q736">
        <v>1</v>
      </c>
      <c r="X736">
        <v>0.6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1</v>
      </c>
      <c r="AE736">
        <v>1</v>
      </c>
      <c r="AF736" t="s">
        <v>3</v>
      </c>
      <c r="AG736">
        <v>0.6</v>
      </c>
      <c r="AH736">
        <v>3</v>
      </c>
      <c r="AI736">
        <v>-1</v>
      </c>
      <c r="AJ736" t="s">
        <v>3</v>
      </c>
      <c r="AK736">
        <v>0</v>
      </c>
      <c r="AL736">
        <v>0</v>
      </c>
      <c r="AM736">
        <v>0</v>
      </c>
      <c r="AN736">
        <v>0</v>
      </c>
      <c r="AO736">
        <v>0</v>
      </c>
      <c r="AP736">
        <v>0</v>
      </c>
      <c r="AQ736">
        <v>0</v>
      </c>
      <c r="AR736">
        <v>0</v>
      </c>
    </row>
    <row r="737" spans="1:44" x14ac:dyDescent="0.2">
      <c r="A737">
        <f>ROW(Source!A792)</f>
        <v>792</v>
      </c>
      <c r="B737">
        <v>1472514723</v>
      </c>
      <c r="C737">
        <v>1472499706</v>
      </c>
      <c r="D737">
        <v>1441836235</v>
      </c>
      <c r="E737">
        <v>1</v>
      </c>
      <c r="F737">
        <v>1</v>
      </c>
      <c r="G737">
        <v>15514512</v>
      </c>
      <c r="H737">
        <v>3</v>
      </c>
      <c r="I737" t="s">
        <v>912</v>
      </c>
      <c r="J737" t="s">
        <v>913</v>
      </c>
      <c r="K737" t="s">
        <v>914</v>
      </c>
      <c r="L737">
        <v>1346</v>
      </c>
      <c r="N737">
        <v>1009</v>
      </c>
      <c r="O737" t="s">
        <v>898</v>
      </c>
      <c r="P737" t="s">
        <v>898</v>
      </c>
      <c r="Q737">
        <v>1</v>
      </c>
      <c r="X737">
        <v>0.05</v>
      </c>
      <c r="Y737">
        <v>31.49</v>
      </c>
      <c r="Z737">
        <v>0</v>
      </c>
      <c r="AA737">
        <v>0</v>
      </c>
      <c r="AB737">
        <v>0</v>
      </c>
      <c r="AC737">
        <v>0</v>
      </c>
      <c r="AD737">
        <v>1</v>
      </c>
      <c r="AE737">
        <v>0</v>
      </c>
      <c r="AF737" t="s">
        <v>3</v>
      </c>
      <c r="AG737">
        <v>0.05</v>
      </c>
      <c r="AH737">
        <v>3</v>
      </c>
      <c r="AI737">
        <v>-1</v>
      </c>
      <c r="AJ737" t="s">
        <v>3</v>
      </c>
      <c r="AK737">
        <v>0</v>
      </c>
      <c r="AL737">
        <v>0</v>
      </c>
      <c r="AM737">
        <v>0</v>
      </c>
      <c r="AN737">
        <v>0</v>
      </c>
      <c r="AO737">
        <v>0</v>
      </c>
      <c r="AP737">
        <v>0</v>
      </c>
      <c r="AQ737">
        <v>0</v>
      </c>
      <c r="AR737">
        <v>0</v>
      </c>
    </row>
    <row r="738" spans="1:44" x14ac:dyDescent="0.2">
      <c r="A738">
        <f>ROW(Source!A793)</f>
        <v>793</v>
      </c>
      <c r="B738">
        <v>1472514835</v>
      </c>
      <c r="C738">
        <v>1472499738</v>
      </c>
      <c r="D738">
        <v>1441819193</v>
      </c>
      <c r="E738">
        <v>15514512</v>
      </c>
      <c r="F738">
        <v>1</v>
      </c>
      <c r="G738">
        <v>15514512</v>
      </c>
      <c r="H738">
        <v>1</v>
      </c>
      <c r="I738" t="s">
        <v>885</v>
      </c>
      <c r="J738" t="s">
        <v>3</v>
      </c>
      <c r="K738" t="s">
        <v>886</v>
      </c>
      <c r="L738">
        <v>1191</v>
      </c>
      <c r="N738">
        <v>1013</v>
      </c>
      <c r="O738" t="s">
        <v>887</v>
      </c>
      <c r="P738" t="s">
        <v>887</v>
      </c>
      <c r="Q738">
        <v>1</v>
      </c>
      <c r="X738">
        <v>0.14000000000000001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1</v>
      </c>
      <c r="AE738">
        <v>1</v>
      </c>
      <c r="AF738" t="s">
        <v>584</v>
      </c>
      <c r="AG738">
        <v>0.56000000000000005</v>
      </c>
      <c r="AH738">
        <v>3</v>
      </c>
      <c r="AI738">
        <v>-1</v>
      </c>
      <c r="AJ738" t="s">
        <v>3</v>
      </c>
      <c r="AK738">
        <v>0</v>
      </c>
      <c r="AL738">
        <v>0</v>
      </c>
      <c r="AM738">
        <v>0</v>
      </c>
      <c r="AN738">
        <v>0</v>
      </c>
      <c r="AO738">
        <v>0</v>
      </c>
      <c r="AP738">
        <v>0</v>
      </c>
      <c r="AQ738">
        <v>0</v>
      </c>
      <c r="AR738">
        <v>0</v>
      </c>
    </row>
    <row r="739" spans="1:44" x14ac:dyDescent="0.2">
      <c r="A739">
        <f>ROW(Source!A794)</f>
        <v>794</v>
      </c>
      <c r="B739">
        <v>1472514934</v>
      </c>
      <c r="C739">
        <v>1472499758</v>
      </c>
      <c r="D739">
        <v>1441819193</v>
      </c>
      <c r="E739">
        <v>15514512</v>
      </c>
      <c r="F739">
        <v>1</v>
      </c>
      <c r="G739">
        <v>15514512</v>
      </c>
      <c r="H739">
        <v>1</v>
      </c>
      <c r="I739" t="s">
        <v>885</v>
      </c>
      <c r="J739" t="s">
        <v>3</v>
      </c>
      <c r="K739" t="s">
        <v>886</v>
      </c>
      <c r="L739">
        <v>1191</v>
      </c>
      <c r="N739">
        <v>1013</v>
      </c>
      <c r="O739" t="s">
        <v>887</v>
      </c>
      <c r="P739" t="s">
        <v>887</v>
      </c>
      <c r="Q739">
        <v>1</v>
      </c>
      <c r="X739">
        <v>0.08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1</v>
      </c>
      <c r="AE739">
        <v>1</v>
      </c>
      <c r="AF739" t="s">
        <v>640</v>
      </c>
      <c r="AG739">
        <v>9.44</v>
      </c>
      <c r="AH739">
        <v>3</v>
      </c>
      <c r="AI739">
        <v>-1</v>
      </c>
      <c r="AJ739" t="s">
        <v>3</v>
      </c>
      <c r="AK739">
        <v>0</v>
      </c>
      <c r="AL739">
        <v>0</v>
      </c>
      <c r="AM739">
        <v>0</v>
      </c>
      <c r="AN739">
        <v>0</v>
      </c>
      <c r="AO739">
        <v>0</v>
      </c>
      <c r="AP739">
        <v>0</v>
      </c>
      <c r="AQ739">
        <v>0</v>
      </c>
      <c r="AR739">
        <v>0</v>
      </c>
    </row>
    <row r="740" spans="1:44" x14ac:dyDescent="0.2">
      <c r="A740">
        <f>ROW(Source!A795)</f>
        <v>795</v>
      </c>
      <c r="B740">
        <v>1472514956</v>
      </c>
      <c r="C740">
        <v>1472499762</v>
      </c>
      <c r="D740">
        <v>1441819193</v>
      </c>
      <c r="E740">
        <v>15514512</v>
      </c>
      <c r="F740">
        <v>1</v>
      </c>
      <c r="G740">
        <v>15514512</v>
      </c>
      <c r="H740">
        <v>1</v>
      </c>
      <c r="I740" t="s">
        <v>885</v>
      </c>
      <c r="J740" t="s">
        <v>3</v>
      </c>
      <c r="K740" t="s">
        <v>886</v>
      </c>
      <c r="L740">
        <v>1191</v>
      </c>
      <c r="N740">
        <v>1013</v>
      </c>
      <c r="O740" t="s">
        <v>887</v>
      </c>
      <c r="P740" t="s">
        <v>887</v>
      </c>
      <c r="Q740">
        <v>1</v>
      </c>
      <c r="X740">
        <v>0.25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1</v>
      </c>
      <c r="AE740">
        <v>1</v>
      </c>
      <c r="AF740" t="s">
        <v>3</v>
      </c>
      <c r="AG740">
        <v>0.25</v>
      </c>
      <c r="AH740">
        <v>3</v>
      </c>
      <c r="AI740">
        <v>-1</v>
      </c>
      <c r="AJ740" t="s">
        <v>3</v>
      </c>
      <c r="AK740">
        <v>0</v>
      </c>
      <c r="AL740">
        <v>0</v>
      </c>
      <c r="AM740">
        <v>0</v>
      </c>
      <c r="AN740">
        <v>0</v>
      </c>
      <c r="AO740">
        <v>0</v>
      </c>
      <c r="AP740">
        <v>0</v>
      </c>
      <c r="AQ740">
        <v>0</v>
      </c>
      <c r="AR740">
        <v>0</v>
      </c>
    </row>
    <row r="741" spans="1:44" x14ac:dyDescent="0.2">
      <c r="A741">
        <f>ROW(Source!A795)</f>
        <v>795</v>
      </c>
      <c r="B741">
        <v>1472514957</v>
      </c>
      <c r="C741">
        <v>1472499762</v>
      </c>
      <c r="D741">
        <v>1441834258</v>
      </c>
      <c r="E741">
        <v>1</v>
      </c>
      <c r="F741">
        <v>1</v>
      </c>
      <c r="G741">
        <v>15514512</v>
      </c>
      <c r="H741">
        <v>2</v>
      </c>
      <c r="I741" t="s">
        <v>892</v>
      </c>
      <c r="J741" t="s">
        <v>893</v>
      </c>
      <c r="K741" t="s">
        <v>894</v>
      </c>
      <c r="L741">
        <v>1368</v>
      </c>
      <c r="N741">
        <v>1011</v>
      </c>
      <c r="O741" t="s">
        <v>895</v>
      </c>
      <c r="P741" t="s">
        <v>895</v>
      </c>
      <c r="Q741">
        <v>1</v>
      </c>
      <c r="X741">
        <v>1.2999999999999999E-2</v>
      </c>
      <c r="Y741">
        <v>0</v>
      </c>
      <c r="Z741">
        <v>1303.01</v>
      </c>
      <c r="AA741">
        <v>826.2</v>
      </c>
      <c r="AB741">
        <v>0</v>
      </c>
      <c r="AC741">
        <v>0</v>
      </c>
      <c r="AD741">
        <v>1</v>
      </c>
      <c r="AE741">
        <v>0</v>
      </c>
      <c r="AF741" t="s">
        <v>3</v>
      </c>
      <c r="AG741">
        <v>1.2999999999999999E-2</v>
      </c>
      <c r="AH741">
        <v>3</v>
      </c>
      <c r="AI741">
        <v>-1</v>
      </c>
      <c r="AJ741" t="s">
        <v>3</v>
      </c>
      <c r="AK741">
        <v>0</v>
      </c>
      <c r="AL741">
        <v>0</v>
      </c>
      <c r="AM741">
        <v>0</v>
      </c>
      <c r="AN741">
        <v>0</v>
      </c>
      <c r="AO741">
        <v>0</v>
      </c>
      <c r="AP741">
        <v>0</v>
      </c>
      <c r="AQ741">
        <v>0</v>
      </c>
      <c r="AR741">
        <v>0</v>
      </c>
    </row>
    <row r="742" spans="1:44" x14ac:dyDescent="0.2">
      <c r="A742">
        <f>ROW(Source!A795)</f>
        <v>795</v>
      </c>
      <c r="B742">
        <v>1472514958</v>
      </c>
      <c r="C742">
        <v>1472499762</v>
      </c>
      <c r="D742">
        <v>1441836235</v>
      </c>
      <c r="E742">
        <v>1</v>
      </c>
      <c r="F742">
        <v>1</v>
      </c>
      <c r="G742">
        <v>15514512</v>
      </c>
      <c r="H742">
        <v>3</v>
      </c>
      <c r="I742" t="s">
        <v>912</v>
      </c>
      <c r="J742" t="s">
        <v>913</v>
      </c>
      <c r="K742" t="s">
        <v>914</v>
      </c>
      <c r="L742">
        <v>1346</v>
      </c>
      <c r="N742">
        <v>1009</v>
      </c>
      <c r="O742" t="s">
        <v>898</v>
      </c>
      <c r="P742" t="s">
        <v>898</v>
      </c>
      <c r="Q742">
        <v>1</v>
      </c>
      <c r="X742">
        <v>2E-3</v>
      </c>
      <c r="Y742">
        <v>31.49</v>
      </c>
      <c r="Z742">
        <v>0</v>
      </c>
      <c r="AA742">
        <v>0</v>
      </c>
      <c r="AB742">
        <v>0</v>
      </c>
      <c r="AC742">
        <v>0</v>
      </c>
      <c r="AD742">
        <v>1</v>
      </c>
      <c r="AE742">
        <v>0</v>
      </c>
      <c r="AF742" t="s">
        <v>3</v>
      </c>
      <c r="AG742">
        <v>2E-3</v>
      </c>
      <c r="AH742">
        <v>3</v>
      </c>
      <c r="AI742">
        <v>-1</v>
      </c>
      <c r="AJ742" t="s">
        <v>3</v>
      </c>
      <c r="AK742">
        <v>0</v>
      </c>
      <c r="AL742">
        <v>0</v>
      </c>
      <c r="AM742">
        <v>0</v>
      </c>
      <c r="AN742">
        <v>0</v>
      </c>
      <c r="AO742">
        <v>0</v>
      </c>
      <c r="AP742">
        <v>0</v>
      </c>
      <c r="AQ742">
        <v>0</v>
      </c>
      <c r="AR742">
        <v>0</v>
      </c>
    </row>
    <row r="743" spans="1:44" x14ac:dyDescent="0.2">
      <c r="A743">
        <f>ROW(Source!A797)</f>
        <v>797</v>
      </c>
      <c r="B743">
        <v>1472514960</v>
      </c>
      <c r="C743">
        <v>1472499774</v>
      </c>
      <c r="D743">
        <v>1441819193</v>
      </c>
      <c r="E743">
        <v>15514512</v>
      </c>
      <c r="F743">
        <v>1</v>
      </c>
      <c r="G743">
        <v>15514512</v>
      </c>
      <c r="H743">
        <v>1</v>
      </c>
      <c r="I743" t="s">
        <v>885</v>
      </c>
      <c r="J743" t="s">
        <v>3</v>
      </c>
      <c r="K743" t="s">
        <v>886</v>
      </c>
      <c r="L743">
        <v>1191</v>
      </c>
      <c r="N743">
        <v>1013</v>
      </c>
      <c r="O743" t="s">
        <v>887</v>
      </c>
      <c r="P743" t="s">
        <v>887</v>
      </c>
      <c r="Q743">
        <v>1</v>
      </c>
      <c r="X743">
        <v>9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1</v>
      </c>
      <c r="AE743">
        <v>1</v>
      </c>
      <c r="AF743" t="s">
        <v>3</v>
      </c>
      <c r="AG743">
        <v>9</v>
      </c>
      <c r="AH743">
        <v>3</v>
      </c>
      <c r="AI743">
        <v>-1</v>
      </c>
      <c r="AJ743" t="s">
        <v>3</v>
      </c>
      <c r="AK743">
        <v>0</v>
      </c>
      <c r="AL743">
        <v>0</v>
      </c>
      <c r="AM743">
        <v>0</v>
      </c>
      <c r="AN743">
        <v>0</v>
      </c>
      <c r="AO743">
        <v>0</v>
      </c>
      <c r="AP743">
        <v>0</v>
      </c>
      <c r="AQ743">
        <v>0</v>
      </c>
      <c r="AR743">
        <v>0</v>
      </c>
    </row>
    <row r="744" spans="1:44" x14ac:dyDescent="0.2">
      <c r="A744">
        <f>ROW(Source!A797)</f>
        <v>797</v>
      </c>
      <c r="B744">
        <v>1472514962</v>
      </c>
      <c r="C744">
        <v>1472499774</v>
      </c>
      <c r="D744">
        <v>1441836237</v>
      </c>
      <c r="E744">
        <v>1</v>
      </c>
      <c r="F744">
        <v>1</v>
      </c>
      <c r="G744">
        <v>15514512</v>
      </c>
      <c r="H744">
        <v>3</v>
      </c>
      <c r="I744" t="s">
        <v>1045</v>
      </c>
      <c r="J744" t="s">
        <v>1046</v>
      </c>
      <c r="K744" t="s">
        <v>1047</v>
      </c>
      <c r="L744">
        <v>1346</v>
      </c>
      <c r="N744">
        <v>1009</v>
      </c>
      <c r="O744" t="s">
        <v>898</v>
      </c>
      <c r="P744" t="s">
        <v>898</v>
      </c>
      <c r="Q744">
        <v>1</v>
      </c>
      <c r="X744">
        <v>0.18</v>
      </c>
      <c r="Y744">
        <v>375.16</v>
      </c>
      <c r="Z744">
        <v>0</v>
      </c>
      <c r="AA744">
        <v>0</v>
      </c>
      <c r="AB744">
        <v>0</v>
      </c>
      <c r="AC744">
        <v>0</v>
      </c>
      <c r="AD744">
        <v>1</v>
      </c>
      <c r="AE744">
        <v>0</v>
      </c>
      <c r="AF744" t="s">
        <v>3</v>
      </c>
      <c r="AG744">
        <v>0.18</v>
      </c>
      <c r="AH744">
        <v>3</v>
      </c>
      <c r="AI744">
        <v>-1</v>
      </c>
      <c r="AJ744" t="s">
        <v>3</v>
      </c>
      <c r="AK744">
        <v>0</v>
      </c>
      <c r="AL744">
        <v>0</v>
      </c>
      <c r="AM744">
        <v>0</v>
      </c>
      <c r="AN744">
        <v>0</v>
      </c>
      <c r="AO744">
        <v>0</v>
      </c>
      <c r="AP744">
        <v>0</v>
      </c>
      <c r="AQ744">
        <v>0</v>
      </c>
      <c r="AR744">
        <v>0</v>
      </c>
    </row>
    <row r="745" spans="1:44" x14ac:dyDescent="0.2">
      <c r="A745">
        <f>ROW(Source!A797)</f>
        <v>797</v>
      </c>
      <c r="B745">
        <v>1472514963</v>
      </c>
      <c r="C745">
        <v>1472499774</v>
      </c>
      <c r="D745">
        <v>1441836235</v>
      </c>
      <c r="E745">
        <v>1</v>
      </c>
      <c r="F745">
        <v>1</v>
      </c>
      <c r="G745">
        <v>15514512</v>
      </c>
      <c r="H745">
        <v>3</v>
      </c>
      <c r="I745" t="s">
        <v>912</v>
      </c>
      <c r="J745" t="s">
        <v>913</v>
      </c>
      <c r="K745" t="s">
        <v>914</v>
      </c>
      <c r="L745">
        <v>1346</v>
      </c>
      <c r="N745">
        <v>1009</v>
      </c>
      <c r="O745" t="s">
        <v>898</v>
      </c>
      <c r="P745" t="s">
        <v>898</v>
      </c>
      <c r="Q745">
        <v>1</v>
      </c>
      <c r="X745">
        <v>0.05</v>
      </c>
      <c r="Y745">
        <v>31.49</v>
      </c>
      <c r="Z745">
        <v>0</v>
      </c>
      <c r="AA745">
        <v>0</v>
      </c>
      <c r="AB745">
        <v>0</v>
      </c>
      <c r="AC745">
        <v>0</v>
      </c>
      <c r="AD745">
        <v>1</v>
      </c>
      <c r="AE745">
        <v>0</v>
      </c>
      <c r="AF745" t="s">
        <v>3</v>
      </c>
      <c r="AG745">
        <v>0.05</v>
      </c>
      <c r="AH745">
        <v>3</v>
      </c>
      <c r="AI745">
        <v>-1</v>
      </c>
      <c r="AJ745" t="s">
        <v>3</v>
      </c>
      <c r="AK745">
        <v>0</v>
      </c>
      <c r="AL745">
        <v>0</v>
      </c>
      <c r="AM745">
        <v>0</v>
      </c>
      <c r="AN745">
        <v>0</v>
      </c>
      <c r="AO745">
        <v>0</v>
      </c>
      <c r="AP745">
        <v>0</v>
      </c>
      <c r="AQ745">
        <v>0</v>
      </c>
      <c r="AR745">
        <v>0</v>
      </c>
    </row>
    <row r="746" spans="1:44" x14ac:dyDescent="0.2">
      <c r="A746">
        <f>ROW(Source!A797)</f>
        <v>797</v>
      </c>
      <c r="B746">
        <v>1472514961</v>
      </c>
      <c r="C746">
        <v>1472499774</v>
      </c>
      <c r="D746">
        <v>1441822228</v>
      </c>
      <c r="E746">
        <v>15514512</v>
      </c>
      <c r="F746">
        <v>1</v>
      </c>
      <c r="G746">
        <v>15514512</v>
      </c>
      <c r="H746">
        <v>3</v>
      </c>
      <c r="I746" t="s">
        <v>956</v>
      </c>
      <c r="J746" t="s">
        <v>3</v>
      </c>
      <c r="K746" t="s">
        <v>958</v>
      </c>
      <c r="L746">
        <v>1346</v>
      </c>
      <c r="N746">
        <v>1009</v>
      </c>
      <c r="O746" t="s">
        <v>898</v>
      </c>
      <c r="P746" t="s">
        <v>898</v>
      </c>
      <c r="Q746">
        <v>1</v>
      </c>
      <c r="X746">
        <v>0.05</v>
      </c>
      <c r="Y746">
        <v>73.951729999999998</v>
      </c>
      <c r="Z746">
        <v>0</v>
      </c>
      <c r="AA746">
        <v>0</v>
      </c>
      <c r="AB746">
        <v>0</v>
      </c>
      <c r="AC746">
        <v>0</v>
      </c>
      <c r="AD746">
        <v>1</v>
      </c>
      <c r="AE746">
        <v>0</v>
      </c>
      <c r="AF746" t="s">
        <v>3</v>
      </c>
      <c r="AG746">
        <v>0.05</v>
      </c>
      <c r="AH746">
        <v>3</v>
      </c>
      <c r="AI746">
        <v>-1</v>
      </c>
      <c r="AJ746" t="s">
        <v>3</v>
      </c>
      <c r="AK746">
        <v>0</v>
      </c>
      <c r="AL746">
        <v>0</v>
      </c>
      <c r="AM746">
        <v>0</v>
      </c>
      <c r="AN746">
        <v>0</v>
      </c>
      <c r="AO746">
        <v>0</v>
      </c>
      <c r="AP746">
        <v>0</v>
      </c>
      <c r="AQ746">
        <v>0</v>
      </c>
      <c r="AR746">
        <v>0</v>
      </c>
    </row>
    <row r="747" spans="1:44" x14ac:dyDescent="0.2">
      <c r="A747">
        <f>ROW(Source!A797)</f>
        <v>797</v>
      </c>
      <c r="B747">
        <v>1472514964</v>
      </c>
      <c r="C747">
        <v>1472499774</v>
      </c>
      <c r="D747">
        <v>1441834920</v>
      </c>
      <c r="E747">
        <v>1</v>
      </c>
      <c r="F747">
        <v>1</v>
      </c>
      <c r="G747">
        <v>15514512</v>
      </c>
      <c r="H747">
        <v>3</v>
      </c>
      <c r="I747" t="s">
        <v>1048</v>
      </c>
      <c r="J747" t="s">
        <v>1049</v>
      </c>
      <c r="K747" t="s">
        <v>1050</v>
      </c>
      <c r="L747">
        <v>1346</v>
      </c>
      <c r="N747">
        <v>1009</v>
      </c>
      <c r="O747" t="s">
        <v>898</v>
      </c>
      <c r="P747" t="s">
        <v>898</v>
      </c>
      <c r="Q747">
        <v>1</v>
      </c>
      <c r="X747">
        <v>0.04</v>
      </c>
      <c r="Y747">
        <v>106.87</v>
      </c>
      <c r="Z747">
        <v>0</v>
      </c>
      <c r="AA747">
        <v>0</v>
      </c>
      <c r="AB747">
        <v>0</v>
      </c>
      <c r="AC747">
        <v>0</v>
      </c>
      <c r="AD747">
        <v>1</v>
      </c>
      <c r="AE747">
        <v>0</v>
      </c>
      <c r="AF747" t="s">
        <v>3</v>
      </c>
      <c r="AG747">
        <v>0.04</v>
      </c>
      <c r="AH747">
        <v>3</v>
      </c>
      <c r="AI747">
        <v>-1</v>
      </c>
      <c r="AJ747" t="s">
        <v>3</v>
      </c>
      <c r="AK747">
        <v>0</v>
      </c>
      <c r="AL747">
        <v>0</v>
      </c>
      <c r="AM747">
        <v>0</v>
      </c>
      <c r="AN747">
        <v>0</v>
      </c>
      <c r="AO747">
        <v>0</v>
      </c>
      <c r="AP747">
        <v>0</v>
      </c>
      <c r="AQ747">
        <v>0</v>
      </c>
      <c r="AR747">
        <v>0</v>
      </c>
    </row>
    <row r="748" spans="1:44" x14ac:dyDescent="0.2">
      <c r="A748">
        <f>ROW(Source!A798)</f>
        <v>798</v>
      </c>
      <c r="B748">
        <v>1472514965</v>
      </c>
      <c r="C748">
        <v>1472499792</v>
      </c>
      <c r="D748">
        <v>1441819193</v>
      </c>
      <c r="E748">
        <v>15514512</v>
      </c>
      <c r="F748">
        <v>1</v>
      </c>
      <c r="G748">
        <v>15514512</v>
      </c>
      <c r="H748">
        <v>1</v>
      </c>
      <c r="I748" t="s">
        <v>885</v>
      </c>
      <c r="J748" t="s">
        <v>3</v>
      </c>
      <c r="K748" t="s">
        <v>886</v>
      </c>
      <c r="L748">
        <v>1191</v>
      </c>
      <c r="N748">
        <v>1013</v>
      </c>
      <c r="O748" t="s">
        <v>887</v>
      </c>
      <c r="P748" t="s">
        <v>887</v>
      </c>
      <c r="Q748">
        <v>1</v>
      </c>
      <c r="X748">
        <v>0.3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1</v>
      </c>
      <c r="AE748">
        <v>1</v>
      </c>
      <c r="AF748" t="s">
        <v>577</v>
      </c>
      <c r="AG748">
        <v>0.89999999999999991</v>
      </c>
      <c r="AH748">
        <v>3</v>
      </c>
      <c r="AI748">
        <v>-1</v>
      </c>
      <c r="AJ748" t="s">
        <v>3</v>
      </c>
      <c r="AK748">
        <v>0</v>
      </c>
      <c r="AL748">
        <v>0</v>
      </c>
      <c r="AM748">
        <v>0</v>
      </c>
      <c r="AN748">
        <v>0</v>
      </c>
      <c r="AO748">
        <v>0</v>
      </c>
      <c r="AP748">
        <v>0</v>
      </c>
      <c r="AQ748">
        <v>0</v>
      </c>
      <c r="AR748">
        <v>0</v>
      </c>
    </row>
    <row r="749" spans="1:44" x14ac:dyDescent="0.2">
      <c r="A749">
        <f>ROW(Source!A798)</f>
        <v>798</v>
      </c>
      <c r="B749">
        <v>1472514967</v>
      </c>
      <c r="C749">
        <v>1472499792</v>
      </c>
      <c r="D749">
        <v>1441836235</v>
      </c>
      <c r="E749">
        <v>1</v>
      </c>
      <c r="F749">
        <v>1</v>
      </c>
      <c r="G749">
        <v>15514512</v>
      </c>
      <c r="H749">
        <v>3</v>
      </c>
      <c r="I749" t="s">
        <v>912</v>
      </c>
      <c r="J749" t="s">
        <v>913</v>
      </c>
      <c r="K749" t="s">
        <v>914</v>
      </c>
      <c r="L749">
        <v>1346</v>
      </c>
      <c r="N749">
        <v>1009</v>
      </c>
      <c r="O749" t="s">
        <v>898</v>
      </c>
      <c r="P749" t="s">
        <v>898</v>
      </c>
      <c r="Q749">
        <v>1</v>
      </c>
      <c r="X749">
        <v>2E-3</v>
      </c>
      <c r="Y749">
        <v>31.49</v>
      </c>
      <c r="Z749">
        <v>0</v>
      </c>
      <c r="AA749">
        <v>0</v>
      </c>
      <c r="AB749">
        <v>0</v>
      </c>
      <c r="AC749">
        <v>0</v>
      </c>
      <c r="AD749">
        <v>1</v>
      </c>
      <c r="AE749">
        <v>0</v>
      </c>
      <c r="AF749" t="s">
        <v>577</v>
      </c>
      <c r="AG749">
        <v>6.0000000000000001E-3</v>
      </c>
      <c r="AH749">
        <v>3</v>
      </c>
      <c r="AI749">
        <v>-1</v>
      </c>
      <c r="AJ749" t="s">
        <v>3</v>
      </c>
      <c r="AK749">
        <v>0</v>
      </c>
      <c r="AL749">
        <v>0</v>
      </c>
      <c r="AM749">
        <v>0</v>
      </c>
      <c r="AN749">
        <v>0</v>
      </c>
      <c r="AO749">
        <v>0</v>
      </c>
      <c r="AP749">
        <v>0</v>
      </c>
      <c r="AQ749">
        <v>0</v>
      </c>
      <c r="AR749">
        <v>0</v>
      </c>
    </row>
    <row r="750" spans="1:44" x14ac:dyDescent="0.2">
      <c r="A750">
        <f>ROW(Source!A798)</f>
        <v>798</v>
      </c>
      <c r="B750">
        <v>1472514966</v>
      </c>
      <c r="C750">
        <v>1472499792</v>
      </c>
      <c r="D750">
        <v>1441822228</v>
      </c>
      <c r="E750">
        <v>15514512</v>
      </c>
      <c r="F750">
        <v>1</v>
      </c>
      <c r="G750">
        <v>15514512</v>
      </c>
      <c r="H750">
        <v>3</v>
      </c>
      <c r="I750" t="s">
        <v>956</v>
      </c>
      <c r="J750" t="s">
        <v>3</v>
      </c>
      <c r="K750" t="s">
        <v>958</v>
      </c>
      <c r="L750">
        <v>1346</v>
      </c>
      <c r="N750">
        <v>1009</v>
      </c>
      <c r="O750" t="s">
        <v>898</v>
      </c>
      <c r="P750" t="s">
        <v>898</v>
      </c>
      <c r="Q750">
        <v>1</v>
      </c>
      <c r="X750">
        <v>5.0000000000000001E-3</v>
      </c>
      <c r="Y750">
        <v>73.951729999999998</v>
      </c>
      <c r="Z750">
        <v>0</v>
      </c>
      <c r="AA750">
        <v>0</v>
      </c>
      <c r="AB750">
        <v>0</v>
      </c>
      <c r="AC750">
        <v>0</v>
      </c>
      <c r="AD750">
        <v>1</v>
      </c>
      <c r="AE750">
        <v>0</v>
      </c>
      <c r="AF750" t="s">
        <v>577</v>
      </c>
      <c r="AG750">
        <v>1.4999999999999999E-2</v>
      </c>
      <c r="AH750">
        <v>3</v>
      </c>
      <c r="AI750">
        <v>-1</v>
      </c>
      <c r="AJ750" t="s">
        <v>3</v>
      </c>
      <c r="AK750">
        <v>0</v>
      </c>
      <c r="AL750">
        <v>0</v>
      </c>
      <c r="AM750">
        <v>0</v>
      </c>
      <c r="AN750">
        <v>0</v>
      </c>
      <c r="AO750">
        <v>0</v>
      </c>
      <c r="AP750">
        <v>0</v>
      </c>
      <c r="AQ750">
        <v>0</v>
      </c>
      <c r="AR750">
        <v>0</v>
      </c>
    </row>
    <row r="751" spans="1:44" x14ac:dyDescent="0.2">
      <c r="A751">
        <f>ROW(Source!A799)</f>
        <v>799</v>
      </c>
      <c r="B751">
        <v>1472514969</v>
      </c>
      <c r="C751">
        <v>1472499804</v>
      </c>
      <c r="D751">
        <v>1441819193</v>
      </c>
      <c r="E751">
        <v>15514512</v>
      </c>
      <c r="F751">
        <v>1</v>
      </c>
      <c r="G751">
        <v>15514512</v>
      </c>
      <c r="H751">
        <v>1</v>
      </c>
      <c r="I751" t="s">
        <v>885</v>
      </c>
      <c r="J751" t="s">
        <v>3</v>
      </c>
      <c r="K751" t="s">
        <v>886</v>
      </c>
      <c r="L751">
        <v>1191</v>
      </c>
      <c r="N751">
        <v>1013</v>
      </c>
      <c r="O751" t="s">
        <v>887</v>
      </c>
      <c r="P751" t="s">
        <v>887</v>
      </c>
      <c r="Q751">
        <v>1</v>
      </c>
      <c r="X751">
        <v>1.63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1</v>
      </c>
      <c r="AE751">
        <v>1</v>
      </c>
      <c r="AF751" t="s">
        <v>3</v>
      </c>
      <c r="AG751">
        <v>1.63</v>
      </c>
      <c r="AH751">
        <v>3</v>
      </c>
      <c r="AI751">
        <v>-1</v>
      </c>
      <c r="AJ751" t="s">
        <v>3</v>
      </c>
      <c r="AK751">
        <v>0</v>
      </c>
      <c r="AL751">
        <v>0</v>
      </c>
      <c r="AM751">
        <v>0</v>
      </c>
      <c r="AN751">
        <v>0</v>
      </c>
      <c r="AO751">
        <v>0</v>
      </c>
      <c r="AP751">
        <v>0</v>
      </c>
      <c r="AQ751">
        <v>0</v>
      </c>
      <c r="AR751">
        <v>0</v>
      </c>
    </row>
    <row r="752" spans="1:44" x14ac:dyDescent="0.2">
      <c r="A752">
        <f>ROW(Source!A799)</f>
        <v>799</v>
      </c>
      <c r="B752">
        <v>1472514970</v>
      </c>
      <c r="C752">
        <v>1472499804</v>
      </c>
      <c r="D752">
        <v>1441836187</v>
      </c>
      <c r="E752">
        <v>1</v>
      </c>
      <c r="F752">
        <v>1</v>
      </c>
      <c r="G752">
        <v>15514512</v>
      </c>
      <c r="H752">
        <v>3</v>
      </c>
      <c r="I752" t="s">
        <v>909</v>
      </c>
      <c r="J752" t="s">
        <v>910</v>
      </c>
      <c r="K752" t="s">
        <v>911</v>
      </c>
      <c r="L752">
        <v>1346</v>
      </c>
      <c r="N752">
        <v>1009</v>
      </c>
      <c r="O752" t="s">
        <v>898</v>
      </c>
      <c r="P752" t="s">
        <v>898</v>
      </c>
      <c r="Q752">
        <v>1</v>
      </c>
      <c r="X752">
        <v>1.9599999999999999E-3</v>
      </c>
      <c r="Y752">
        <v>424.66</v>
      </c>
      <c r="Z752">
        <v>0</v>
      </c>
      <c r="AA752">
        <v>0</v>
      </c>
      <c r="AB752">
        <v>0</v>
      </c>
      <c r="AC752">
        <v>0</v>
      </c>
      <c r="AD752">
        <v>1</v>
      </c>
      <c r="AE752">
        <v>0</v>
      </c>
      <c r="AF752" t="s">
        <v>3</v>
      </c>
      <c r="AG752">
        <v>1.9599999999999999E-3</v>
      </c>
      <c r="AH752">
        <v>3</v>
      </c>
      <c r="AI752">
        <v>-1</v>
      </c>
      <c r="AJ752" t="s">
        <v>3</v>
      </c>
      <c r="AK752">
        <v>0</v>
      </c>
      <c r="AL752">
        <v>0</v>
      </c>
      <c r="AM752">
        <v>0</v>
      </c>
      <c r="AN752">
        <v>0</v>
      </c>
      <c r="AO752">
        <v>0</v>
      </c>
      <c r="AP752">
        <v>0</v>
      </c>
      <c r="AQ752">
        <v>0</v>
      </c>
      <c r="AR752">
        <v>0</v>
      </c>
    </row>
    <row r="753" spans="1:44" x14ac:dyDescent="0.2">
      <c r="A753">
        <f>ROW(Source!A799)</f>
        <v>799</v>
      </c>
      <c r="B753">
        <v>1472514971</v>
      </c>
      <c r="C753">
        <v>1472499804</v>
      </c>
      <c r="D753">
        <v>1441836235</v>
      </c>
      <c r="E753">
        <v>1</v>
      </c>
      <c r="F753">
        <v>1</v>
      </c>
      <c r="G753">
        <v>15514512</v>
      </c>
      <c r="H753">
        <v>3</v>
      </c>
      <c r="I753" t="s">
        <v>912</v>
      </c>
      <c r="J753" t="s">
        <v>913</v>
      </c>
      <c r="K753" t="s">
        <v>914</v>
      </c>
      <c r="L753">
        <v>1346</v>
      </c>
      <c r="N753">
        <v>1009</v>
      </c>
      <c r="O753" t="s">
        <v>898</v>
      </c>
      <c r="P753" t="s">
        <v>898</v>
      </c>
      <c r="Q753">
        <v>1</v>
      </c>
      <c r="X753">
        <v>0.03</v>
      </c>
      <c r="Y753">
        <v>31.49</v>
      </c>
      <c r="Z753">
        <v>0</v>
      </c>
      <c r="AA753">
        <v>0</v>
      </c>
      <c r="AB753">
        <v>0</v>
      </c>
      <c r="AC753">
        <v>0</v>
      </c>
      <c r="AD753">
        <v>1</v>
      </c>
      <c r="AE753">
        <v>0</v>
      </c>
      <c r="AF753" t="s">
        <v>3</v>
      </c>
      <c r="AG753">
        <v>0.03</v>
      </c>
      <c r="AH753">
        <v>3</v>
      </c>
      <c r="AI753">
        <v>-1</v>
      </c>
      <c r="AJ753" t="s">
        <v>3</v>
      </c>
      <c r="AK753">
        <v>0</v>
      </c>
      <c r="AL753">
        <v>0</v>
      </c>
      <c r="AM753">
        <v>0</v>
      </c>
      <c r="AN753">
        <v>0</v>
      </c>
      <c r="AO753">
        <v>0</v>
      </c>
      <c r="AP753">
        <v>0</v>
      </c>
      <c r="AQ753">
        <v>0</v>
      </c>
      <c r="AR753">
        <v>0</v>
      </c>
    </row>
    <row r="754" spans="1:44" x14ac:dyDescent="0.2">
      <c r="A754">
        <f>ROW(Source!A800)</f>
        <v>800</v>
      </c>
      <c r="B754">
        <v>1472514972</v>
      </c>
      <c r="C754">
        <v>1472499816</v>
      </c>
      <c r="D754">
        <v>1441819193</v>
      </c>
      <c r="E754">
        <v>15514512</v>
      </c>
      <c r="F754">
        <v>1</v>
      </c>
      <c r="G754">
        <v>15514512</v>
      </c>
      <c r="H754">
        <v>1</v>
      </c>
      <c r="I754" t="s">
        <v>885</v>
      </c>
      <c r="J754" t="s">
        <v>3</v>
      </c>
      <c r="K754" t="s">
        <v>886</v>
      </c>
      <c r="L754">
        <v>1191</v>
      </c>
      <c r="N754">
        <v>1013</v>
      </c>
      <c r="O754" t="s">
        <v>887</v>
      </c>
      <c r="P754" t="s">
        <v>887</v>
      </c>
      <c r="Q754">
        <v>1</v>
      </c>
      <c r="X754">
        <v>0.2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1</v>
      </c>
      <c r="AE754">
        <v>1</v>
      </c>
      <c r="AF754" t="s">
        <v>584</v>
      </c>
      <c r="AG754">
        <v>0.8</v>
      </c>
      <c r="AH754">
        <v>3</v>
      </c>
      <c r="AI754">
        <v>-1</v>
      </c>
      <c r="AJ754" t="s">
        <v>3</v>
      </c>
      <c r="AK754">
        <v>0</v>
      </c>
      <c r="AL754">
        <v>0</v>
      </c>
      <c r="AM754">
        <v>0</v>
      </c>
      <c r="AN754">
        <v>0</v>
      </c>
      <c r="AO754">
        <v>0</v>
      </c>
      <c r="AP754">
        <v>0</v>
      </c>
      <c r="AQ754">
        <v>0</v>
      </c>
      <c r="AR754">
        <v>0</v>
      </c>
    </row>
    <row r="755" spans="1:44" x14ac:dyDescent="0.2">
      <c r="A755">
        <f>ROW(Source!A800)</f>
        <v>800</v>
      </c>
      <c r="B755">
        <v>1472514974</v>
      </c>
      <c r="C755">
        <v>1472499816</v>
      </c>
      <c r="D755">
        <v>1441836235</v>
      </c>
      <c r="E755">
        <v>1</v>
      </c>
      <c r="F755">
        <v>1</v>
      </c>
      <c r="G755">
        <v>15514512</v>
      </c>
      <c r="H755">
        <v>3</v>
      </c>
      <c r="I755" t="s">
        <v>912</v>
      </c>
      <c r="J755" t="s">
        <v>913</v>
      </c>
      <c r="K755" t="s">
        <v>914</v>
      </c>
      <c r="L755">
        <v>1346</v>
      </c>
      <c r="N755">
        <v>1009</v>
      </c>
      <c r="O755" t="s">
        <v>898</v>
      </c>
      <c r="P755" t="s">
        <v>898</v>
      </c>
      <c r="Q755">
        <v>1</v>
      </c>
      <c r="X755">
        <v>1E-3</v>
      </c>
      <c r="Y755">
        <v>31.49</v>
      </c>
      <c r="Z755">
        <v>0</v>
      </c>
      <c r="AA755">
        <v>0</v>
      </c>
      <c r="AB755">
        <v>0</v>
      </c>
      <c r="AC755">
        <v>0</v>
      </c>
      <c r="AD755">
        <v>1</v>
      </c>
      <c r="AE755">
        <v>0</v>
      </c>
      <c r="AF755" t="s">
        <v>584</v>
      </c>
      <c r="AG755">
        <v>4.0000000000000001E-3</v>
      </c>
      <c r="AH755">
        <v>3</v>
      </c>
      <c r="AI755">
        <v>-1</v>
      </c>
      <c r="AJ755" t="s">
        <v>3</v>
      </c>
      <c r="AK755">
        <v>0</v>
      </c>
      <c r="AL755">
        <v>0</v>
      </c>
      <c r="AM755">
        <v>0</v>
      </c>
      <c r="AN755">
        <v>0</v>
      </c>
      <c r="AO755">
        <v>0</v>
      </c>
      <c r="AP755">
        <v>0</v>
      </c>
      <c r="AQ755">
        <v>0</v>
      </c>
      <c r="AR755">
        <v>0</v>
      </c>
    </row>
    <row r="756" spans="1:44" x14ac:dyDescent="0.2">
      <c r="A756">
        <f>ROW(Source!A800)</f>
        <v>800</v>
      </c>
      <c r="B756">
        <v>1472514973</v>
      </c>
      <c r="C756">
        <v>1472499816</v>
      </c>
      <c r="D756">
        <v>1441822196</v>
      </c>
      <c r="E756">
        <v>15514512</v>
      </c>
      <c r="F756">
        <v>1</v>
      </c>
      <c r="G756">
        <v>15514512</v>
      </c>
      <c r="H756">
        <v>3</v>
      </c>
      <c r="I756" t="s">
        <v>1002</v>
      </c>
      <c r="J756" t="s">
        <v>3</v>
      </c>
      <c r="K756" t="s">
        <v>1004</v>
      </c>
      <c r="L756">
        <v>1346</v>
      </c>
      <c r="N756">
        <v>1009</v>
      </c>
      <c r="O756" t="s">
        <v>898</v>
      </c>
      <c r="P756" t="s">
        <v>898</v>
      </c>
      <c r="Q756">
        <v>1</v>
      </c>
      <c r="X756">
        <v>1E-3</v>
      </c>
      <c r="Y756">
        <v>88.053759999999997</v>
      </c>
      <c r="Z756">
        <v>0</v>
      </c>
      <c r="AA756">
        <v>0</v>
      </c>
      <c r="AB756">
        <v>0</v>
      </c>
      <c r="AC756">
        <v>0</v>
      </c>
      <c r="AD756">
        <v>1</v>
      </c>
      <c r="AE756">
        <v>0</v>
      </c>
      <c r="AF756" t="s">
        <v>584</v>
      </c>
      <c r="AG756">
        <v>4.0000000000000001E-3</v>
      </c>
      <c r="AH756">
        <v>3</v>
      </c>
      <c r="AI756">
        <v>-1</v>
      </c>
      <c r="AJ756" t="s">
        <v>3</v>
      </c>
      <c r="AK756">
        <v>0</v>
      </c>
      <c r="AL756">
        <v>0</v>
      </c>
      <c r="AM756">
        <v>0</v>
      </c>
      <c r="AN756">
        <v>0</v>
      </c>
      <c r="AO756">
        <v>0</v>
      </c>
      <c r="AP756">
        <v>0</v>
      </c>
      <c r="AQ756">
        <v>0</v>
      </c>
      <c r="AR756">
        <v>0</v>
      </c>
    </row>
    <row r="757" spans="1:44" x14ac:dyDescent="0.2">
      <c r="A757">
        <f>ROW(Source!A800)</f>
        <v>800</v>
      </c>
      <c r="B757">
        <v>1472514975</v>
      </c>
      <c r="C757">
        <v>1472499816</v>
      </c>
      <c r="D757">
        <v>1441820992</v>
      </c>
      <c r="E757">
        <v>15514512</v>
      </c>
      <c r="F757">
        <v>1</v>
      </c>
      <c r="G757">
        <v>15514512</v>
      </c>
      <c r="H757">
        <v>3</v>
      </c>
      <c r="I757" t="s">
        <v>1008</v>
      </c>
      <c r="J757" t="s">
        <v>3</v>
      </c>
      <c r="K757" t="s">
        <v>1010</v>
      </c>
      <c r="L757">
        <v>1346</v>
      </c>
      <c r="N757">
        <v>1009</v>
      </c>
      <c r="O757" t="s">
        <v>898</v>
      </c>
      <c r="P757" t="s">
        <v>898</v>
      </c>
      <c r="Q757">
        <v>1</v>
      </c>
      <c r="X757">
        <v>0.01</v>
      </c>
      <c r="Y757">
        <v>78.065730000000002</v>
      </c>
      <c r="Z757">
        <v>0</v>
      </c>
      <c r="AA757">
        <v>0</v>
      </c>
      <c r="AB757">
        <v>0</v>
      </c>
      <c r="AC757">
        <v>0</v>
      </c>
      <c r="AD757">
        <v>1</v>
      </c>
      <c r="AE757">
        <v>0</v>
      </c>
      <c r="AF757" t="s">
        <v>584</v>
      </c>
      <c r="AG757">
        <v>0.04</v>
      </c>
      <c r="AH757">
        <v>3</v>
      </c>
      <c r="AI757">
        <v>-1</v>
      </c>
      <c r="AJ757" t="s">
        <v>3</v>
      </c>
      <c r="AK757">
        <v>0</v>
      </c>
      <c r="AL757">
        <v>0</v>
      </c>
      <c r="AM757">
        <v>0</v>
      </c>
      <c r="AN757">
        <v>0</v>
      </c>
      <c r="AO757">
        <v>0</v>
      </c>
      <c r="AP757">
        <v>0</v>
      </c>
      <c r="AQ757">
        <v>0</v>
      </c>
      <c r="AR757">
        <v>0</v>
      </c>
    </row>
    <row r="758" spans="1:44" x14ac:dyDescent="0.2">
      <c r="A758">
        <f>ROW(Source!A801)</f>
        <v>801</v>
      </c>
      <c r="B758">
        <v>1472514976</v>
      </c>
      <c r="C758">
        <v>1472499852</v>
      </c>
      <c r="D758">
        <v>1441819193</v>
      </c>
      <c r="E758">
        <v>15514512</v>
      </c>
      <c r="F758">
        <v>1</v>
      </c>
      <c r="G758">
        <v>15514512</v>
      </c>
      <c r="H758">
        <v>1</v>
      </c>
      <c r="I758" t="s">
        <v>885</v>
      </c>
      <c r="J758" t="s">
        <v>3</v>
      </c>
      <c r="K758" t="s">
        <v>886</v>
      </c>
      <c r="L758">
        <v>1191</v>
      </c>
      <c r="N758">
        <v>1013</v>
      </c>
      <c r="O758" t="s">
        <v>887</v>
      </c>
      <c r="P758" t="s">
        <v>887</v>
      </c>
      <c r="Q758">
        <v>1</v>
      </c>
      <c r="X758">
        <v>0.2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1</v>
      </c>
      <c r="AE758">
        <v>1</v>
      </c>
      <c r="AF758" t="s">
        <v>3</v>
      </c>
      <c r="AG758">
        <v>0.2</v>
      </c>
      <c r="AH758">
        <v>3</v>
      </c>
      <c r="AI758">
        <v>-1</v>
      </c>
      <c r="AJ758" t="s">
        <v>3</v>
      </c>
      <c r="AK758">
        <v>0</v>
      </c>
      <c r="AL758">
        <v>0</v>
      </c>
      <c r="AM758">
        <v>0</v>
      </c>
      <c r="AN758">
        <v>0</v>
      </c>
      <c r="AO758">
        <v>0</v>
      </c>
      <c r="AP758">
        <v>0</v>
      </c>
      <c r="AQ758">
        <v>0</v>
      </c>
      <c r="AR758">
        <v>0</v>
      </c>
    </row>
    <row r="759" spans="1:44" x14ac:dyDescent="0.2">
      <c r="A759">
        <f>ROW(Source!A801)</f>
        <v>801</v>
      </c>
      <c r="B759">
        <v>1472514977</v>
      </c>
      <c r="C759">
        <v>1472499852</v>
      </c>
      <c r="D759">
        <v>1441836235</v>
      </c>
      <c r="E759">
        <v>1</v>
      </c>
      <c r="F759">
        <v>1</v>
      </c>
      <c r="G759">
        <v>15514512</v>
      </c>
      <c r="H759">
        <v>3</v>
      </c>
      <c r="I759" t="s">
        <v>912</v>
      </c>
      <c r="J759" t="s">
        <v>913</v>
      </c>
      <c r="K759" t="s">
        <v>914</v>
      </c>
      <c r="L759">
        <v>1346</v>
      </c>
      <c r="N759">
        <v>1009</v>
      </c>
      <c r="O759" t="s">
        <v>898</v>
      </c>
      <c r="P759" t="s">
        <v>898</v>
      </c>
      <c r="Q759">
        <v>1</v>
      </c>
      <c r="X759">
        <v>0.05</v>
      </c>
      <c r="Y759">
        <v>31.49</v>
      </c>
      <c r="Z759">
        <v>0</v>
      </c>
      <c r="AA759">
        <v>0</v>
      </c>
      <c r="AB759">
        <v>0</v>
      </c>
      <c r="AC759">
        <v>0</v>
      </c>
      <c r="AD759">
        <v>1</v>
      </c>
      <c r="AE759">
        <v>0</v>
      </c>
      <c r="AF759" t="s">
        <v>3</v>
      </c>
      <c r="AG759">
        <v>0.05</v>
      </c>
      <c r="AH759">
        <v>3</v>
      </c>
      <c r="AI759">
        <v>-1</v>
      </c>
      <c r="AJ759" t="s">
        <v>3</v>
      </c>
      <c r="AK759">
        <v>0</v>
      </c>
      <c r="AL759">
        <v>0</v>
      </c>
      <c r="AM759">
        <v>0</v>
      </c>
      <c r="AN759">
        <v>0</v>
      </c>
      <c r="AO759">
        <v>0</v>
      </c>
      <c r="AP759">
        <v>0</v>
      </c>
      <c r="AQ759">
        <v>0</v>
      </c>
      <c r="AR759">
        <v>0</v>
      </c>
    </row>
    <row r="760" spans="1:44" x14ac:dyDescent="0.2">
      <c r="A760">
        <f>ROW(Source!A801)</f>
        <v>801</v>
      </c>
      <c r="B760">
        <v>1472514978</v>
      </c>
      <c r="C760">
        <v>1472499852</v>
      </c>
      <c r="D760">
        <v>1441839822</v>
      </c>
      <c r="E760">
        <v>1</v>
      </c>
      <c r="F760">
        <v>1</v>
      </c>
      <c r="G760">
        <v>15514512</v>
      </c>
      <c r="H760">
        <v>3</v>
      </c>
      <c r="I760" t="s">
        <v>1051</v>
      </c>
      <c r="J760" t="s">
        <v>1052</v>
      </c>
      <c r="K760" t="s">
        <v>1053</v>
      </c>
      <c r="L760">
        <v>1296</v>
      </c>
      <c r="N760">
        <v>1002</v>
      </c>
      <c r="O760" t="s">
        <v>918</v>
      </c>
      <c r="P760" t="s">
        <v>918</v>
      </c>
      <c r="Q760">
        <v>1</v>
      </c>
      <c r="X760">
        <v>0.03</v>
      </c>
      <c r="Y760">
        <v>157.41</v>
      </c>
      <c r="Z760">
        <v>0</v>
      </c>
      <c r="AA760">
        <v>0</v>
      </c>
      <c r="AB760">
        <v>0</v>
      </c>
      <c r="AC760">
        <v>0</v>
      </c>
      <c r="AD760">
        <v>1</v>
      </c>
      <c r="AE760">
        <v>0</v>
      </c>
      <c r="AF760" t="s">
        <v>3</v>
      </c>
      <c r="AG760">
        <v>0.03</v>
      </c>
      <c r="AH760">
        <v>3</v>
      </c>
      <c r="AI760">
        <v>-1</v>
      </c>
      <c r="AJ760" t="s">
        <v>3</v>
      </c>
      <c r="AK760">
        <v>0</v>
      </c>
      <c r="AL760">
        <v>0</v>
      </c>
      <c r="AM760">
        <v>0</v>
      </c>
      <c r="AN760">
        <v>0</v>
      </c>
      <c r="AO760">
        <v>0</v>
      </c>
      <c r="AP760">
        <v>0</v>
      </c>
      <c r="AQ760">
        <v>0</v>
      </c>
      <c r="AR760">
        <v>0</v>
      </c>
    </row>
    <row r="761" spans="1:44" x14ac:dyDescent="0.2">
      <c r="A761">
        <f>ROW(Source!A802)</f>
        <v>802</v>
      </c>
      <c r="B761">
        <v>1472514979</v>
      </c>
      <c r="C761">
        <v>1472499863</v>
      </c>
      <c r="D761">
        <v>1441819193</v>
      </c>
      <c r="E761">
        <v>15514512</v>
      </c>
      <c r="F761">
        <v>1</v>
      </c>
      <c r="G761">
        <v>15514512</v>
      </c>
      <c r="H761">
        <v>1</v>
      </c>
      <c r="I761" t="s">
        <v>885</v>
      </c>
      <c r="J761" t="s">
        <v>3</v>
      </c>
      <c r="K761" t="s">
        <v>886</v>
      </c>
      <c r="L761">
        <v>1191</v>
      </c>
      <c r="N761">
        <v>1013</v>
      </c>
      <c r="O761" t="s">
        <v>887</v>
      </c>
      <c r="P761" t="s">
        <v>887</v>
      </c>
      <c r="Q761">
        <v>1</v>
      </c>
      <c r="X761">
        <v>0.53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1</v>
      </c>
      <c r="AE761">
        <v>1</v>
      </c>
      <c r="AF761" t="s">
        <v>592</v>
      </c>
      <c r="AG761">
        <v>64.13000000000001</v>
      </c>
      <c r="AH761">
        <v>3</v>
      </c>
      <c r="AI761">
        <v>-1</v>
      </c>
      <c r="AJ761" t="s">
        <v>3</v>
      </c>
      <c r="AK761">
        <v>0</v>
      </c>
      <c r="AL761">
        <v>0</v>
      </c>
      <c r="AM761">
        <v>0</v>
      </c>
      <c r="AN761">
        <v>0</v>
      </c>
      <c r="AO761">
        <v>0</v>
      </c>
      <c r="AP761">
        <v>0</v>
      </c>
      <c r="AQ761">
        <v>0</v>
      </c>
      <c r="AR761">
        <v>0</v>
      </c>
    </row>
    <row r="762" spans="1:44" x14ac:dyDescent="0.2">
      <c r="A762">
        <f>ROW(Source!A803)</f>
        <v>803</v>
      </c>
      <c r="B762">
        <v>1472514980</v>
      </c>
      <c r="C762">
        <v>1472499868</v>
      </c>
      <c r="D762">
        <v>1441819193</v>
      </c>
      <c r="E762">
        <v>15514512</v>
      </c>
      <c r="F762">
        <v>1</v>
      </c>
      <c r="G762">
        <v>15514512</v>
      </c>
      <c r="H762">
        <v>1</v>
      </c>
      <c r="I762" t="s">
        <v>885</v>
      </c>
      <c r="J762" t="s">
        <v>3</v>
      </c>
      <c r="K762" t="s">
        <v>886</v>
      </c>
      <c r="L762">
        <v>1191</v>
      </c>
      <c r="N762">
        <v>1013</v>
      </c>
      <c r="O762" t="s">
        <v>887</v>
      </c>
      <c r="P762" t="s">
        <v>887</v>
      </c>
      <c r="Q762">
        <v>1</v>
      </c>
      <c r="X762">
        <v>3.6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1</v>
      </c>
      <c r="AE762">
        <v>1</v>
      </c>
      <c r="AF762" t="s">
        <v>3</v>
      </c>
      <c r="AG762">
        <v>3.6</v>
      </c>
      <c r="AH762">
        <v>3</v>
      </c>
      <c r="AI762">
        <v>-1</v>
      </c>
      <c r="AJ762" t="s">
        <v>3</v>
      </c>
      <c r="AK762">
        <v>0</v>
      </c>
      <c r="AL762">
        <v>0</v>
      </c>
      <c r="AM762">
        <v>0</v>
      </c>
      <c r="AN762">
        <v>0</v>
      </c>
      <c r="AO762">
        <v>0</v>
      </c>
      <c r="AP762">
        <v>0</v>
      </c>
      <c r="AQ762">
        <v>0</v>
      </c>
      <c r="AR762">
        <v>0</v>
      </c>
    </row>
    <row r="763" spans="1:44" x14ac:dyDescent="0.2">
      <c r="A763">
        <f>ROW(Source!A804)</f>
        <v>804</v>
      </c>
      <c r="B763">
        <v>1472514981</v>
      </c>
      <c r="C763">
        <v>1472499873</v>
      </c>
      <c r="D763">
        <v>1441819193</v>
      </c>
      <c r="E763">
        <v>15514512</v>
      </c>
      <c r="F763">
        <v>1</v>
      </c>
      <c r="G763">
        <v>15514512</v>
      </c>
      <c r="H763">
        <v>1</v>
      </c>
      <c r="I763" t="s">
        <v>885</v>
      </c>
      <c r="J763" t="s">
        <v>3</v>
      </c>
      <c r="K763" t="s">
        <v>886</v>
      </c>
      <c r="L763">
        <v>1191</v>
      </c>
      <c r="N763">
        <v>1013</v>
      </c>
      <c r="O763" t="s">
        <v>887</v>
      </c>
      <c r="P763" t="s">
        <v>887</v>
      </c>
      <c r="Q763">
        <v>1</v>
      </c>
      <c r="X763">
        <v>0.12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1</v>
      </c>
      <c r="AE763">
        <v>1</v>
      </c>
      <c r="AF763" t="s">
        <v>106</v>
      </c>
      <c r="AG763">
        <v>0.48</v>
      </c>
      <c r="AH763">
        <v>3</v>
      </c>
      <c r="AI763">
        <v>-1</v>
      </c>
      <c r="AJ763" t="s">
        <v>3</v>
      </c>
      <c r="AK763">
        <v>0</v>
      </c>
      <c r="AL763">
        <v>0</v>
      </c>
      <c r="AM763">
        <v>0</v>
      </c>
      <c r="AN763">
        <v>0</v>
      </c>
      <c r="AO763">
        <v>0</v>
      </c>
      <c r="AP763">
        <v>0</v>
      </c>
      <c r="AQ763">
        <v>0</v>
      </c>
      <c r="AR763">
        <v>0</v>
      </c>
    </row>
    <row r="764" spans="1:44" x14ac:dyDescent="0.2">
      <c r="A764">
        <f>ROW(Source!A805)</f>
        <v>805</v>
      </c>
      <c r="B764">
        <v>1472514990</v>
      </c>
      <c r="C764">
        <v>1472499878</v>
      </c>
      <c r="D764">
        <v>1441819193</v>
      </c>
      <c r="E764">
        <v>15514512</v>
      </c>
      <c r="F764">
        <v>1</v>
      </c>
      <c r="G764">
        <v>15514512</v>
      </c>
      <c r="H764">
        <v>1</v>
      </c>
      <c r="I764" t="s">
        <v>885</v>
      </c>
      <c r="J764" t="s">
        <v>3</v>
      </c>
      <c r="K764" t="s">
        <v>886</v>
      </c>
      <c r="L764">
        <v>1191</v>
      </c>
      <c r="N764">
        <v>1013</v>
      </c>
      <c r="O764" t="s">
        <v>887</v>
      </c>
      <c r="P764" t="s">
        <v>887</v>
      </c>
      <c r="Q764">
        <v>1</v>
      </c>
      <c r="X764">
        <v>11.22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1</v>
      </c>
      <c r="AE764">
        <v>1</v>
      </c>
      <c r="AF764" t="s">
        <v>3</v>
      </c>
      <c r="AG764">
        <v>11.22</v>
      </c>
      <c r="AH764">
        <v>3</v>
      </c>
      <c r="AI764">
        <v>-1</v>
      </c>
      <c r="AJ764" t="s">
        <v>3</v>
      </c>
      <c r="AK764">
        <v>0</v>
      </c>
      <c r="AL764">
        <v>0</v>
      </c>
      <c r="AM764">
        <v>0</v>
      </c>
      <c r="AN764">
        <v>0</v>
      </c>
      <c r="AO764">
        <v>0</v>
      </c>
      <c r="AP764">
        <v>0</v>
      </c>
      <c r="AQ764">
        <v>0</v>
      </c>
      <c r="AR764">
        <v>0</v>
      </c>
    </row>
    <row r="765" spans="1:44" x14ac:dyDescent="0.2">
      <c r="A765">
        <f>ROW(Source!A805)</f>
        <v>805</v>
      </c>
      <c r="B765">
        <v>1472514991</v>
      </c>
      <c r="C765">
        <v>1472499878</v>
      </c>
      <c r="D765">
        <v>1441836237</v>
      </c>
      <c r="E765">
        <v>1</v>
      </c>
      <c r="F765">
        <v>1</v>
      </c>
      <c r="G765">
        <v>15514512</v>
      </c>
      <c r="H765">
        <v>3</v>
      </c>
      <c r="I765" t="s">
        <v>1045</v>
      </c>
      <c r="J765" t="s">
        <v>1046</v>
      </c>
      <c r="K765" t="s">
        <v>1047</v>
      </c>
      <c r="L765">
        <v>1346</v>
      </c>
      <c r="N765">
        <v>1009</v>
      </c>
      <c r="O765" t="s">
        <v>898</v>
      </c>
      <c r="P765" t="s">
        <v>898</v>
      </c>
      <c r="Q765">
        <v>1</v>
      </c>
      <c r="X765">
        <v>3.9E-2</v>
      </c>
      <c r="Y765">
        <v>375.16</v>
      </c>
      <c r="Z765">
        <v>0</v>
      </c>
      <c r="AA765">
        <v>0</v>
      </c>
      <c r="AB765">
        <v>0</v>
      </c>
      <c r="AC765">
        <v>0</v>
      </c>
      <c r="AD765">
        <v>1</v>
      </c>
      <c r="AE765">
        <v>0</v>
      </c>
      <c r="AF765" t="s">
        <v>3</v>
      </c>
      <c r="AG765">
        <v>3.9E-2</v>
      </c>
      <c r="AH765">
        <v>3</v>
      </c>
      <c r="AI765">
        <v>-1</v>
      </c>
      <c r="AJ765" t="s">
        <v>3</v>
      </c>
      <c r="AK765">
        <v>0</v>
      </c>
      <c r="AL765">
        <v>0</v>
      </c>
      <c r="AM765">
        <v>0</v>
      </c>
      <c r="AN765">
        <v>0</v>
      </c>
      <c r="AO765">
        <v>0</v>
      </c>
      <c r="AP765">
        <v>0</v>
      </c>
      <c r="AQ765">
        <v>0</v>
      </c>
      <c r="AR765">
        <v>0</v>
      </c>
    </row>
    <row r="766" spans="1:44" x14ac:dyDescent="0.2">
      <c r="A766">
        <f>ROW(Source!A806)</f>
        <v>806</v>
      </c>
      <c r="B766">
        <v>1472515021</v>
      </c>
      <c r="C766">
        <v>1472499904</v>
      </c>
      <c r="D766">
        <v>1441819193</v>
      </c>
      <c r="E766">
        <v>15514512</v>
      </c>
      <c r="F766">
        <v>1</v>
      </c>
      <c r="G766">
        <v>15514512</v>
      </c>
      <c r="H766">
        <v>1</v>
      </c>
      <c r="I766" t="s">
        <v>885</v>
      </c>
      <c r="J766" t="s">
        <v>3</v>
      </c>
      <c r="K766" t="s">
        <v>886</v>
      </c>
      <c r="L766">
        <v>1191</v>
      </c>
      <c r="N766">
        <v>1013</v>
      </c>
      <c r="O766" t="s">
        <v>887</v>
      </c>
      <c r="P766" t="s">
        <v>887</v>
      </c>
      <c r="Q766">
        <v>1</v>
      </c>
      <c r="X766">
        <v>2.04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1</v>
      </c>
      <c r="AE766">
        <v>1</v>
      </c>
      <c r="AF766" t="s">
        <v>3</v>
      </c>
      <c r="AG766">
        <v>2.04</v>
      </c>
      <c r="AH766">
        <v>3</v>
      </c>
      <c r="AI766">
        <v>-1</v>
      </c>
      <c r="AJ766" t="s">
        <v>3</v>
      </c>
      <c r="AK766">
        <v>0</v>
      </c>
      <c r="AL766">
        <v>0</v>
      </c>
      <c r="AM766">
        <v>0</v>
      </c>
      <c r="AN766">
        <v>0</v>
      </c>
      <c r="AO766">
        <v>0</v>
      </c>
      <c r="AP766">
        <v>0</v>
      </c>
      <c r="AQ766">
        <v>0</v>
      </c>
      <c r="AR766">
        <v>0</v>
      </c>
    </row>
    <row r="767" spans="1:44" x14ac:dyDescent="0.2">
      <c r="A767">
        <f>ROW(Source!A807)</f>
        <v>807</v>
      </c>
      <c r="B767">
        <v>1472515093</v>
      </c>
      <c r="C767">
        <v>1472499908</v>
      </c>
      <c r="D767">
        <v>1441819193</v>
      </c>
      <c r="E767">
        <v>15514512</v>
      </c>
      <c r="F767">
        <v>1</v>
      </c>
      <c r="G767">
        <v>15514512</v>
      </c>
      <c r="H767">
        <v>1</v>
      </c>
      <c r="I767" t="s">
        <v>885</v>
      </c>
      <c r="J767" t="s">
        <v>3</v>
      </c>
      <c r="K767" t="s">
        <v>886</v>
      </c>
      <c r="L767">
        <v>1191</v>
      </c>
      <c r="N767">
        <v>1013</v>
      </c>
      <c r="O767" t="s">
        <v>887</v>
      </c>
      <c r="P767" t="s">
        <v>887</v>
      </c>
      <c r="Q767">
        <v>1</v>
      </c>
      <c r="X767">
        <v>0.6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1</v>
      </c>
      <c r="AE767">
        <v>1</v>
      </c>
      <c r="AF767" t="s">
        <v>3</v>
      </c>
      <c r="AG767">
        <v>0.6</v>
      </c>
      <c r="AH767">
        <v>3</v>
      </c>
      <c r="AI767">
        <v>-1</v>
      </c>
      <c r="AJ767" t="s">
        <v>3</v>
      </c>
      <c r="AK767">
        <v>0</v>
      </c>
      <c r="AL767">
        <v>0</v>
      </c>
      <c r="AM767">
        <v>0</v>
      </c>
      <c r="AN767">
        <v>0</v>
      </c>
      <c r="AO767">
        <v>0</v>
      </c>
      <c r="AP767">
        <v>0</v>
      </c>
      <c r="AQ767">
        <v>0</v>
      </c>
      <c r="AR767">
        <v>0</v>
      </c>
    </row>
    <row r="768" spans="1:44" x14ac:dyDescent="0.2">
      <c r="A768">
        <f>ROW(Source!A807)</f>
        <v>807</v>
      </c>
      <c r="B768">
        <v>1472515094</v>
      </c>
      <c r="C768">
        <v>1472499908</v>
      </c>
      <c r="D768">
        <v>1441836235</v>
      </c>
      <c r="E768">
        <v>1</v>
      </c>
      <c r="F768">
        <v>1</v>
      </c>
      <c r="G768">
        <v>15514512</v>
      </c>
      <c r="H768">
        <v>3</v>
      </c>
      <c r="I768" t="s">
        <v>912</v>
      </c>
      <c r="J768" t="s">
        <v>913</v>
      </c>
      <c r="K768" t="s">
        <v>914</v>
      </c>
      <c r="L768">
        <v>1346</v>
      </c>
      <c r="N768">
        <v>1009</v>
      </c>
      <c r="O768" t="s">
        <v>898</v>
      </c>
      <c r="P768" t="s">
        <v>898</v>
      </c>
      <c r="Q768">
        <v>1</v>
      </c>
      <c r="X768">
        <v>0.05</v>
      </c>
      <c r="Y768">
        <v>31.49</v>
      </c>
      <c r="Z768">
        <v>0</v>
      </c>
      <c r="AA768">
        <v>0</v>
      </c>
      <c r="AB768">
        <v>0</v>
      </c>
      <c r="AC768">
        <v>0</v>
      </c>
      <c r="AD768">
        <v>1</v>
      </c>
      <c r="AE768">
        <v>0</v>
      </c>
      <c r="AF768" t="s">
        <v>3</v>
      </c>
      <c r="AG768">
        <v>0.05</v>
      </c>
      <c r="AH768">
        <v>3</v>
      </c>
      <c r="AI768">
        <v>-1</v>
      </c>
      <c r="AJ768" t="s">
        <v>3</v>
      </c>
      <c r="AK768">
        <v>0</v>
      </c>
      <c r="AL768">
        <v>0</v>
      </c>
      <c r="AM768">
        <v>0</v>
      </c>
      <c r="AN768">
        <v>0</v>
      </c>
      <c r="AO768">
        <v>0</v>
      </c>
      <c r="AP768">
        <v>0</v>
      </c>
      <c r="AQ768">
        <v>0</v>
      </c>
      <c r="AR768">
        <v>0</v>
      </c>
    </row>
    <row r="769" spans="1:44" x14ac:dyDescent="0.2">
      <c r="A769">
        <f>ROW(Source!A808)</f>
        <v>808</v>
      </c>
      <c r="B769">
        <v>1472515161</v>
      </c>
      <c r="C769">
        <v>1472499919</v>
      </c>
      <c r="D769">
        <v>1441819193</v>
      </c>
      <c r="E769">
        <v>15514512</v>
      </c>
      <c r="F769">
        <v>1</v>
      </c>
      <c r="G769">
        <v>15514512</v>
      </c>
      <c r="H769">
        <v>1</v>
      </c>
      <c r="I769" t="s">
        <v>885</v>
      </c>
      <c r="J769" t="s">
        <v>3</v>
      </c>
      <c r="K769" t="s">
        <v>886</v>
      </c>
      <c r="L769">
        <v>1191</v>
      </c>
      <c r="N769">
        <v>1013</v>
      </c>
      <c r="O769" t="s">
        <v>887</v>
      </c>
      <c r="P769" t="s">
        <v>887</v>
      </c>
      <c r="Q769">
        <v>1</v>
      </c>
      <c r="X769">
        <v>0.14000000000000001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1</v>
      </c>
      <c r="AE769">
        <v>1</v>
      </c>
      <c r="AF769" t="s">
        <v>584</v>
      </c>
      <c r="AG769">
        <v>0.56000000000000005</v>
      </c>
      <c r="AH769">
        <v>3</v>
      </c>
      <c r="AI769">
        <v>-1</v>
      </c>
      <c r="AJ769" t="s">
        <v>3</v>
      </c>
      <c r="AK769">
        <v>0</v>
      </c>
      <c r="AL769">
        <v>0</v>
      </c>
      <c r="AM769">
        <v>0</v>
      </c>
      <c r="AN769">
        <v>0</v>
      </c>
      <c r="AO769">
        <v>0</v>
      </c>
      <c r="AP769">
        <v>0</v>
      </c>
      <c r="AQ769">
        <v>0</v>
      </c>
      <c r="AR769">
        <v>0</v>
      </c>
    </row>
    <row r="770" spans="1:44" x14ac:dyDescent="0.2">
      <c r="A770">
        <f>ROW(Source!A809)</f>
        <v>809</v>
      </c>
      <c r="B770">
        <v>1472515297</v>
      </c>
      <c r="C770">
        <v>1472499943</v>
      </c>
      <c r="D770">
        <v>1441819193</v>
      </c>
      <c r="E770">
        <v>15514512</v>
      </c>
      <c r="F770">
        <v>1</v>
      </c>
      <c r="G770">
        <v>15514512</v>
      </c>
      <c r="H770">
        <v>1</v>
      </c>
      <c r="I770" t="s">
        <v>885</v>
      </c>
      <c r="J770" t="s">
        <v>3</v>
      </c>
      <c r="K770" t="s">
        <v>886</v>
      </c>
      <c r="L770">
        <v>1191</v>
      </c>
      <c r="N770">
        <v>1013</v>
      </c>
      <c r="O770" t="s">
        <v>887</v>
      </c>
      <c r="P770" t="s">
        <v>887</v>
      </c>
      <c r="Q770">
        <v>1</v>
      </c>
      <c r="X770">
        <v>0.08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1</v>
      </c>
      <c r="AE770">
        <v>1</v>
      </c>
      <c r="AF770" t="s">
        <v>640</v>
      </c>
      <c r="AG770">
        <v>9.44</v>
      </c>
      <c r="AH770">
        <v>3</v>
      </c>
      <c r="AI770">
        <v>-1</v>
      </c>
      <c r="AJ770" t="s">
        <v>3</v>
      </c>
      <c r="AK770">
        <v>0</v>
      </c>
      <c r="AL770">
        <v>0</v>
      </c>
      <c r="AM770">
        <v>0</v>
      </c>
      <c r="AN770">
        <v>0</v>
      </c>
      <c r="AO770">
        <v>0</v>
      </c>
      <c r="AP770">
        <v>0</v>
      </c>
      <c r="AQ770">
        <v>0</v>
      </c>
      <c r="AR770">
        <v>0</v>
      </c>
    </row>
    <row r="771" spans="1:44" x14ac:dyDescent="0.2">
      <c r="A771">
        <f>ROW(Source!A810)</f>
        <v>810</v>
      </c>
      <c r="B771">
        <v>1472515360</v>
      </c>
      <c r="C771">
        <v>1472499949</v>
      </c>
      <c r="D771">
        <v>1441819193</v>
      </c>
      <c r="E771">
        <v>15514512</v>
      </c>
      <c r="F771">
        <v>1</v>
      </c>
      <c r="G771">
        <v>15514512</v>
      </c>
      <c r="H771">
        <v>1</v>
      </c>
      <c r="I771" t="s">
        <v>885</v>
      </c>
      <c r="J771" t="s">
        <v>3</v>
      </c>
      <c r="K771" t="s">
        <v>886</v>
      </c>
      <c r="L771">
        <v>1191</v>
      </c>
      <c r="N771">
        <v>1013</v>
      </c>
      <c r="O771" t="s">
        <v>887</v>
      </c>
      <c r="P771" t="s">
        <v>887</v>
      </c>
      <c r="Q771">
        <v>1</v>
      </c>
      <c r="X771">
        <v>0.25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1</v>
      </c>
      <c r="AE771">
        <v>1</v>
      </c>
      <c r="AF771" t="s">
        <v>3</v>
      </c>
      <c r="AG771">
        <v>0.25</v>
      </c>
      <c r="AH771">
        <v>3</v>
      </c>
      <c r="AI771">
        <v>-1</v>
      </c>
      <c r="AJ771" t="s">
        <v>3</v>
      </c>
      <c r="AK771">
        <v>0</v>
      </c>
      <c r="AL771">
        <v>0</v>
      </c>
      <c r="AM771">
        <v>0</v>
      </c>
      <c r="AN771">
        <v>0</v>
      </c>
      <c r="AO771">
        <v>0</v>
      </c>
      <c r="AP771">
        <v>0</v>
      </c>
      <c r="AQ771">
        <v>0</v>
      </c>
      <c r="AR771">
        <v>0</v>
      </c>
    </row>
    <row r="772" spans="1:44" x14ac:dyDescent="0.2">
      <c r="A772">
        <f>ROW(Source!A810)</f>
        <v>810</v>
      </c>
      <c r="B772">
        <v>1472515361</v>
      </c>
      <c r="C772">
        <v>1472499949</v>
      </c>
      <c r="D772">
        <v>1441834258</v>
      </c>
      <c r="E772">
        <v>1</v>
      </c>
      <c r="F772">
        <v>1</v>
      </c>
      <c r="G772">
        <v>15514512</v>
      </c>
      <c r="H772">
        <v>2</v>
      </c>
      <c r="I772" t="s">
        <v>892</v>
      </c>
      <c r="J772" t="s">
        <v>893</v>
      </c>
      <c r="K772" t="s">
        <v>894</v>
      </c>
      <c r="L772">
        <v>1368</v>
      </c>
      <c r="N772">
        <v>1011</v>
      </c>
      <c r="O772" t="s">
        <v>895</v>
      </c>
      <c r="P772" t="s">
        <v>895</v>
      </c>
      <c r="Q772">
        <v>1</v>
      </c>
      <c r="X772">
        <v>1.2999999999999999E-2</v>
      </c>
      <c r="Y772">
        <v>0</v>
      </c>
      <c r="Z772">
        <v>1303.01</v>
      </c>
      <c r="AA772">
        <v>826.2</v>
      </c>
      <c r="AB772">
        <v>0</v>
      </c>
      <c r="AC772">
        <v>0</v>
      </c>
      <c r="AD772">
        <v>1</v>
      </c>
      <c r="AE772">
        <v>0</v>
      </c>
      <c r="AF772" t="s">
        <v>3</v>
      </c>
      <c r="AG772">
        <v>1.2999999999999999E-2</v>
      </c>
      <c r="AH772">
        <v>3</v>
      </c>
      <c r="AI772">
        <v>-1</v>
      </c>
      <c r="AJ772" t="s">
        <v>3</v>
      </c>
      <c r="AK772">
        <v>0</v>
      </c>
      <c r="AL772">
        <v>0</v>
      </c>
      <c r="AM772">
        <v>0</v>
      </c>
      <c r="AN772">
        <v>0</v>
      </c>
      <c r="AO772">
        <v>0</v>
      </c>
      <c r="AP772">
        <v>0</v>
      </c>
      <c r="AQ772">
        <v>0</v>
      </c>
      <c r="AR772">
        <v>0</v>
      </c>
    </row>
    <row r="773" spans="1:44" x14ac:dyDescent="0.2">
      <c r="A773">
        <f>ROW(Source!A810)</f>
        <v>810</v>
      </c>
      <c r="B773">
        <v>1472515362</v>
      </c>
      <c r="C773">
        <v>1472499949</v>
      </c>
      <c r="D773">
        <v>1441836235</v>
      </c>
      <c r="E773">
        <v>1</v>
      </c>
      <c r="F773">
        <v>1</v>
      </c>
      <c r="G773">
        <v>15514512</v>
      </c>
      <c r="H773">
        <v>3</v>
      </c>
      <c r="I773" t="s">
        <v>912</v>
      </c>
      <c r="J773" t="s">
        <v>913</v>
      </c>
      <c r="K773" t="s">
        <v>914</v>
      </c>
      <c r="L773">
        <v>1346</v>
      </c>
      <c r="N773">
        <v>1009</v>
      </c>
      <c r="O773" t="s">
        <v>898</v>
      </c>
      <c r="P773" t="s">
        <v>898</v>
      </c>
      <c r="Q773">
        <v>1</v>
      </c>
      <c r="X773">
        <v>2E-3</v>
      </c>
      <c r="Y773">
        <v>31.49</v>
      </c>
      <c r="Z773">
        <v>0</v>
      </c>
      <c r="AA773">
        <v>0</v>
      </c>
      <c r="AB773">
        <v>0</v>
      </c>
      <c r="AC773">
        <v>0</v>
      </c>
      <c r="AD773">
        <v>1</v>
      </c>
      <c r="AE773">
        <v>0</v>
      </c>
      <c r="AF773" t="s">
        <v>3</v>
      </c>
      <c r="AG773">
        <v>2E-3</v>
      </c>
      <c r="AH773">
        <v>3</v>
      </c>
      <c r="AI773">
        <v>-1</v>
      </c>
      <c r="AJ773" t="s">
        <v>3</v>
      </c>
      <c r="AK773">
        <v>0</v>
      </c>
      <c r="AL773">
        <v>0</v>
      </c>
      <c r="AM773">
        <v>0</v>
      </c>
      <c r="AN773">
        <v>0</v>
      </c>
      <c r="AO773">
        <v>0</v>
      </c>
      <c r="AP773">
        <v>0</v>
      </c>
      <c r="AQ773">
        <v>0</v>
      </c>
      <c r="AR773">
        <v>0</v>
      </c>
    </row>
    <row r="774" spans="1:44" x14ac:dyDescent="0.2">
      <c r="A774">
        <f>ROW(Source!A812)</f>
        <v>812</v>
      </c>
      <c r="B774">
        <v>1472515443</v>
      </c>
      <c r="C774">
        <v>1472499968</v>
      </c>
      <c r="D774">
        <v>1441819193</v>
      </c>
      <c r="E774">
        <v>15514512</v>
      </c>
      <c r="F774">
        <v>1</v>
      </c>
      <c r="G774">
        <v>15514512</v>
      </c>
      <c r="H774">
        <v>1</v>
      </c>
      <c r="I774" t="s">
        <v>885</v>
      </c>
      <c r="J774" t="s">
        <v>3</v>
      </c>
      <c r="K774" t="s">
        <v>886</v>
      </c>
      <c r="L774">
        <v>1191</v>
      </c>
      <c r="N774">
        <v>1013</v>
      </c>
      <c r="O774" t="s">
        <v>887</v>
      </c>
      <c r="P774" t="s">
        <v>887</v>
      </c>
      <c r="Q774">
        <v>1</v>
      </c>
      <c r="X774">
        <v>3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1</v>
      </c>
      <c r="AE774">
        <v>1</v>
      </c>
      <c r="AF774" t="s">
        <v>3</v>
      </c>
      <c r="AG774">
        <v>3</v>
      </c>
      <c r="AH774">
        <v>3</v>
      </c>
      <c r="AI774">
        <v>-1</v>
      </c>
      <c r="AJ774" t="s">
        <v>3</v>
      </c>
      <c r="AK774">
        <v>0</v>
      </c>
      <c r="AL774">
        <v>0</v>
      </c>
      <c r="AM774">
        <v>0</v>
      </c>
      <c r="AN774">
        <v>0</v>
      </c>
      <c r="AO774">
        <v>0</v>
      </c>
      <c r="AP774">
        <v>0</v>
      </c>
      <c r="AQ774">
        <v>0</v>
      </c>
      <c r="AR774">
        <v>0</v>
      </c>
    </row>
    <row r="775" spans="1:44" x14ac:dyDescent="0.2">
      <c r="A775">
        <f>ROW(Source!A812)</f>
        <v>812</v>
      </c>
      <c r="B775">
        <v>1472515445</v>
      </c>
      <c r="C775">
        <v>1472499968</v>
      </c>
      <c r="D775">
        <v>1441836237</v>
      </c>
      <c r="E775">
        <v>1</v>
      </c>
      <c r="F775">
        <v>1</v>
      </c>
      <c r="G775">
        <v>15514512</v>
      </c>
      <c r="H775">
        <v>3</v>
      </c>
      <c r="I775" t="s">
        <v>1045</v>
      </c>
      <c r="J775" t="s">
        <v>1046</v>
      </c>
      <c r="K775" t="s">
        <v>1047</v>
      </c>
      <c r="L775">
        <v>1346</v>
      </c>
      <c r="N775">
        <v>1009</v>
      </c>
      <c r="O775" t="s">
        <v>898</v>
      </c>
      <c r="P775" t="s">
        <v>898</v>
      </c>
      <c r="Q775">
        <v>1</v>
      </c>
      <c r="X775">
        <v>0.06</v>
      </c>
      <c r="Y775">
        <v>375.16</v>
      </c>
      <c r="Z775">
        <v>0</v>
      </c>
      <c r="AA775">
        <v>0</v>
      </c>
      <c r="AB775">
        <v>0</v>
      </c>
      <c r="AC775">
        <v>0</v>
      </c>
      <c r="AD775">
        <v>1</v>
      </c>
      <c r="AE775">
        <v>0</v>
      </c>
      <c r="AF775" t="s">
        <v>3</v>
      </c>
      <c r="AG775">
        <v>0.06</v>
      </c>
      <c r="AH775">
        <v>3</v>
      </c>
      <c r="AI775">
        <v>-1</v>
      </c>
      <c r="AJ775" t="s">
        <v>3</v>
      </c>
      <c r="AK775">
        <v>0</v>
      </c>
      <c r="AL775">
        <v>0</v>
      </c>
      <c r="AM775">
        <v>0</v>
      </c>
      <c r="AN775">
        <v>0</v>
      </c>
      <c r="AO775">
        <v>0</v>
      </c>
      <c r="AP775">
        <v>0</v>
      </c>
      <c r="AQ775">
        <v>0</v>
      </c>
      <c r="AR775">
        <v>0</v>
      </c>
    </row>
    <row r="776" spans="1:44" x14ac:dyDescent="0.2">
      <c r="A776">
        <f>ROW(Source!A812)</f>
        <v>812</v>
      </c>
      <c r="B776">
        <v>1472515446</v>
      </c>
      <c r="C776">
        <v>1472499968</v>
      </c>
      <c r="D776">
        <v>1441836235</v>
      </c>
      <c r="E776">
        <v>1</v>
      </c>
      <c r="F776">
        <v>1</v>
      </c>
      <c r="G776">
        <v>15514512</v>
      </c>
      <c r="H776">
        <v>3</v>
      </c>
      <c r="I776" t="s">
        <v>912</v>
      </c>
      <c r="J776" t="s">
        <v>913</v>
      </c>
      <c r="K776" t="s">
        <v>914</v>
      </c>
      <c r="L776">
        <v>1346</v>
      </c>
      <c r="N776">
        <v>1009</v>
      </c>
      <c r="O776" t="s">
        <v>898</v>
      </c>
      <c r="P776" t="s">
        <v>898</v>
      </c>
      <c r="Q776">
        <v>1</v>
      </c>
      <c r="X776">
        <v>0.02</v>
      </c>
      <c r="Y776">
        <v>31.49</v>
      </c>
      <c r="Z776">
        <v>0</v>
      </c>
      <c r="AA776">
        <v>0</v>
      </c>
      <c r="AB776">
        <v>0</v>
      </c>
      <c r="AC776">
        <v>0</v>
      </c>
      <c r="AD776">
        <v>1</v>
      </c>
      <c r="AE776">
        <v>0</v>
      </c>
      <c r="AF776" t="s">
        <v>3</v>
      </c>
      <c r="AG776">
        <v>0.02</v>
      </c>
      <c r="AH776">
        <v>3</v>
      </c>
      <c r="AI776">
        <v>-1</v>
      </c>
      <c r="AJ776" t="s">
        <v>3</v>
      </c>
      <c r="AK776">
        <v>0</v>
      </c>
      <c r="AL776">
        <v>0</v>
      </c>
      <c r="AM776">
        <v>0</v>
      </c>
      <c r="AN776">
        <v>0</v>
      </c>
      <c r="AO776">
        <v>0</v>
      </c>
      <c r="AP776">
        <v>0</v>
      </c>
      <c r="AQ776">
        <v>0</v>
      </c>
      <c r="AR776">
        <v>0</v>
      </c>
    </row>
    <row r="777" spans="1:44" x14ac:dyDescent="0.2">
      <c r="A777">
        <f>ROW(Source!A812)</f>
        <v>812</v>
      </c>
      <c r="B777">
        <v>1472515444</v>
      </c>
      <c r="C777">
        <v>1472499968</v>
      </c>
      <c r="D777">
        <v>1441822228</v>
      </c>
      <c r="E777">
        <v>15514512</v>
      </c>
      <c r="F777">
        <v>1</v>
      </c>
      <c r="G777">
        <v>15514512</v>
      </c>
      <c r="H777">
        <v>3</v>
      </c>
      <c r="I777" t="s">
        <v>956</v>
      </c>
      <c r="J777" t="s">
        <v>3</v>
      </c>
      <c r="K777" t="s">
        <v>958</v>
      </c>
      <c r="L777">
        <v>1346</v>
      </c>
      <c r="N777">
        <v>1009</v>
      </c>
      <c r="O777" t="s">
        <v>898</v>
      </c>
      <c r="P777" t="s">
        <v>898</v>
      </c>
      <c r="Q777">
        <v>1</v>
      </c>
      <c r="X777">
        <v>0.05</v>
      </c>
      <c r="Y777">
        <v>73.951729999999998</v>
      </c>
      <c r="Z777">
        <v>0</v>
      </c>
      <c r="AA777">
        <v>0</v>
      </c>
      <c r="AB777">
        <v>0</v>
      </c>
      <c r="AC777">
        <v>0</v>
      </c>
      <c r="AD777">
        <v>1</v>
      </c>
      <c r="AE777">
        <v>0</v>
      </c>
      <c r="AF777" t="s">
        <v>3</v>
      </c>
      <c r="AG777">
        <v>0.05</v>
      </c>
      <c r="AH777">
        <v>3</v>
      </c>
      <c r="AI777">
        <v>-1</v>
      </c>
      <c r="AJ777" t="s">
        <v>3</v>
      </c>
      <c r="AK777">
        <v>0</v>
      </c>
      <c r="AL777">
        <v>0</v>
      </c>
      <c r="AM777">
        <v>0</v>
      </c>
      <c r="AN777">
        <v>0</v>
      </c>
      <c r="AO777">
        <v>0</v>
      </c>
      <c r="AP777">
        <v>0</v>
      </c>
      <c r="AQ777">
        <v>0</v>
      </c>
      <c r="AR777">
        <v>0</v>
      </c>
    </row>
    <row r="778" spans="1:44" x14ac:dyDescent="0.2">
      <c r="A778">
        <f>ROW(Source!A812)</f>
        <v>812</v>
      </c>
      <c r="B778">
        <v>1472515447</v>
      </c>
      <c r="C778">
        <v>1472499968</v>
      </c>
      <c r="D778">
        <v>1441834920</v>
      </c>
      <c r="E778">
        <v>1</v>
      </c>
      <c r="F778">
        <v>1</v>
      </c>
      <c r="G778">
        <v>15514512</v>
      </c>
      <c r="H778">
        <v>3</v>
      </c>
      <c r="I778" t="s">
        <v>1048</v>
      </c>
      <c r="J778" t="s">
        <v>1049</v>
      </c>
      <c r="K778" t="s">
        <v>1050</v>
      </c>
      <c r="L778">
        <v>1346</v>
      </c>
      <c r="N778">
        <v>1009</v>
      </c>
      <c r="O778" t="s">
        <v>898</v>
      </c>
      <c r="P778" t="s">
        <v>898</v>
      </c>
      <c r="Q778">
        <v>1</v>
      </c>
      <c r="X778">
        <v>0.01</v>
      </c>
      <c r="Y778">
        <v>106.87</v>
      </c>
      <c r="Z778">
        <v>0</v>
      </c>
      <c r="AA778">
        <v>0</v>
      </c>
      <c r="AB778">
        <v>0</v>
      </c>
      <c r="AC778">
        <v>0</v>
      </c>
      <c r="AD778">
        <v>1</v>
      </c>
      <c r="AE778">
        <v>0</v>
      </c>
      <c r="AF778" t="s">
        <v>3</v>
      </c>
      <c r="AG778">
        <v>0.01</v>
      </c>
      <c r="AH778">
        <v>3</v>
      </c>
      <c r="AI778">
        <v>-1</v>
      </c>
      <c r="AJ778" t="s">
        <v>3</v>
      </c>
      <c r="AK778">
        <v>0</v>
      </c>
      <c r="AL778">
        <v>0</v>
      </c>
      <c r="AM778">
        <v>0</v>
      </c>
      <c r="AN778">
        <v>0</v>
      </c>
      <c r="AO778">
        <v>0</v>
      </c>
      <c r="AP778">
        <v>0</v>
      </c>
      <c r="AQ778">
        <v>0</v>
      </c>
      <c r="AR778">
        <v>0</v>
      </c>
    </row>
    <row r="779" spans="1:44" x14ac:dyDescent="0.2">
      <c r="A779">
        <f>ROW(Source!A813)</f>
        <v>813</v>
      </c>
      <c r="B779">
        <v>1472515514</v>
      </c>
      <c r="C779">
        <v>1472499996</v>
      </c>
      <c r="D779">
        <v>1441819193</v>
      </c>
      <c r="E779">
        <v>15514512</v>
      </c>
      <c r="F779">
        <v>1</v>
      </c>
      <c r="G779">
        <v>15514512</v>
      </c>
      <c r="H779">
        <v>1</v>
      </c>
      <c r="I779" t="s">
        <v>885</v>
      </c>
      <c r="J779" t="s">
        <v>3</v>
      </c>
      <c r="K779" t="s">
        <v>886</v>
      </c>
      <c r="L779">
        <v>1191</v>
      </c>
      <c r="N779">
        <v>1013</v>
      </c>
      <c r="O779" t="s">
        <v>887</v>
      </c>
      <c r="P779" t="s">
        <v>887</v>
      </c>
      <c r="Q779">
        <v>1</v>
      </c>
      <c r="X779">
        <v>0.1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1</v>
      </c>
      <c r="AE779">
        <v>1</v>
      </c>
      <c r="AF779" t="s">
        <v>697</v>
      </c>
      <c r="AG779">
        <v>1.6</v>
      </c>
      <c r="AH779">
        <v>3</v>
      </c>
      <c r="AI779">
        <v>-1</v>
      </c>
      <c r="AJ779" t="s">
        <v>3</v>
      </c>
      <c r="AK779">
        <v>0</v>
      </c>
      <c r="AL779">
        <v>0</v>
      </c>
      <c r="AM779">
        <v>0</v>
      </c>
      <c r="AN779">
        <v>0</v>
      </c>
      <c r="AO779">
        <v>0</v>
      </c>
      <c r="AP779">
        <v>0</v>
      </c>
      <c r="AQ779">
        <v>0</v>
      </c>
      <c r="AR779">
        <v>0</v>
      </c>
    </row>
    <row r="780" spans="1:44" x14ac:dyDescent="0.2">
      <c r="A780">
        <f>ROW(Source!A813)</f>
        <v>813</v>
      </c>
      <c r="B780">
        <v>1472515517</v>
      </c>
      <c r="C780">
        <v>1472499996</v>
      </c>
      <c r="D780">
        <v>1441836235</v>
      </c>
      <c r="E780">
        <v>1</v>
      </c>
      <c r="F780">
        <v>1</v>
      </c>
      <c r="G780">
        <v>15514512</v>
      </c>
      <c r="H780">
        <v>3</v>
      </c>
      <c r="I780" t="s">
        <v>912</v>
      </c>
      <c r="J780" t="s">
        <v>913</v>
      </c>
      <c r="K780" t="s">
        <v>914</v>
      </c>
      <c r="L780">
        <v>1346</v>
      </c>
      <c r="N780">
        <v>1009</v>
      </c>
      <c r="O780" t="s">
        <v>898</v>
      </c>
      <c r="P780" t="s">
        <v>898</v>
      </c>
      <c r="Q780">
        <v>1</v>
      </c>
      <c r="X780">
        <v>0.01</v>
      </c>
      <c r="Y780">
        <v>31.49</v>
      </c>
      <c r="Z780">
        <v>0</v>
      </c>
      <c r="AA780">
        <v>0</v>
      </c>
      <c r="AB780">
        <v>0</v>
      </c>
      <c r="AC780">
        <v>0</v>
      </c>
      <c r="AD780">
        <v>1</v>
      </c>
      <c r="AE780">
        <v>0</v>
      </c>
      <c r="AF780" t="s">
        <v>697</v>
      </c>
      <c r="AG780">
        <v>0.16</v>
      </c>
      <c r="AH780">
        <v>3</v>
      </c>
      <c r="AI780">
        <v>-1</v>
      </c>
      <c r="AJ780" t="s">
        <v>3</v>
      </c>
      <c r="AK780">
        <v>0</v>
      </c>
      <c r="AL780">
        <v>0</v>
      </c>
      <c r="AM780">
        <v>0</v>
      </c>
      <c r="AN780">
        <v>0</v>
      </c>
      <c r="AO780">
        <v>0</v>
      </c>
      <c r="AP780">
        <v>0</v>
      </c>
      <c r="AQ780">
        <v>0</v>
      </c>
      <c r="AR780">
        <v>0</v>
      </c>
    </row>
    <row r="781" spans="1:44" x14ac:dyDescent="0.2">
      <c r="A781">
        <f>ROW(Source!A813)</f>
        <v>813</v>
      </c>
      <c r="B781">
        <v>1472515515</v>
      </c>
      <c r="C781">
        <v>1472499996</v>
      </c>
      <c r="D781">
        <v>1441822228</v>
      </c>
      <c r="E781">
        <v>15514512</v>
      </c>
      <c r="F781">
        <v>1</v>
      </c>
      <c r="G781">
        <v>15514512</v>
      </c>
      <c r="H781">
        <v>3</v>
      </c>
      <c r="I781" t="s">
        <v>956</v>
      </c>
      <c r="J781" t="s">
        <v>3</v>
      </c>
      <c r="K781" t="s">
        <v>958</v>
      </c>
      <c r="L781">
        <v>1346</v>
      </c>
      <c r="N781">
        <v>1009</v>
      </c>
      <c r="O781" t="s">
        <v>898</v>
      </c>
      <c r="P781" t="s">
        <v>898</v>
      </c>
      <c r="Q781">
        <v>1</v>
      </c>
      <c r="X781">
        <v>0.01</v>
      </c>
      <c r="Y781">
        <v>73.951729999999998</v>
      </c>
      <c r="Z781">
        <v>0</v>
      </c>
      <c r="AA781">
        <v>0</v>
      </c>
      <c r="AB781">
        <v>0</v>
      </c>
      <c r="AC781">
        <v>0</v>
      </c>
      <c r="AD781">
        <v>1</v>
      </c>
      <c r="AE781">
        <v>0</v>
      </c>
      <c r="AF781" t="s">
        <v>697</v>
      </c>
      <c r="AG781">
        <v>0.16</v>
      </c>
      <c r="AH781">
        <v>3</v>
      </c>
      <c r="AI781">
        <v>-1</v>
      </c>
      <c r="AJ781" t="s">
        <v>3</v>
      </c>
      <c r="AK781">
        <v>0</v>
      </c>
      <c r="AL781">
        <v>0</v>
      </c>
      <c r="AM781">
        <v>0</v>
      </c>
      <c r="AN781">
        <v>0</v>
      </c>
      <c r="AO781">
        <v>0</v>
      </c>
      <c r="AP781">
        <v>0</v>
      </c>
      <c r="AQ781">
        <v>0</v>
      </c>
      <c r="AR781">
        <v>0</v>
      </c>
    </row>
    <row r="782" spans="1:44" x14ac:dyDescent="0.2">
      <c r="A782">
        <f>ROW(Source!A814)</f>
        <v>814</v>
      </c>
      <c r="B782">
        <v>1472515595</v>
      </c>
      <c r="C782">
        <v>1472500030</v>
      </c>
      <c r="D782">
        <v>1441819193</v>
      </c>
      <c r="E782">
        <v>15514512</v>
      </c>
      <c r="F782">
        <v>1</v>
      </c>
      <c r="G782">
        <v>15514512</v>
      </c>
      <c r="H782">
        <v>1</v>
      </c>
      <c r="I782" t="s">
        <v>885</v>
      </c>
      <c r="J782" t="s">
        <v>3</v>
      </c>
      <c r="K782" t="s">
        <v>886</v>
      </c>
      <c r="L782">
        <v>1191</v>
      </c>
      <c r="N782">
        <v>1013</v>
      </c>
      <c r="O782" t="s">
        <v>887</v>
      </c>
      <c r="P782" t="s">
        <v>887</v>
      </c>
      <c r="Q782">
        <v>1</v>
      </c>
      <c r="X782">
        <v>4.5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1</v>
      </c>
      <c r="AE782">
        <v>1</v>
      </c>
      <c r="AF782" t="s">
        <v>3</v>
      </c>
      <c r="AG782">
        <v>4.5</v>
      </c>
      <c r="AH782">
        <v>3</v>
      </c>
      <c r="AI782">
        <v>-1</v>
      </c>
      <c r="AJ782" t="s">
        <v>3</v>
      </c>
      <c r="AK782">
        <v>0</v>
      </c>
      <c r="AL782">
        <v>0</v>
      </c>
      <c r="AM782">
        <v>0</v>
      </c>
      <c r="AN782">
        <v>0</v>
      </c>
      <c r="AO782">
        <v>0</v>
      </c>
      <c r="AP782">
        <v>0</v>
      </c>
      <c r="AQ782">
        <v>0</v>
      </c>
      <c r="AR782">
        <v>0</v>
      </c>
    </row>
    <row r="783" spans="1:44" x14ac:dyDescent="0.2">
      <c r="A783">
        <f>ROW(Source!A814)</f>
        <v>814</v>
      </c>
      <c r="B783">
        <v>1472515598</v>
      </c>
      <c r="C783">
        <v>1472500030</v>
      </c>
      <c r="D783">
        <v>1441836237</v>
      </c>
      <c r="E783">
        <v>1</v>
      </c>
      <c r="F783">
        <v>1</v>
      </c>
      <c r="G783">
        <v>15514512</v>
      </c>
      <c r="H783">
        <v>3</v>
      </c>
      <c r="I783" t="s">
        <v>1045</v>
      </c>
      <c r="J783" t="s">
        <v>1046</v>
      </c>
      <c r="K783" t="s">
        <v>1047</v>
      </c>
      <c r="L783">
        <v>1346</v>
      </c>
      <c r="N783">
        <v>1009</v>
      </c>
      <c r="O783" t="s">
        <v>898</v>
      </c>
      <c r="P783" t="s">
        <v>898</v>
      </c>
      <c r="Q783">
        <v>1</v>
      </c>
      <c r="X783">
        <v>0.09</v>
      </c>
      <c r="Y783">
        <v>375.16</v>
      </c>
      <c r="Z783">
        <v>0</v>
      </c>
      <c r="AA783">
        <v>0</v>
      </c>
      <c r="AB783">
        <v>0</v>
      </c>
      <c r="AC783">
        <v>0</v>
      </c>
      <c r="AD783">
        <v>1</v>
      </c>
      <c r="AE783">
        <v>0</v>
      </c>
      <c r="AF783" t="s">
        <v>3</v>
      </c>
      <c r="AG783">
        <v>0.09</v>
      </c>
      <c r="AH783">
        <v>3</v>
      </c>
      <c r="AI783">
        <v>-1</v>
      </c>
      <c r="AJ783" t="s">
        <v>3</v>
      </c>
      <c r="AK783">
        <v>0</v>
      </c>
      <c r="AL783">
        <v>0</v>
      </c>
      <c r="AM783">
        <v>0</v>
      </c>
      <c r="AN783">
        <v>0</v>
      </c>
      <c r="AO783">
        <v>0</v>
      </c>
      <c r="AP783">
        <v>0</v>
      </c>
      <c r="AQ783">
        <v>0</v>
      </c>
      <c r="AR783">
        <v>0</v>
      </c>
    </row>
    <row r="784" spans="1:44" x14ac:dyDescent="0.2">
      <c r="A784">
        <f>ROW(Source!A814)</f>
        <v>814</v>
      </c>
      <c r="B784">
        <v>1472515600</v>
      </c>
      <c r="C784">
        <v>1472500030</v>
      </c>
      <c r="D784">
        <v>1441836235</v>
      </c>
      <c r="E784">
        <v>1</v>
      </c>
      <c r="F784">
        <v>1</v>
      </c>
      <c r="G784">
        <v>15514512</v>
      </c>
      <c r="H784">
        <v>3</v>
      </c>
      <c r="I784" t="s">
        <v>912</v>
      </c>
      <c r="J784" t="s">
        <v>913</v>
      </c>
      <c r="K784" t="s">
        <v>914</v>
      </c>
      <c r="L784">
        <v>1346</v>
      </c>
      <c r="N784">
        <v>1009</v>
      </c>
      <c r="O784" t="s">
        <v>898</v>
      </c>
      <c r="P784" t="s">
        <v>898</v>
      </c>
      <c r="Q784">
        <v>1</v>
      </c>
      <c r="X784">
        <v>0.03</v>
      </c>
      <c r="Y784">
        <v>31.49</v>
      </c>
      <c r="Z784">
        <v>0</v>
      </c>
      <c r="AA784">
        <v>0</v>
      </c>
      <c r="AB784">
        <v>0</v>
      </c>
      <c r="AC784">
        <v>0</v>
      </c>
      <c r="AD784">
        <v>1</v>
      </c>
      <c r="AE784">
        <v>0</v>
      </c>
      <c r="AF784" t="s">
        <v>3</v>
      </c>
      <c r="AG784">
        <v>0.03</v>
      </c>
      <c r="AH784">
        <v>3</v>
      </c>
      <c r="AI784">
        <v>-1</v>
      </c>
      <c r="AJ784" t="s">
        <v>3</v>
      </c>
      <c r="AK784">
        <v>0</v>
      </c>
      <c r="AL784">
        <v>0</v>
      </c>
      <c r="AM784">
        <v>0</v>
      </c>
      <c r="AN784">
        <v>0</v>
      </c>
      <c r="AO784">
        <v>0</v>
      </c>
      <c r="AP784">
        <v>0</v>
      </c>
      <c r="AQ784">
        <v>0</v>
      </c>
      <c r="AR784">
        <v>0</v>
      </c>
    </row>
    <row r="785" spans="1:44" x14ac:dyDescent="0.2">
      <c r="A785">
        <f>ROW(Source!A814)</f>
        <v>814</v>
      </c>
      <c r="B785">
        <v>1472515597</v>
      </c>
      <c r="C785">
        <v>1472500030</v>
      </c>
      <c r="D785">
        <v>1441822228</v>
      </c>
      <c r="E785">
        <v>15514512</v>
      </c>
      <c r="F785">
        <v>1</v>
      </c>
      <c r="G785">
        <v>15514512</v>
      </c>
      <c r="H785">
        <v>3</v>
      </c>
      <c r="I785" t="s">
        <v>956</v>
      </c>
      <c r="J785" t="s">
        <v>3</v>
      </c>
      <c r="K785" t="s">
        <v>958</v>
      </c>
      <c r="L785">
        <v>1346</v>
      </c>
      <c r="N785">
        <v>1009</v>
      </c>
      <c r="O785" t="s">
        <v>898</v>
      </c>
      <c r="P785" t="s">
        <v>898</v>
      </c>
      <c r="Q785">
        <v>1</v>
      </c>
      <c r="X785">
        <v>7.0000000000000007E-2</v>
      </c>
      <c r="Y785">
        <v>73.951729999999998</v>
      </c>
      <c r="Z785">
        <v>0</v>
      </c>
      <c r="AA785">
        <v>0</v>
      </c>
      <c r="AB785">
        <v>0</v>
      </c>
      <c r="AC785">
        <v>0</v>
      </c>
      <c r="AD785">
        <v>1</v>
      </c>
      <c r="AE785">
        <v>0</v>
      </c>
      <c r="AF785" t="s">
        <v>3</v>
      </c>
      <c r="AG785">
        <v>7.0000000000000007E-2</v>
      </c>
      <c r="AH785">
        <v>3</v>
      </c>
      <c r="AI785">
        <v>-1</v>
      </c>
      <c r="AJ785" t="s">
        <v>3</v>
      </c>
      <c r="AK785">
        <v>0</v>
      </c>
      <c r="AL785">
        <v>0</v>
      </c>
      <c r="AM785">
        <v>0</v>
      </c>
      <c r="AN785">
        <v>0</v>
      </c>
      <c r="AO785">
        <v>0</v>
      </c>
      <c r="AP785">
        <v>0</v>
      </c>
      <c r="AQ785">
        <v>0</v>
      </c>
      <c r="AR785">
        <v>0</v>
      </c>
    </row>
    <row r="786" spans="1:44" x14ac:dyDescent="0.2">
      <c r="A786">
        <f>ROW(Source!A814)</f>
        <v>814</v>
      </c>
      <c r="B786">
        <v>1472515601</v>
      </c>
      <c r="C786">
        <v>1472500030</v>
      </c>
      <c r="D786">
        <v>1441834920</v>
      </c>
      <c r="E786">
        <v>1</v>
      </c>
      <c r="F786">
        <v>1</v>
      </c>
      <c r="G786">
        <v>15514512</v>
      </c>
      <c r="H786">
        <v>3</v>
      </c>
      <c r="I786" t="s">
        <v>1048</v>
      </c>
      <c r="J786" t="s">
        <v>1049</v>
      </c>
      <c r="K786" t="s">
        <v>1050</v>
      </c>
      <c r="L786">
        <v>1346</v>
      </c>
      <c r="N786">
        <v>1009</v>
      </c>
      <c r="O786" t="s">
        <v>898</v>
      </c>
      <c r="P786" t="s">
        <v>898</v>
      </c>
      <c r="Q786">
        <v>1</v>
      </c>
      <c r="X786">
        <v>0.02</v>
      </c>
      <c r="Y786">
        <v>106.87</v>
      </c>
      <c r="Z786">
        <v>0</v>
      </c>
      <c r="AA786">
        <v>0</v>
      </c>
      <c r="AB786">
        <v>0</v>
      </c>
      <c r="AC786">
        <v>0</v>
      </c>
      <c r="AD786">
        <v>1</v>
      </c>
      <c r="AE786">
        <v>0</v>
      </c>
      <c r="AF786" t="s">
        <v>3</v>
      </c>
      <c r="AG786">
        <v>0.02</v>
      </c>
      <c r="AH786">
        <v>3</v>
      </c>
      <c r="AI786">
        <v>-1</v>
      </c>
      <c r="AJ786" t="s">
        <v>3</v>
      </c>
      <c r="AK786">
        <v>0</v>
      </c>
      <c r="AL786">
        <v>0</v>
      </c>
      <c r="AM786">
        <v>0</v>
      </c>
      <c r="AN786">
        <v>0</v>
      </c>
      <c r="AO786">
        <v>0</v>
      </c>
      <c r="AP786">
        <v>0</v>
      </c>
      <c r="AQ786">
        <v>0</v>
      </c>
      <c r="AR786">
        <v>0</v>
      </c>
    </row>
    <row r="787" spans="1:44" x14ac:dyDescent="0.2">
      <c r="A787">
        <f>ROW(Source!A815)</f>
        <v>815</v>
      </c>
      <c r="B787">
        <v>1472515694</v>
      </c>
      <c r="C787">
        <v>1472500047</v>
      </c>
      <c r="D787">
        <v>1441819193</v>
      </c>
      <c r="E787">
        <v>15514512</v>
      </c>
      <c r="F787">
        <v>1</v>
      </c>
      <c r="G787">
        <v>15514512</v>
      </c>
      <c r="H787">
        <v>1</v>
      </c>
      <c r="I787" t="s">
        <v>885</v>
      </c>
      <c r="J787" t="s">
        <v>3</v>
      </c>
      <c r="K787" t="s">
        <v>886</v>
      </c>
      <c r="L787">
        <v>1191</v>
      </c>
      <c r="N787">
        <v>1013</v>
      </c>
      <c r="O787" t="s">
        <v>887</v>
      </c>
      <c r="P787" t="s">
        <v>887</v>
      </c>
      <c r="Q787">
        <v>1</v>
      </c>
      <c r="X787">
        <v>0.15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1</v>
      </c>
      <c r="AE787">
        <v>1</v>
      </c>
      <c r="AF787" t="s">
        <v>697</v>
      </c>
      <c r="AG787">
        <v>2.4</v>
      </c>
      <c r="AH787">
        <v>3</v>
      </c>
      <c r="AI787">
        <v>-1</v>
      </c>
      <c r="AJ787" t="s">
        <v>3</v>
      </c>
      <c r="AK787">
        <v>0</v>
      </c>
      <c r="AL787">
        <v>0</v>
      </c>
      <c r="AM787">
        <v>0</v>
      </c>
      <c r="AN787">
        <v>0</v>
      </c>
      <c r="AO787">
        <v>0</v>
      </c>
      <c r="AP787">
        <v>0</v>
      </c>
      <c r="AQ787">
        <v>0</v>
      </c>
      <c r="AR787">
        <v>0</v>
      </c>
    </row>
    <row r="788" spans="1:44" x14ac:dyDescent="0.2">
      <c r="A788">
        <f>ROW(Source!A815)</f>
        <v>815</v>
      </c>
      <c r="B788">
        <v>1472515696</v>
      </c>
      <c r="C788">
        <v>1472500047</v>
      </c>
      <c r="D788">
        <v>1441836235</v>
      </c>
      <c r="E788">
        <v>1</v>
      </c>
      <c r="F788">
        <v>1</v>
      </c>
      <c r="G788">
        <v>15514512</v>
      </c>
      <c r="H788">
        <v>3</v>
      </c>
      <c r="I788" t="s">
        <v>912</v>
      </c>
      <c r="J788" t="s">
        <v>913</v>
      </c>
      <c r="K788" t="s">
        <v>914</v>
      </c>
      <c r="L788">
        <v>1346</v>
      </c>
      <c r="N788">
        <v>1009</v>
      </c>
      <c r="O788" t="s">
        <v>898</v>
      </c>
      <c r="P788" t="s">
        <v>898</v>
      </c>
      <c r="Q788">
        <v>1</v>
      </c>
      <c r="X788">
        <v>0.01</v>
      </c>
      <c r="Y788">
        <v>31.49</v>
      </c>
      <c r="Z788">
        <v>0</v>
      </c>
      <c r="AA788">
        <v>0</v>
      </c>
      <c r="AB788">
        <v>0</v>
      </c>
      <c r="AC788">
        <v>0</v>
      </c>
      <c r="AD788">
        <v>1</v>
      </c>
      <c r="AE788">
        <v>0</v>
      </c>
      <c r="AF788" t="s">
        <v>697</v>
      </c>
      <c r="AG788">
        <v>0.16</v>
      </c>
      <c r="AH788">
        <v>3</v>
      </c>
      <c r="AI788">
        <v>-1</v>
      </c>
      <c r="AJ788" t="s">
        <v>3</v>
      </c>
      <c r="AK788">
        <v>0</v>
      </c>
      <c r="AL788">
        <v>0</v>
      </c>
      <c r="AM788">
        <v>0</v>
      </c>
      <c r="AN788">
        <v>0</v>
      </c>
      <c r="AO788">
        <v>0</v>
      </c>
      <c r="AP788">
        <v>0</v>
      </c>
      <c r="AQ788">
        <v>0</v>
      </c>
      <c r="AR788">
        <v>0</v>
      </c>
    </row>
    <row r="789" spans="1:44" x14ac:dyDescent="0.2">
      <c r="A789">
        <f>ROW(Source!A815)</f>
        <v>815</v>
      </c>
      <c r="B789">
        <v>1472515695</v>
      </c>
      <c r="C789">
        <v>1472500047</v>
      </c>
      <c r="D789">
        <v>1441822228</v>
      </c>
      <c r="E789">
        <v>15514512</v>
      </c>
      <c r="F789">
        <v>1</v>
      </c>
      <c r="G789">
        <v>15514512</v>
      </c>
      <c r="H789">
        <v>3</v>
      </c>
      <c r="I789" t="s">
        <v>956</v>
      </c>
      <c r="J789" t="s">
        <v>3</v>
      </c>
      <c r="K789" t="s">
        <v>958</v>
      </c>
      <c r="L789">
        <v>1346</v>
      </c>
      <c r="N789">
        <v>1009</v>
      </c>
      <c r="O789" t="s">
        <v>898</v>
      </c>
      <c r="P789" t="s">
        <v>898</v>
      </c>
      <c r="Q789">
        <v>1</v>
      </c>
      <c r="X789">
        <v>0.01</v>
      </c>
      <c r="Y789">
        <v>73.951729999999998</v>
      </c>
      <c r="Z789">
        <v>0</v>
      </c>
      <c r="AA789">
        <v>0</v>
      </c>
      <c r="AB789">
        <v>0</v>
      </c>
      <c r="AC789">
        <v>0</v>
      </c>
      <c r="AD789">
        <v>1</v>
      </c>
      <c r="AE789">
        <v>0</v>
      </c>
      <c r="AF789" t="s">
        <v>697</v>
      </c>
      <c r="AG789">
        <v>0.16</v>
      </c>
      <c r="AH789">
        <v>3</v>
      </c>
      <c r="AI789">
        <v>-1</v>
      </c>
      <c r="AJ789" t="s">
        <v>3</v>
      </c>
      <c r="AK789">
        <v>0</v>
      </c>
      <c r="AL789">
        <v>0</v>
      </c>
      <c r="AM789">
        <v>0</v>
      </c>
      <c r="AN789">
        <v>0</v>
      </c>
      <c r="AO789">
        <v>0</v>
      </c>
      <c r="AP789">
        <v>0</v>
      </c>
      <c r="AQ789">
        <v>0</v>
      </c>
      <c r="AR789">
        <v>0</v>
      </c>
    </row>
    <row r="790" spans="1:44" x14ac:dyDescent="0.2">
      <c r="A790">
        <f>ROW(Source!A816)</f>
        <v>816</v>
      </c>
      <c r="B790">
        <v>1472515767</v>
      </c>
      <c r="C790">
        <v>1472500069</v>
      </c>
      <c r="D790">
        <v>1441819193</v>
      </c>
      <c r="E790">
        <v>15514512</v>
      </c>
      <c r="F790">
        <v>1</v>
      </c>
      <c r="G790">
        <v>15514512</v>
      </c>
      <c r="H790">
        <v>1</v>
      </c>
      <c r="I790" t="s">
        <v>885</v>
      </c>
      <c r="J790" t="s">
        <v>3</v>
      </c>
      <c r="K790" t="s">
        <v>886</v>
      </c>
      <c r="L790">
        <v>1191</v>
      </c>
      <c r="N790">
        <v>1013</v>
      </c>
      <c r="O790" t="s">
        <v>887</v>
      </c>
      <c r="P790" t="s">
        <v>887</v>
      </c>
      <c r="Q790">
        <v>1</v>
      </c>
      <c r="X790">
        <v>6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1</v>
      </c>
      <c r="AE790">
        <v>1</v>
      </c>
      <c r="AF790" t="s">
        <v>3</v>
      </c>
      <c r="AG790">
        <v>6</v>
      </c>
      <c r="AH790">
        <v>3</v>
      </c>
      <c r="AI790">
        <v>-1</v>
      </c>
      <c r="AJ790" t="s">
        <v>3</v>
      </c>
      <c r="AK790">
        <v>0</v>
      </c>
      <c r="AL790">
        <v>0</v>
      </c>
      <c r="AM790">
        <v>0</v>
      </c>
      <c r="AN790">
        <v>0</v>
      </c>
      <c r="AO790">
        <v>0</v>
      </c>
      <c r="AP790">
        <v>0</v>
      </c>
      <c r="AQ790">
        <v>0</v>
      </c>
      <c r="AR790">
        <v>0</v>
      </c>
    </row>
    <row r="791" spans="1:44" x14ac:dyDescent="0.2">
      <c r="A791">
        <f>ROW(Source!A816)</f>
        <v>816</v>
      </c>
      <c r="B791">
        <v>1472515770</v>
      </c>
      <c r="C791">
        <v>1472500069</v>
      </c>
      <c r="D791">
        <v>1441836237</v>
      </c>
      <c r="E791">
        <v>1</v>
      </c>
      <c r="F791">
        <v>1</v>
      </c>
      <c r="G791">
        <v>15514512</v>
      </c>
      <c r="H791">
        <v>3</v>
      </c>
      <c r="I791" t="s">
        <v>1045</v>
      </c>
      <c r="J791" t="s">
        <v>1046</v>
      </c>
      <c r="K791" t="s">
        <v>1047</v>
      </c>
      <c r="L791">
        <v>1346</v>
      </c>
      <c r="N791">
        <v>1009</v>
      </c>
      <c r="O791" t="s">
        <v>898</v>
      </c>
      <c r="P791" t="s">
        <v>898</v>
      </c>
      <c r="Q791">
        <v>1</v>
      </c>
      <c r="X791">
        <v>0.12</v>
      </c>
      <c r="Y791">
        <v>375.16</v>
      </c>
      <c r="Z791">
        <v>0</v>
      </c>
      <c r="AA791">
        <v>0</v>
      </c>
      <c r="AB791">
        <v>0</v>
      </c>
      <c r="AC791">
        <v>0</v>
      </c>
      <c r="AD791">
        <v>1</v>
      </c>
      <c r="AE791">
        <v>0</v>
      </c>
      <c r="AF791" t="s">
        <v>3</v>
      </c>
      <c r="AG791">
        <v>0.12</v>
      </c>
      <c r="AH791">
        <v>3</v>
      </c>
      <c r="AI791">
        <v>-1</v>
      </c>
      <c r="AJ791" t="s">
        <v>3</v>
      </c>
      <c r="AK791">
        <v>0</v>
      </c>
      <c r="AL791">
        <v>0</v>
      </c>
      <c r="AM791">
        <v>0</v>
      </c>
      <c r="AN791">
        <v>0</v>
      </c>
      <c r="AO791">
        <v>0</v>
      </c>
      <c r="AP791">
        <v>0</v>
      </c>
      <c r="AQ791">
        <v>0</v>
      </c>
      <c r="AR791">
        <v>0</v>
      </c>
    </row>
    <row r="792" spans="1:44" x14ac:dyDescent="0.2">
      <c r="A792">
        <f>ROW(Source!A816)</f>
        <v>816</v>
      </c>
      <c r="B792">
        <v>1472515771</v>
      </c>
      <c r="C792">
        <v>1472500069</v>
      </c>
      <c r="D792">
        <v>1441836235</v>
      </c>
      <c r="E792">
        <v>1</v>
      </c>
      <c r="F792">
        <v>1</v>
      </c>
      <c r="G792">
        <v>15514512</v>
      </c>
      <c r="H792">
        <v>3</v>
      </c>
      <c r="I792" t="s">
        <v>912</v>
      </c>
      <c r="J792" t="s">
        <v>913</v>
      </c>
      <c r="K792" t="s">
        <v>914</v>
      </c>
      <c r="L792">
        <v>1346</v>
      </c>
      <c r="N792">
        <v>1009</v>
      </c>
      <c r="O792" t="s">
        <v>898</v>
      </c>
      <c r="P792" t="s">
        <v>898</v>
      </c>
      <c r="Q792">
        <v>1</v>
      </c>
      <c r="X792">
        <v>0.04</v>
      </c>
      <c r="Y792">
        <v>31.49</v>
      </c>
      <c r="Z792">
        <v>0</v>
      </c>
      <c r="AA792">
        <v>0</v>
      </c>
      <c r="AB792">
        <v>0</v>
      </c>
      <c r="AC792">
        <v>0</v>
      </c>
      <c r="AD792">
        <v>1</v>
      </c>
      <c r="AE792">
        <v>0</v>
      </c>
      <c r="AF792" t="s">
        <v>3</v>
      </c>
      <c r="AG792">
        <v>0.04</v>
      </c>
      <c r="AH792">
        <v>3</v>
      </c>
      <c r="AI792">
        <v>-1</v>
      </c>
      <c r="AJ792" t="s">
        <v>3</v>
      </c>
      <c r="AK792">
        <v>0</v>
      </c>
      <c r="AL792">
        <v>0</v>
      </c>
      <c r="AM792">
        <v>0</v>
      </c>
      <c r="AN792">
        <v>0</v>
      </c>
      <c r="AO792">
        <v>0</v>
      </c>
      <c r="AP792">
        <v>0</v>
      </c>
      <c r="AQ792">
        <v>0</v>
      </c>
      <c r="AR792">
        <v>0</v>
      </c>
    </row>
    <row r="793" spans="1:44" x14ac:dyDescent="0.2">
      <c r="A793">
        <f>ROW(Source!A816)</f>
        <v>816</v>
      </c>
      <c r="B793">
        <v>1472515769</v>
      </c>
      <c r="C793">
        <v>1472500069</v>
      </c>
      <c r="D793">
        <v>1441822228</v>
      </c>
      <c r="E793">
        <v>15514512</v>
      </c>
      <c r="F793">
        <v>1</v>
      </c>
      <c r="G793">
        <v>15514512</v>
      </c>
      <c r="H793">
        <v>3</v>
      </c>
      <c r="I793" t="s">
        <v>956</v>
      </c>
      <c r="J793" t="s">
        <v>3</v>
      </c>
      <c r="K793" t="s">
        <v>958</v>
      </c>
      <c r="L793">
        <v>1346</v>
      </c>
      <c r="N793">
        <v>1009</v>
      </c>
      <c r="O793" t="s">
        <v>898</v>
      </c>
      <c r="P793" t="s">
        <v>898</v>
      </c>
      <c r="Q793">
        <v>1</v>
      </c>
      <c r="X793">
        <v>0.09</v>
      </c>
      <c r="Y793">
        <v>73.951729999999998</v>
      </c>
      <c r="Z793">
        <v>0</v>
      </c>
      <c r="AA793">
        <v>0</v>
      </c>
      <c r="AB793">
        <v>0</v>
      </c>
      <c r="AC793">
        <v>0</v>
      </c>
      <c r="AD793">
        <v>1</v>
      </c>
      <c r="AE793">
        <v>0</v>
      </c>
      <c r="AF793" t="s">
        <v>3</v>
      </c>
      <c r="AG793">
        <v>0.09</v>
      </c>
      <c r="AH793">
        <v>3</v>
      </c>
      <c r="AI793">
        <v>-1</v>
      </c>
      <c r="AJ793" t="s">
        <v>3</v>
      </c>
      <c r="AK793">
        <v>0</v>
      </c>
      <c r="AL793">
        <v>0</v>
      </c>
      <c r="AM793">
        <v>0</v>
      </c>
      <c r="AN793">
        <v>0</v>
      </c>
      <c r="AO793">
        <v>0</v>
      </c>
      <c r="AP793">
        <v>0</v>
      </c>
      <c r="AQ793">
        <v>0</v>
      </c>
      <c r="AR793">
        <v>0</v>
      </c>
    </row>
    <row r="794" spans="1:44" x14ac:dyDescent="0.2">
      <c r="A794">
        <f>ROW(Source!A816)</f>
        <v>816</v>
      </c>
      <c r="B794">
        <v>1472515772</v>
      </c>
      <c r="C794">
        <v>1472500069</v>
      </c>
      <c r="D794">
        <v>1441834920</v>
      </c>
      <c r="E794">
        <v>1</v>
      </c>
      <c r="F794">
        <v>1</v>
      </c>
      <c r="G794">
        <v>15514512</v>
      </c>
      <c r="H794">
        <v>3</v>
      </c>
      <c r="I794" t="s">
        <v>1048</v>
      </c>
      <c r="J794" t="s">
        <v>1049</v>
      </c>
      <c r="K794" t="s">
        <v>1050</v>
      </c>
      <c r="L794">
        <v>1346</v>
      </c>
      <c r="N794">
        <v>1009</v>
      </c>
      <c r="O794" t="s">
        <v>898</v>
      </c>
      <c r="P794" t="s">
        <v>898</v>
      </c>
      <c r="Q794">
        <v>1</v>
      </c>
      <c r="X794">
        <v>0.02</v>
      </c>
      <c r="Y794">
        <v>106.87</v>
      </c>
      <c r="Z794">
        <v>0</v>
      </c>
      <c r="AA794">
        <v>0</v>
      </c>
      <c r="AB794">
        <v>0</v>
      </c>
      <c r="AC794">
        <v>0</v>
      </c>
      <c r="AD794">
        <v>1</v>
      </c>
      <c r="AE794">
        <v>0</v>
      </c>
      <c r="AF794" t="s">
        <v>3</v>
      </c>
      <c r="AG794">
        <v>0.02</v>
      </c>
      <c r="AH794">
        <v>3</v>
      </c>
      <c r="AI794">
        <v>-1</v>
      </c>
      <c r="AJ794" t="s">
        <v>3</v>
      </c>
      <c r="AK794">
        <v>0</v>
      </c>
      <c r="AL794">
        <v>0</v>
      </c>
      <c r="AM794">
        <v>0</v>
      </c>
      <c r="AN794">
        <v>0</v>
      </c>
      <c r="AO794">
        <v>0</v>
      </c>
      <c r="AP794">
        <v>0</v>
      </c>
      <c r="AQ794">
        <v>0</v>
      </c>
      <c r="AR794">
        <v>0</v>
      </c>
    </row>
    <row r="795" spans="1:44" x14ac:dyDescent="0.2">
      <c r="A795">
        <f>ROW(Source!A817)</f>
        <v>817</v>
      </c>
      <c r="B795">
        <v>1472515786</v>
      </c>
      <c r="C795">
        <v>1472500092</v>
      </c>
      <c r="D795">
        <v>1441819193</v>
      </c>
      <c r="E795">
        <v>15514512</v>
      </c>
      <c r="F795">
        <v>1</v>
      </c>
      <c r="G795">
        <v>15514512</v>
      </c>
      <c r="H795">
        <v>1</v>
      </c>
      <c r="I795" t="s">
        <v>885</v>
      </c>
      <c r="J795" t="s">
        <v>3</v>
      </c>
      <c r="K795" t="s">
        <v>886</v>
      </c>
      <c r="L795">
        <v>1191</v>
      </c>
      <c r="N795">
        <v>1013</v>
      </c>
      <c r="O795" t="s">
        <v>887</v>
      </c>
      <c r="P795" t="s">
        <v>887</v>
      </c>
      <c r="Q795">
        <v>1</v>
      </c>
      <c r="X795">
        <v>0.2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1</v>
      </c>
      <c r="AE795">
        <v>1</v>
      </c>
      <c r="AF795" t="s">
        <v>697</v>
      </c>
      <c r="AG795">
        <v>3.2</v>
      </c>
      <c r="AH795">
        <v>3</v>
      </c>
      <c r="AI795">
        <v>-1</v>
      </c>
      <c r="AJ795" t="s">
        <v>3</v>
      </c>
      <c r="AK795">
        <v>0</v>
      </c>
      <c r="AL795">
        <v>0</v>
      </c>
      <c r="AM795">
        <v>0</v>
      </c>
      <c r="AN795">
        <v>0</v>
      </c>
      <c r="AO795">
        <v>0</v>
      </c>
      <c r="AP795">
        <v>0</v>
      </c>
      <c r="AQ795">
        <v>0</v>
      </c>
      <c r="AR795">
        <v>0</v>
      </c>
    </row>
    <row r="796" spans="1:44" x14ac:dyDescent="0.2">
      <c r="A796">
        <f>ROW(Source!A817)</f>
        <v>817</v>
      </c>
      <c r="B796">
        <v>1472515788</v>
      </c>
      <c r="C796">
        <v>1472500092</v>
      </c>
      <c r="D796">
        <v>1441836235</v>
      </c>
      <c r="E796">
        <v>1</v>
      </c>
      <c r="F796">
        <v>1</v>
      </c>
      <c r="G796">
        <v>15514512</v>
      </c>
      <c r="H796">
        <v>3</v>
      </c>
      <c r="I796" t="s">
        <v>912</v>
      </c>
      <c r="J796" t="s">
        <v>913</v>
      </c>
      <c r="K796" t="s">
        <v>914</v>
      </c>
      <c r="L796">
        <v>1346</v>
      </c>
      <c r="N796">
        <v>1009</v>
      </c>
      <c r="O796" t="s">
        <v>898</v>
      </c>
      <c r="P796" t="s">
        <v>898</v>
      </c>
      <c r="Q796">
        <v>1</v>
      </c>
      <c r="X796">
        <v>0.01</v>
      </c>
      <c r="Y796">
        <v>31.49</v>
      </c>
      <c r="Z796">
        <v>0</v>
      </c>
      <c r="AA796">
        <v>0</v>
      </c>
      <c r="AB796">
        <v>0</v>
      </c>
      <c r="AC796">
        <v>0</v>
      </c>
      <c r="AD796">
        <v>1</v>
      </c>
      <c r="AE796">
        <v>0</v>
      </c>
      <c r="AF796" t="s">
        <v>697</v>
      </c>
      <c r="AG796">
        <v>0.16</v>
      </c>
      <c r="AH796">
        <v>3</v>
      </c>
      <c r="AI796">
        <v>-1</v>
      </c>
      <c r="AJ796" t="s">
        <v>3</v>
      </c>
      <c r="AK796">
        <v>0</v>
      </c>
      <c r="AL796">
        <v>0</v>
      </c>
      <c r="AM796">
        <v>0</v>
      </c>
      <c r="AN796">
        <v>0</v>
      </c>
      <c r="AO796">
        <v>0</v>
      </c>
      <c r="AP796">
        <v>0</v>
      </c>
      <c r="AQ796">
        <v>0</v>
      </c>
      <c r="AR796">
        <v>0</v>
      </c>
    </row>
    <row r="797" spans="1:44" x14ac:dyDescent="0.2">
      <c r="A797">
        <f>ROW(Source!A817)</f>
        <v>817</v>
      </c>
      <c r="B797">
        <v>1472515787</v>
      </c>
      <c r="C797">
        <v>1472500092</v>
      </c>
      <c r="D797">
        <v>1441822228</v>
      </c>
      <c r="E797">
        <v>15514512</v>
      </c>
      <c r="F797">
        <v>1</v>
      </c>
      <c r="G797">
        <v>15514512</v>
      </c>
      <c r="H797">
        <v>3</v>
      </c>
      <c r="I797" t="s">
        <v>956</v>
      </c>
      <c r="J797" t="s">
        <v>3</v>
      </c>
      <c r="K797" t="s">
        <v>958</v>
      </c>
      <c r="L797">
        <v>1346</v>
      </c>
      <c r="N797">
        <v>1009</v>
      </c>
      <c r="O797" t="s">
        <v>898</v>
      </c>
      <c r="P797" t="s">
        <v>898</v>
      </c>
      <c r="Q797">
        <v>1</v>
      </c>
      <c r="X797">
        <v>0.01</v>
      </c>
      <c r="Y797">
        <v>73.951729999999998</v>
      </c>
      <c r="Z797">
        <v>0</v>
      </c>
      <c r="AA797">
        <v>0</v>
      </c>
      <c r="AB797">
        <v>0</v>
      </c>
      <c r="AC797">
        <v>0</v>
      </c>
      <c r="AD797">
        <v>1</v>
      </c>
      <c r="AE797">
        <v>0</v>
      </c>
      <c r="AF797" t="s">
        <v>697</v>
      </c>
      <c r="AG797">
        <v>0.16</v>
      </c>
      <c r="AH797">
        <v>3</v>
      </c>
      <c r="AI797">
        <v>-1</v>
      </c>
      <c r="AJ797" t="s">
        <v>3</v>
      </c>
      <c r="AK797">
        <v>0</v>
      </c>
      <c r="AL797">
        <v>0</v>
      </c>
      <c r="AM797">
        <v>0</v>
      </c>
      <c r="AN797">
        <v>0</v>
      </c>
      <c r="AO797">
        <v>0</v>
      </c>
      <c r="AP797">
        <v>0</v>
      </c>
      <c r="AQ797">
        <v>0</v>
      </c>
      <c r="AR797">
        <v>0</v>
      </c>
    </row>
    <row r="798" spans="1:44" x14ac:dyDescent="0.2">
      <c r="A798">
        <f>ROW(Source!A818)</f>
        <v>818</v>
      </c>
      <c r="B798">
        <v>1472515789</v>
      </c>
      <c r="C798">
        <v>1472500112</v>
      </c>
      <c r="D798">
        <v>1441819193</v>
      </c>
      <c r="E798">
        <v>15514512</v>
      </c>
      <c r="F798">
        <v>1</v>
      </c>
      <c r="G798">
        <v>15514512</v>
      </c>
      <c r="H798">
        <v>1</v>
      </c>
      <c r="I798" t="s">
        <v>885</v>
      </c>
      <c r="J798" t="s">
        <v>3</v>
      </c>
      <c r="K798" t="s">
        <v>886</v>
      </c>
      <c r="L798">
        <v>1191</v>
      </c>
      <c r="N798">
        <v>1013</v>
      </c>
      <c r="O798" t="s">
        <v>887</v>
      </c>
      <c r="P798" t="s">
        <v>887</v>
      </c>
      <c r="Q798">
        <v>1</v>
      </c>
      <c r="X798">
        <v>7.5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1</v>
      </c>
      <c r="AE798">
        <v>1</v>
      </c>
      <c r="AF798" t="s">
        <v>3</v>
      </c>
      <c r="AG798">
        <v>7.5</v>
      </c>
      <c r="AH798">
        <v>3</v>
      </c>
      <c r="AI798">
        <v>-1</v>
      </c>
      <c r="AJ798" t="s">
        <v>3</v>
      </c>
      <c r="AK798">
        <v>0</v>
      </c>
      <c r="AL798">
        <v>0</v>
      </c>
      <c r="AM798">
        <v>0</v>
      </c>
      <c r="AN798">
        <v>0</v>
      </c>
      <c r="AO798">
        <v>0</v>
      </c>
      <c r="AP798">
        <v>0</v>
      </c>
      <c r="AQ798">
        <v>0</v>
      </c>
      <c r="AR798">
        <v>0</v>
      </c>
    </row>
    <row r="799" spans="1:44" x14ac:dyDescent="0.2">
      <c r="A799">
        <f>ROW(Source!A818)</f>
        <v>818</v>
      </c>
      <c r="B799">
        <v>1472515791</v>
      </c>
      <c r="C799">
        <v>1472500112</v>
      </c>
      <c r="D799">
        <v>1441836237</v>
      </c>
      <c r="E799">
        <v>1</v>
      </c>
      <c r="F799">
        <v>1</v>
      </c>
      <c r="G799">
        <v>15514512</v>
      </c>
      <c r="H799">
        <v>3</v>
      </c>
      <c r="I799" t="s">
        <v>1045</v>
      </c>
      <c r="J799" t="s">
        <v>1046</v>
      </c>
      <c r="K799" t="s">
        <v>1047</v>
      </c>
      <c r="L799">
        <v>1346</v>
      </c>
      <c r="N799">
        <v>1009</v>
      </c>
      <c r="O799" t="s">
        <v>898</v>
      </c>
      <c r="P799" t="s">
        <v>898</v>
      </c>
      <c r="Q799">
        <v>1</v>
      </c>
      <c r="X799">
        <v>0.15</v>
      </c>
      <c r="Y799">
        <v>375.16</v>
      </c>
      <c r="Z799">
        <v>0</v>
      </c>
      <c r="AA799">
        <v>0</v>
      </c>
      <c r="AB799">
        <v>0</v>
      </c>
      <c r="AC799">
        <v>0</v>
      </c>
      <c r="AD799">
        <v>1</v>
      </c>
      <c r="AE799">
        <v>0</v>
      </c>
      <c r="AF799" t="s">
        <v>3</v>
      </c>
      <c r="AG799">
        <v>0.15</v>
      </c>
      <c r="AH799">
        <v>3</v>
      </c>
      <c r="AI799">
        <v>-1</v>
      </c>
      <c r="AJ799" t="s">
        <v>3</v>
      </c>
      <c r="AK799">
        <v>0</v>
      </c>
      <c r="AL799">
        <v>0</v>
      </c>
      <c r="AM799">
        <v>0</v>
      </c>
      <c r="AN799">
        <v>0</v>
      </c>
      <c r="AO799">
        <v>0</v>
      </c>
      <c r="AP799">
        <v>0</v>
      </c>
      <c r="AQ799">
        <v>0</v>
      </c>
      <c r="AR799">
        <v>0</v>
      </c>
    </row>
    <row r="800" spans="1:44" x14ac:dyDescent="0.2">
      <c r="A800">
        <f>ROW(Source!A818)</f>
        <v>818</v>
      </c>
      <c r="B800">
        <v>1472515792</v>
      </c>
      <c r="C800">
        <v>1472500112</v>
      </c>
      <c r="D800">
        <v>1441836235</v>
      </c>
      <c r="E800">
        <v>1</v>
      </c>
      <c r="F800">
        <v>1</v>
      </c>
      <c r="G800">
        <v>15514512</v>
      </c>
      <c r="H800">
        <v>3</v>
      </c>
      <c r="I800" t="s">
        <v>912</v>
      </c>
      <c r="J800" t="s">
        <v>913</v>
      </c>
      <c r="K800" t="s">
        <v>914</v>
      </c>
      <c r="L800">
        <v>1346</v>
      </c>
      <c r="N800">
        <v>1009</v>
      </c>
      <c r="O800" t="s">
        <v>898</v>
      </c>
      <c r="P800" t="s">
        <v>898</v>
      </c>
      <c r="Q800">
        <v>1</v>
      </c>
      <c r="X800">
        <v>0.05</v>
      </c>
      <c r="Y800">
        <v>31.49</v>
      </c>
      <c r="Z800">
        <v>0</v>
      </c>
      <c r="AA800">
        <v>0</v>
      </c>
      <c r="AB800">
        <v>0</v>
      </c>
      <c r="AC800">
        <v>0</v>
      </c>
      <c r="AD800">
        <v>1</v>
      </c>
      <c r="AE800">
        <v>0</v>
      </c>
      <c r="AF800" t="s">
        <v>3</v>
      </c>
      <c r="AG800">
        <v>0.05</v>
      </c>
      <c r="AH800">
        <v>3</v>
      </c>
      <c r="AI800">
        <v>-1</v>
      </c>
      <c r="AJ800" t="s">
        <v>3</v>
      </c>
      <c r="AK800">
        <v>0</v>
      </c>
      <c r="AL800">
        <v>0</v>
      </c>
      <c r="AM800">
        <v>0</v>
      </c>
      <c r="AN800">
        <v>0</v>
      </c>
      <c r="AO800">
        <v>0</v>
      </c>
      <c r="AP800">
        <v>0</v>
      </c>
      <c r="AQ800">
        <v>0</v>
      </c>
      <c r="AR800">
        <v>0</v>
      </c>
    </row>
    <row r="801" spans="1:44" x14ac:dyDescent="0.2">
      <c r="A801">
        <f>ROW(Source!A818)</f>
        <v>818</v>
      </c>
      <c r="B801">
        <v>1472515790</v>
      </c>
      <c r="C801">
        <v>1472500112</v>
      </c>
      <c r="D801">
        <v>1441822228</v>
      </c>
      <c r="E801">
        <v>15514512</v>
      </c>
      <c r="F801">
        <v>1</v>
      </c>
      <c r="G801">
        <v>15514512</v>
      </c>
      <c r="H801">
        <v>3</v>
      </c>
      <c r="I801" t="s">
        <v>956</v>
      </c>
      <c r="J801" t="s">
        <v>3</v>
      </c>
      <c r="K801" t="s">
        <v>958</v>
      </c>
      <c r="L801">
        <v>1346</v>
      </c>
      <c r="N801">
        <v>1009</v>
      </c>
      <c r="O801" t="s">
        <v>898</v>
      </c>
      <c r="P801" t="s">
        <v>898</v>
      </c>
      <c r="Q801">
        <v>1</v>
      </c>
      <c r="X801">
        <v>0.11</v>
      </c>
      <c r="Y801">
        <v>73.951729999999998</v>
      </c>
      <c r="Z801">
        <v>0</v>
      </c>
      <c r="AA801">
        <v>0</v>
      </c>
      <c r="AB801">
        <v>0</v>
      </c>
      <c r="AC801">
        <v>0</v>
      </c>
      <c r="AD801">
        <v>1</v>
      </c>
      <c r="AE801">
        <v>0</v>
      </c>
      <c r="AF801" t="s">
        <v>3</v>
      </c>
      <c r="AG801">
        <v>0.11</v>
      </c>
      <c r="AH801">
        <v>3</v>
      </c>
      <c r="AI801">
        <v>-1</v>
      </c>
      <c r="AJ801" t="s">
        <v>3</v>
      </c>
      <c r="AK801">
        <v>0</v>
      </c>
      <c r="AL801">
        <v>0</v>
      </c>
      <c r="AM801">
        <v>0</v>
      </c>
      <c r="AN801">
        <v>0</v>
      </c>
      <c r="AO801">
        <v>0</v>
      </c>
      <c r="AP801">
        <v>0</v>
      </c>
      <c r="AQ801">
        <v>0</v>
      </c>
      <c r="AR801">
        <v>0</v>
      </c>
    </row>
    <row r="802" spans="1:44" x14ac:dyDescent="0.2">
      <c r="A802">
        <f>ROW(Source!A818)</f>
        <v>818</v>
      </c>
      <c r="B802">
        <v>1472515793</v>
      </c>
      <c r="C802">
        <v>1472500112</v>
      </c>
      <c r="D802">
        <v>1441834920</v>
      </c>
      <c r="E802">
        <v>1</v>
      </c>
      <c r="F802">
        <v>1</v>
      </c>
      <c r="G802">
        <v>15514512</v>
      </c>
      <c r="H802">
        <v>3</v>
      </c>
      <c r="I802" t="s">
        <v>1048</v>
      </c>
      <c r="J802" t="s">
        <v>1049</v>
      </c>
      <c r="K802" t="s">
        <v>1050</v>
      </c>
      <c r="L802">
        <v>1346</v>
      </c>
      <c r="N802">
        <v>1009</v>
      </c>
      <c r="O802" t="s">
        <v>898</v>
      </c>
      <c r="P802" t="s">
        <v>898</v>
      </c>
      <c r="Q802">
        <v>1</v>
      </c>
      <c r="X802">
        <v>0.03</v>
      </c>
      <c r="Y802">
        <v>106.87</v>
      </c>
      <c r="Z802">
        <v>0</v>
      </c>
      <c r="AA802">
        <v>0</v>
      </c>
      <c r="AB802">
        <v>0</v>
      </c>
      <c r="AC802">
        <v>0</v>
      </c>
      <c r="AD802">
        <v>1</v>
      </c>
      <c r="AE802">
        <v>0</v>
      </c>
      <c r="AF802" t="s">
        <v>3</v>
      </c>
      <c r="AG802">
        <v>0.03</v>
      </c>
      <c r="AH802">
        <v>3</v>
      </c>
      <c r="AI802">
        <v>-1</v>
      </c>
      <c r="AJ802" t="s">
        <v>3</v>
      </c>
      <c r="AK802">
        <v>0</v>
      </c>
      <c r="AL802">
        <v>0</v>
      </c>
      <c r="AM802">
        <v>0</v>
      </c>
      <c r="AN802">
        <v>0</v>
      </c>
      <c r="AO802">
        <v>0</v>
      </c>
      <c r="AP802">
        <v>0</v>
      </c>
      <c r="AQ802">
        <v>0</v>
      </c>
      <c r="AR802">
        <v>0</v>
      </c>
    </row>
    <row r="803" spans="1:44" x14ac:dyDescent="0.2">
      <c r="A803">
        <f>ROW(Source!A819)</f>
        <v>819</v>
      </c>
      <c r="B803">
        <v>1472515794</v>
      </c>
      <c r="C803">
        <v>1472500136</v>
      </c>
      <c r="D803">
        <v>1441819193</v>
      </c>
      <c r="E803">
        <v>15514512</v>
      </c>
      <c r="F803">
        <v>1</v>
      </c>
      <c r="G803">
        <v>15514512</v>
      </c>
      <c r="H803">
        <v>1</v>
      </c>
      <c r="I803" t="s">
        <v>885</v>
      </c>
      <c r="J803" t="s">
        <v>3</v>
      </c>
      <c r="K803" t="s">
        <v>886</v>
      </c>
      <c r="L803">
        <v>1191</v>
      </c>
      <c r="N803">
        <v>1013</v>
      </c>
      <c r="O803" t="s">
        <v>887</v>
      </c>
      <c r="P803" t="s">
        <v>887</v>
      </c>
      <c r="Q803">
        <v>1</v>
      </c>
      <c r="X803">
        <v>0.25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1</v>
      </c>
      <c r="AE803">
        <v>1</v>
      </c>
      <c r="AF803" t="s">
        <v>697</v>
      </c>
      <c r="AG803">
        <v>4</v>
      </c>
      <c r="AH803">
        <v>3</v>
      </c>
      <c r="AI803">
        <v>-1</v>
      </c>
      <c r="AJ803" t="s">
        <v>3</v>
      </c>
      <c r="AK803">
        <v>0</v>
      </c>
      <c r="AL803">
        <v>0</v>
      </c>
      <c r="AM803">
        <v>0</v>
      </c>
      <c r="AN803">
        <v>0</v>
      </c>
      <c r="AO803">
        <v>0</v>
      </c>
      <c r="AP803">
        <v>0</v>
      </c>
      <c r="AQ803">
        <v>0</v>
      </c>
      <c r="AR803">
        <v>0</v>
      </c>
    </row>
    <row r="804" spans="1:44" x14ac:dyDescent="0.2">
      <c r="A804">
        <f>ROW(Source!A819)</f>
        <v>819</v>
      </c>
      <c r="B804">
        <v>1472515796</v>
      </c>
      <c r="C804">
        <v>1472500136</v>
      </c>
      <c r="D804">
        <v>1441836235</v>
      </c>
      <c r="E804">
        <v>1</v>
      </c>
      <c r="F804">
        <v>1</v>
      </c>
      <c r="G804">
        <v>15514512</v>
      </c>
      <c r="H804">
        <v>3</v>
      </c>
      <c r="I804" t="s">
        <v>912</v>
      </c>
      <c r="J804" t="s">
        <v>913</v>
      </c>
      <c r="K804" t="s">
        <v>914</v>
      </c>
      <c r="L804">
        <v>1346</v>
      </c>
      <c r="N804">
        <v>1009</v>
      </c>
      <c r="O804" t="s">
        <v>898</v>
      </c>
      <c r="P804" t="s">
        <v>898</v>
      </c>
      <c r="Q804">
        <v>1</v>
      </c>
      <c r="X804">
        <v>0.01</v>
      </c>
      <c r="Y804">
        <v>31.49</v>
      </c>
      <c r="Z804">
        <v>0</v>
      </c>
      <c r="AA804">
        <v>0</v>
      </c>
      <c r="AB804">
        <v>0</v>
      </c>
      <c r="AC804">
        <v>0</v>
      </c>
      <c r="AD804">
        <v>1</v>
      </c>
      <c r="AE804">
        <v>0</v>
      </c>
      <c r="AF804" t="s">
        <v>697</v>
      </c>
      <c r="AG804">
        <v>0.16</v>
      </c>
      <c r="AH804">
        <v>3</v>
      </c>
      <c r="AI804">
        <v>-1</v>
      </c>
      <c r="AJ804" t="s">
        <v>3</v>
      </c>
      <c r="AK804">
        <v>0</v>
      </c>
      <c r="AL804">
        <v>0</v>
      </c>
      <c r="AM804">
        <v>0</v>
      </c>
      <c r="AN804">
        <v>0</v>
      </c>
      <c r="AO804">
        <v>0</v>
      </c>
      <c r="AP804">
        <v>0</v>
      </c>
      <c r="AQ804">
        <v>0</v>
      </c>
      <c r="AR804">
        <v>0</v>
      </c>
    </row>
    <row r="805" spans="1:44" x14ac:dyDescent="0.2">
      <c r="A805">
        <f>ROW(Source!A819)</f>
        <v>819</v>
      </c>
      <c r="B805">
        <v>1472515795</v>
      </c>
      <c r="C805">
        <v>1472500136</v>
      </c>
      <c r="D805">
        <v>1441822228</v>
      </c>
      <c r="E805">
        <v>15514512</v>
      </c>
      <c r="F805">
        <v>1</v>
      </c>
      <c r="G805">
        <v>15514512</v>
      </c>
      <c r="H805">
        <v>3</v>
      </c>
      <c r="I805" t="s">
        <v>956</v>
      </c>
      <c r="J805" t="s">
        <v>3</v>
      </c>
      <c r="K805" t="s">
        <v>958</v>
      </c>
      <c r="L805">
        <v>1346</v>
      </c>
      <c r="N805">
        <v>1009</v>
      </c>
      <c r="O805" t="s">
        <v>898</v>
      </c>
      <c r="P805" t="s">
        <v>898</v>
      </c>
      <c r="Q805">
        <v>1</v>
      </c>
      <c r="X805">
        <v>0.01</v>
      </c>
      <c r="Y805">
        <v>73.951729999999998</v>
      </c>
      <c r="Z805">
        <v>0</v>
      </c>
      <c r="AA805">
        <v>0</v>
      </c>
      <c r="AB805">
        <v>0</v>
      </c>
      <c r="AC805">
        <v>0</v>
      </c>
      <c r="AD805">
        <v>1</v>
      </c>
      <c r="AE805">
        <v>0</v>
      </c>
      <c r="AF805" t="s">
        <v>697</v>
      </c>
      <c r="AG805">
        <v>0.16</v>
      </c>
      <c r="AH805">
        <v>3</v>
      </c>
      <c r="AI805">
        <v>-1</v>
      </c>
      <c r="AJ805" t="s">
        <v>3</v>
      </c>
      <c r="AK805">
        <v>0</v>
      </c>
      <c r="AL805">
        <v>0</v>
      </c>
      <c r="AM805">
        <v>0</v>
      </c>
      <c r="AN805">
        <v>0</v>
      </c>
      <c r="AO805">
        <v>0</v>
      </c>
      <c r="AP805">
        <v>0</v>
      </c>
      <c r="AQ805">
        <v>0</v>
      </c>
      <c r="AR805">
        <v>0</v>
      </c>
    </row>
    <row r="806" spans="1:44" x14ac:dyDescent="0.2">
      <c r="A806">
        <f>ROW(Source!A820)</f>
        <v>820</v>
      </c>
      <c r="B806">
        <v>1472515797</v>
      </c>
      <c r="C806">
        <v>1472500161</v>
      </c>
      <c r="D806">
        <v>1441819193</v>
      </c>
      <c r="E806">
        <v>15514512</v>
      </c>
      <c r="F806">
        <v>1</v>
      </c>
      <c r="G806">
        <v>15514512</v>
      </c>
      <c r="H806">
        <v>1</v>
      </c>
      <c r="I806" t="s">
        <v>885</v>
      </c>
      <c r="J806" t="s">
        <v>3</v>
      </c>
      <c r="K806" t="s">
        <v>886</v>
      </c>
      <c r="L806">
        <v>1191</v>
      </c>
      <c r="N806">
        <v>1013</v>
      </c>
      <c r="O806" t="s">
        <v>887</v>
      </c>
      <c r="P806" t="s">
        <v>887</v>
      </c>
      <c r="Q806">
        <v>1</v>
      </c>
      <c r="X806">
        <v>9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1</v>
      </c>
      <c r="AE806">
        <v>1</v>
      </c>
      <c r="AF806" t="s">
        <v>3</v>
      </c>
      <c r="AG806">
        <v>9</v>
      </c>
      <c r="AH806">
        <v>3</v>
      </c>
      <c r="AI806">
        <v>-1</v>
      </c>
      <c r="AJ806" t="s">
        <v>3</v>
      </c>
      <c r="AK806">
        <v>0</v>
      </c>
      <c r="AL806">
        <v>0</v>
      </c>
      <c r="AM806">
        <v>0</v>
      </c>
      <c r="AN806">
        <v>0</v>
      </c>
      <c r="AO806">
        <v>0</v>
      </c>
      <c r="AP806">
        <v>0</v>
      </c>
      <c r="AQ806">
        <v>0</v>
      </c>
      <c r="AR806">
        <v>0</v>
      </c>
    </row>
    <row r="807" spans="1:44" x14ac:dyDescent="0.2">
      <c r="A807">
        <f>ROW(Source!A820)</f>
        <v>820</v>
      </c>
      <c r="B807">
        <v>1472515799</v>
      </c>
      <c r="C807">
        <v>1472500161</v>
      </c>
      <c r="D807">
        <v>1441836237</v>
      </c>
      <c r="E807">
        <v>1</v>
      </c>
      <c r="F807">
        <v>1</v>
      </c>
      <c r="G807">
        <v>15514512</v>
      </c>
      <c r="H807">
        <v>3</v>
      </c>
      <c r="I807" t="s">
        <v>1045</v>
      </c>
      <c r="J807" t="s">
        <v>1046</v>
      </c>
      <c r="K807" t="s">
        <v>1047</v>
      </c>
      <c r="L807">
        <v>1346</v>
      </c>
      <c r="N807">
        <v>1009</v>
      </c>
      <c r="O807" t="s">
        <v>898</v>
      </c>
      <c r="P807" t="s">
        <v>898</v>
      </c>
      <c r="Q807">
        <v>1</v>
      </c>
      <c r="X807">
        <v>0.18</v>
      </c>
      <c r="Y807">
        <v>375.16</v>
      </c>
      <c r="Z807">
        <v>0</v>
      </c>
      <c r="AA807">
        <v>0</v>
      </c>
      <c r="AB807">
        <v>0</v>
      </c>
      <c r="AC807">
        <v>0</v>
      </c>
      <c r="AD807">
        <v>1</v>
      </c>
      <c r="AE807">
        <v>0</v>
      </c>
      <c r="AF807" t="s">
        <v>3</v>
      </c>
      <c r="AG807">
        <v>0.18</v>
      </c>
      <c r="AH807">
        <v>3</v>
      </c>
      <c r="AI807">
        <v>-1</v>
      </c>
      <c r="AJ807" t="s">
        <v>3</v>
      </c>
      <c r="AK807">
        <v>0</v>
      </c>
      <c r="AL807">
        <v>0</v>
      </c>
      <c r="AM807">
        <v>0</v>
      </c>
      <c r="AN807">
        <v>0</v>
      </c>
      <c r="AO807">
        <v>0</v>
      </c>
      <c r="AP807">
        <v>0</v>
      </c>
      <c r="AQ807">
        <v>0</v>
      </c>
      <c r="AR807">
        <v>0</v>
      </c>
    </row>
    <row r="808" spans="1:44" x14ac:dyDescent="0.2">
      <c r="A808">
        <f>ROW(Source!A820)</f>
        <v>820</v>
      </c>
      <c r="B808">
        <v>1472515800</v>
      </c>
      <c r="C808">
        <v>1472500161</v>
      </c>
      <c r="D808">
        <v>1441836235</v>
      </c>
      <c r="E808">
        <v>1</v>
      </c>
      <c r="F808">
        <v>1</v>
      </c>
      <c r="G808">
        <v>15514512</v>
      </c>
      <c r="H808">
        <v>3</v>
      </c>
      <c r="I808" t="s">
        <v>912</v>
      </c>
      <c r="J808" t="s">
        <v>913</v>
      </c>
      <c r="K808" t="s">
        <v>914</v>
      </c>
      <c r="L808">
        <v>1346</v>
      </c>
      <c r="N808">
        <v>1009</v>
      </c>
      <c r="O808" t="s">
        <v>898</v>
      </c>
      <c r="P808" t="s">
        <v>898</v>
      </c>
      <c r="Q808">
        <v>1</v>
      </c>
      <c r="X808">
        <v>0.05</v>
      </c>
      <c r="Y808">
        <v>31.49</v>
      </c>
      <c r="Z808">
        <v>0</v>
      </c>
      <c r="AA808">
        <v>0</v>
      </c>
      <c r="AB808">
        <v>0</v>
      </c>
      <c r="AC808">
        <v>0</v>
      </c>
      <c r="AD808">
        <v>1</v>
      </c>
      <c r="AE808">
        <v>0</v>
      </c>
      <c r="AF808" t="s">
        <v>3</v>
      </c>
      <c r="AG808">
        <v>0.05</v>
      </c>
      <c r="AH808">
        <v>3</v>
      </c>
      <c r="AI808">
        <v>-1</v>
      </c>
      <c r="AJ808" t="s">
        <v>3</v>
      </c>
      <c r="AK808">
        <v>0</v>
      </c>
      <c r="AL808">
        <v>0</v>
      </c>
      <c r="AM808">
        <v>0</v>
      </c>
      <c r="AN808">
        <v>0</v>
      </c>
      <c r="AO808">
        <v>0</v>
      </c>
      <c r="AP808">
        <v>0</v>
      </c>
      <c r="AQ808">
        <v>0</v>
      </c>
      <c r="AR808">
        <v>0</v>
      </c>
    </row>
    <row r="809" spans="1:44" x14ac:dyDescent="0.2">
      <c r="A809">
        <f>ROW(Source!A820)</f>
        <v>820</v>
      </c>
      <c r="B809">
        <v>1472515798</v>
      </c>
      <c r="C809">
        <v>1472500161</v>
      </c>
      <c r="D809">
        <v>1441822228</v>
      </c>
      <c r="E809">
        <v>15514512</v>
      </c>
      <c r="F809">
        <v>1</v>
      </c>
      <c r="G809">
        <v>15514512</v>
      </c>
      <c r="H809">
        <v>3</v>
      </c>
      <c r="I809" t="s">
        <v>956</v>
      </c>
      <c r="J809" t="s">
        <v>3</v>
      </c>
      <c r="K809" t="s">
        <v>958</v>
      </c>
      <c r="L809">
        <v>1346</v>
      </c>
      <c r="N809">
        <v>1009</v>
      </c>
      <c r="O809" t="s">
        <v>898</v>
      </c>
      <c r="P809" t="s">
        <v>898</v>
      </c>
      <c r="Q809">
        <v>1</v>
      </c>
      <c r="X809">
        <v>0.14000000000000001</v>
      </c>
      <c r="Y809">
        <v>73.951729999999998</v>
      </c>
      <c r="Z809">
        <v>0</v>
      </c>
      <c r="AA809">
        <v>0</v>
      </c>
      <c r="AB809">
        <v>0</v>
      </c>
      <c r="AC809">
        <v>0</v>
      </c>
      <c r="AD809">
        <v>1</v>
      </c>
      <c r="AE809">
        <v>0</v>
      </c>
      <c r="AF809" t="s">
        <v>3</v>
      </c>
      <c r="AG809">
        <v>0.14000000000000001</v>
      </c>
      <c r="AH809">
        <v>3</v>
      </c>
      <c r="AI809">
        <v>-1</v>
      </c>
      <c r="AJ809" t="s">
        <v>3</v>
      </c>
      <c r="AK809">
        <v>0</v>
      </c>
      <c r="AL809">
        <v>0</v>
      </c>
      <c r="AM809">
        <v>0</v>
      </c>
      <c r="AN809">
        <v>0</v>
      </c>
      <c r="AO809">
        <v>0</v>
      </c>
      <c r="AP809">
        <v>0</v>
      </c>
      <c r="AQ809">
        <v>0</v>
      </c>
      <c r="AR809">
        <v>0</v>
      </c>
    </row>
    <row r="810" spans="1:44" x14ac:dyDescent="0.2">
      <c r="A810">
        <f>ROW(Source!A820)</f>
        <v>820</v>
      </c>
      <c r="B810">
        <v>1472515801</v>
      </c>
      <c r="C810">
        <v>1472500161</v>
      </c>
      <c r="D810">
        <v>1441834920</v>
      </c>
      <c r="E810">
        <v>1</v>
      </c>
      <c r="F810">
        <v>1</v>
      </c>
      <c r="G810">
        <v>15514512</v>
      </c>
      <c r="H810">
        <v>3</v>
      </c>
      <c r="I810" t="s">
        <v>1048</v>
      </c>
      <c r="J810" t="s">
        <v>1049</v>
      </c>
      <c r="K810" t="s">
        <v>1050</v>
      </c>
      <c r="L810">
        <v>1346</v>
      </c>
      <c r="N810">
        <v>1009</v>
      </c>
      <c r="O810" t="s">
        <v>898</v>
      </c>
      <c r="P810" t="s">
        <v>898</v>
      </c>
      <c r="Q810">
        <v>1</v>
      </c>
      <c r="X810">
        <v>0.04</v>
      </c>
      <c r="Y810">
        <v>106.87</v>
      </c>
      <c r="Z810">
        <v>0</v>
      </c>
      <c r="AA810">
        <v>0</v>
      </c>
      <c r="AB810">
        <v>0</v>
      </c>
      <c r="AC810">
        <v>0</v>
      </c>
      <c r="AD810">
        <v>1</v>
      </c>
      <c r="AE810">
        <v>0</v>
      </c>
      <c r="AF810" t="s">
        <v>3</v>
      </c>
      <c r="AG810">
        <v>0.04</v>
      </c>
      <c r="AH810">
        <v>3</v>
      </c>
      <c r="AI810">
        <v>-1</v>
      </c>
      <c r="AJ810" t="s">
        <v>3</v>
      </c>
      <c r="AK810">
        <v>0</v>
      </c>
      <c r="AL810">
        <v>0</v>
      </c>
      <c r="AM810">
        <v>0</v>
      </c>
      <c r="AN810">
        <v>0</v>
      </c>
      <c r="AO810">
        <v>0</v>
      </c>
      <c r="AP810">
        <v>0</v>
      </c>
      <c r="AQ810">
        <v>0</v>
      </c>
      <c r="AR810">
        <v>0</v>
      </c>
    </row>
    <row r="811" spans="1:44" x14ac:dyDescent="0.2">
      <c r="A811">
        <f>ROW(Source!A821)</f>
        <v>821</v>
      </c>
      <c r="B811">
        <v>1472515803</v>
      </c>
      <c r="C811">
        <v>1472500197</v>
      </c>
      <c r="D811">
        <v>1441819193</v>
      </c>
      <c r="E811">
        <v>15514512</v>
      </c>
      <c r="F811">
        <v>1</v>
      </c>
      <c r="G811">
        <v>15514512</v>
      </c>
      <c r="H811">
        <v>1</v>
      </c>
      <c r="I811" t="s">
        <v>885</v>
      </c>
      <c r="J811" t="s">
        <v>3</v>
      </c>
      <c r="K811" t="s">
        <v>886</v>
      </c>
      <c r="L811">
        <v>1191</v>
      </c>
      <c r="N811">
        <v>1013</v>
      </c>
      <c r="O811" t="s">
        <v>887</v>
      </c>
      <c r="P811" t="s">
        <v>887</v>
      </c>
      <c r="Q811">
        <v>1</v>
      </c>
      <c r="X811">
        <v>0.3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1</v>
      </c>
      <c r="AE811">
        <v>1</v>
      </c>
      <c r="AF811" t="s">
        <v>697</v>
      </c>
      <c r="AG811">
        <v>4.8</v>
      </c>
      <c r="AH811">
        <v>3</v>
      </c>
      <c r="AI811">
        <v>-1</v>
      </c>
      <c r="AJ811" t="s">
        <v>3</v>
      </c>
      <c r="AK811">
        <v>0</v>
      </c>
      <c r="AL811">
        <v>0</v>
      </c>
      <c r="AM811">
        <v>0</v>
      </c>
      <c r="AN811">
        <v>0</v>
      </c>
      <c r="AO811">
        <v>0</v>
      </c>
      <c r="AP811">
        <v>0</v>
      </c>
      <c r="AQ811">
        <v>0</v>
      </c>
      <c r="AR811">
        <v>0</v>
      </c>
    </row>
    <row r="812" spans="1:44" x14ac:dyDescent="0.2">
      <c r="A812">
        <f>ROW(Source!A821)</f>
        <v>821</v>
      </c>
      <c r="B812">
        <v>1472515805</v>
      </c>
      <c r="C812">
        <v>1472500197</v>
      </c>
      <c r="D812">
        <v>1441836235</v>
      </c>
      <c r="E812">
        <v>1</v>
      </c>
      <c r="F812">
        <v>1</v>
      </c>
      <c r="G812">
        <v>15514512</v>
      </c>
      <c r="H812">
        <v>3</v>
      </c>
      <c r="I812" t="s">
        <v>912</v>
      </c>
      <c r="J812" t="s">
        <v>913</v>
      </c>
      <c r="K812" t="s">
        <v>914</v>
      </c>
      <c r="L812">
        <v>1346</v>
      </c>
      <c r="N812">
        <v>1009</v>
      </c>
      <c r="O812" t="s">
        <v>898</v>
      </c>
      <c r="P812" t="s">
        <v>898</v>
      </c>
      <c r="Q812">
        <v>1</v>
      </c>
      <c r="X812">
        <v>0.01</v>
      </c>
      <c r="Y812">
        <v>31.49</v>
      </c>
      <c r="Z812">
        <v>0</v>
      </c>
      <c r="AA812">
        <v>0</v>
      </c>
      <c r="AB812">
        <v>0</v>
      </c>
      <c r="AC812">
        <v>0</v>
      </c>
      <c r="AD812">
        <v>1</v>
      </c>
      <c r="AE812">
        <v>0</v>
      </c>
      <c r="AF812" t="s">
        <v>697</v>
      </c>
      <c r="AG812">
        <v>0.16</v>
      </c>
      <c r="AH812">
        <v>3</v>
      </c>
      <c r="AI812">
        <v>-1</v>
      </c>
      <c r="AJ812" t="s">
        <v>3</v>
      </c>
      <c r="AK812">
        <v>0</v>
      </c>
      <c r="AL812">
        <v>0</v>
      </c>
      <c r="AM812">
        <v>0</v>
      </c>
      <c r="AN812">
        <v>0</v>
      </c>
      <c r="AO812">
        <v>0</v>
      </c>
      <c r="AP812">
        <v>0</v>
      </c>
      <c r="AQ812">
        <v>0</v>
      </c>
      <c r="AR812">
        <v>0</v>
      </c>
    </row>
    <row r="813" spans="1:44" x14ac:dyDescent="0.2">
      <c r="A813">
        <f>ROW(Source!A821)</f>
        <v>821</v>
      </c>
      <c r="B813">
        <v>1472515804</v>
      </c>
      <c r="C813">
        <v>1472500197</v>
      </c>
      <c r="D813">
        <v>1441822228</v>
      </c>
      <c r="E813">
        <v>15514512</v>
      </c>
      <c r="F813">
        <v>1</v>
      </c>
      <c r="G813">
        <v>15514512</v>
      </c>
      <c r="H813">
        <v>3</v>
      </c>
      <c r="I813" t="s">
        <v>956</v>
      </c>
      <c r="J813" t="s">
        <v>3</v>
      </c>
      <c r="K813" t="s">
        <v>958</v>
      </c>
      <c r="L813">
        <v>1346</v>
      </c>
      <c r="N813">
        <v>1009</v>
      </c>
      <c r="O813" t="s">
        <v>898</v>
      </c>
      <c r="P813" t="s">
        <v>898</v>
      </c>
      <c r="Q813">
        <v>1</v>
      </c>
      <c r="X813">
        <v>0.01</v>
      </c>
      <c r="Y813">
        <v>73.951729999999998</v>
      </c>
      <c r="Z813">
        <v>0</v>
      </c>
      <c r="AA813">
        <v>0</v>
      </c>
      <c r="AB813">
        <v>0</v>
      </c>
      <c r="AC813">
        <v>0</v>
      </c>
      <c r="AD813">
        <v>1</v>
      </c>
      <c r="AE813">
        <v>0</v>
      </c>
      <c r="AF813" t="s">
        <v>697</v>
      </c>
      <c r="AG813">
        <v>0.16</v>
      </c>
      <c r="AH813">
        <v>3</v>
      </c>
      <c r="AI813">
        <v>-1</v>
      </c>
      <c r="AJ813" t="s">
        <v>3</v>
      </c>
      <c r="AK813">
        <v>0</v>
      </c>
      <c r="AL813">
        <v>0</v>
      </c>
      <c r="AM813">
        <v>0</v>
      </c>
      <c r="AN813">
        <v>0</v>
      </c>
      <c r="AO813">
        <v>0</v>
      </c>
      <c r="AP813">
        <v>0</v>
      </c>
      <c r="AQ813">
        <v>0</v>
      </c>
      <c r="AR813">
        <v>0</v>
      </c>
    </row>
    <row r="814" spans="1:44" x14ac:dyDescent="0.2">
      <c r="A814">
        <f>ROW(Source!A822)</f>
        <v>822</v>
      </c>
      <c r="B814">
        <v>1472515806</v>
      </c>
      <c r="C814">
        <v>1472500230</v>
      </c>
      <c r="D814">
        <v>1441819193</v>
      </c>
      <c r="E814">
        <v>15514512</v>
      </c>
      <c r="F814">
        <v>1</v>
      </c>
      <c r="G814">
        <v>15514512</v>
      </c>
      <c r="H814">
        <v>1</v>
      </c>
      <c r="I814" t="s">
        <v>885</v>
      </c>
      <c r="J814" t="s">
        <v>3</v>
      </c>
      <c r="K814" t="s">
        <v>886</v>
      </c>
      <c r="L814">
        <v>1191</v>
      </c>
      <c r="N814">
        <v>1013</v>
      </c>
      <c r="O814" t="s">
        <v>887</v>
      </c>
      <c r="P814" t="s">
        <v>887</v>
      </c>
      <c r="Q814">
        <v>1</v>
      </c>
      <c r="X814">
        <v>9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1</v>
      </c>
      <c r="AE814">
        <v>1</v>
      </c>
      <c r="AF814" t="s">
        <v>3</v>
      </c>
      <c r="AG814">
        <v>9</v>
      </c>
      <c r="AH814">
        <v>3</v>
      </c>
      <c r="AI814">
        <v>-1</v>
      </c>
      <c r="AJ814" t="s">
        <v>3</v>
      </c>
      <c r="AK814">
        <v>0</v>
      </c>
      <c r="AL814">
        <v>0</v>
      </c>
      <c r="AM814">
        <v>0</v>
      </c>
      <c r="AN814">
        <v>0</v>
      </c>
      <c r="AO814">
        <v>0</v>
      </c>
      <c r="AP814">
        <v>0</v>
      </c>
      <c r="AQ814">
        <v>0</v>
      </c>
      <c r="AR814">
        <v>0</v>
      </c>
    </row>
    <row r="815" spans="1:44" x14ac:dyDescent="0.2">
      <c r="A815">
        <f>ROW(Source!A822)</f>
        <v>822</v>
      </c>
      <c r="B815">
        <v>1472515808</v>
      </c>
      <c r="C815">
        <v>1472500230</v>
      </c>
      <c r="D815">
        <v>1441836237</v>
      </c>
      <c r="E815">
        <v>1</v>
      </c>
      <c r="F815">
        <v>1</v>
      </c>
      <c r="G815">
        <v>15514512</v>
      </c>
      <c r="H815">
        <v>3</v>
      </c>
      <c r="I815" t="s">
        <v>1045</v>
      </c>
      <c r="J815" t="s">
        <v>1046</v>
      </c>
      <c r="K815" t="s">
        <v>1047</v>
      </c>
      <c r="L815">
        <v>1346</v>
      </c>
      <c r="N815">
        <v>1009</v>
      </c>
      <c r="O815" t="s">
        <v>898</v>
      </c>
      <c r="P815" t="s">
        <v>898</v>
      </c>
      <c r="Q815">
        <v>1</v>
      </c>
      <c r="X815">
        <v>0.18</v>
      </c>
      <c r="Y815">
        <v>375.16</v>
      </c>
      <c r="Z815">
        <v>0</v>
      </c>
      <c r="AA815">
        <v>0</v>
      </c>
      <c r="AB815">
        <v>0</v>
      </c>
      <c r="AC815">
        <v>0</v>
      </c>
      <c r="AD815">
        <v>1</v>
      </c>
      <c r="AE815">
        <v>0</v>
      </c>
      <c r="AF815" t="s">
        <v>3</v>
      </c>
      <c r="AG815">
        <v>0.18</v>
      </c>
      <c r="AH815">
        <v>3</v>
      </c>
      <c r="AI815">
        <v>-1</v>
      </c>
      <c r="AJ815" t="s">
        <v>3</v>
      </c>
      <c r="AK815">
        <v>0</v>
      </c>
      <c r="AL815">
        <v>0</v>
      </c>
      <c r="AM815">
        <v>0</v>
      </c>
      <c r="AN815">
        <v>0</v>
      </c>
      <c r="AO815">
        <v>0</v>
      </c>
      <c r="AP815">
        <v>0</v>
      </c>
      <c r="AQ815">
        <v>0</v>
      </c>
      <c r="AR815">
        <v>0</v>
      </c>
    </row>
    <row r="816" spans="1:44" x14ac:dyDescent="0.2">
      <c r="A816">
        <f>ROW(Source!A822)</f>
        <v>822</v>
      </c>
      <c r="B816">
        <v>1472515809</v>
      </c>
      <c r="C816">
        <v>1472500230</v>
      </c>
      <c r="D816">
        <v>1441836235</v>
      </c>
      <c r="E816">
        <v>1</v>
      </c>
      <c r="F816">
        <v>1</v>
      </c>
      <c r="G816">
        <v>15514512</v>
      </c>
      <c r="H816">
        <v>3</v>
      </c>
      <c r="I816" t="s">
        <v>912</v>
      </c>
      <c r="J816" t="s">
        <v>913</v>
      </c>
      <c r="K816" t="s">
        <v>914</v>
      </c>
      <c r="L816">
        <v>1346</v>
      </c>
      <c r="N816">
        <v>1009</v>
      </c>
      <c r="O816" t="s">
        <v>898</v>
      </c>
      <c r="P816" t="s">
        <v>898</v>
      </c>
      <c r="Q816">
        <v>1</v>
      </c>
      <c r="X816">
        <v>0.05</v>
      </c>
      <c r="Y816">
        <v>31.49</v>
      </c>
      <c r="Z816">
        <v>0</v>
      </c>
      <c r="AA816">
        <v>0</v>
      </c>
      <c r="AB816">
        <v>0</v>
      </c>
      <c r="AC816">
        <v>0</v>
      </c>
      <c r="AD816">
        <v>1</v>
      </c>
      <c r="AE816">
        <v>0</v>
      </c>
      <c r="AF816" t="s">
        <v>3</v>
      </c>
      <c r="AG816">
        <v>0.05</v>
      </c>
      <c r="AH816">
        <v>3</v>
      </c>
      <c r="AI816">
        <v>-1</v>
      </c>
      <c r="AJ816" t="s">
        <v>3</v>
      </c>
      <c r="AK816">
        <v>0</v>
      </c>
      <c r="AL816">
        <v>0</v>
      </c>
      <c r="AM816">
        <v>0</v>
      </c>
      <c r="AN816">
        <v>0</v>
      </c>
      <c r="AO816">
        <v>0</v>
      </c>
      <c r="AP816">
        <v>0</v>
      </c>
      <c r="AQ816">
        <v>0</v>
      </c>
      <c r="AR816">
        <v>0</v>
      </c>
    </row>
    <row r="817" spans="1:44" x14ac:dyDescent="0.2">
      <c r="A817">
        <f>ROW(Source!A822)</f>
        <v>822</v>
      </c>
      <c r="B817">
        <v>1472515807</v>
      </c>
      <c r="C817">
        <v>1472500230</v>
      </c>
      <c r="D817">
        <v>1441822228</v>
      </c>
      <c r="E817">
        <v>15514512</v>
      </c>
      <c r="F817">
        <v>1</v>
      </c>
      <c r="G817">
        <v>15514512</v>
      </c>
      <c r="H817">
        <v>3</v>
      </c>
      <c r="I817" t="s">
        <v>956</v>
      </c>
      <c r="J817" t="s">
        <v>3</v>
      </c>
      <c r="K817" t="s">
        <v>958</v>
      </c>
      <c r="L817">
        <v>1346</v>
      </c>
      <c r="N817">
        <v>1009</v>
      </c>
      <c r="O817" t="s">
        <v>898</v>
      </c>
      <c r="P817" t="s">
        <v>898</v>
      </c>
      <c r="Q817">
        <v>1</v>
      </c>
      <c r="X817">
        <v>0.05</v>
      </c>
      <c r="Y817">
        <v>73.951729999999998</v>
      </c>
      <c r="Z817">
        <v>0</v>
      </c>
      <c r="AA817">
        <v>0</v>
      </c>
      <c r="AB817">
        <v>0</v>
      </c>
      <c r="AC817">
        <v>0</v>
      </c>
      <c r="AD817">
        <v>1</v>
      </c>
      <c r="AE817">
        <v>0</v>
      </c>
      <c r="AF817" t="s">
        <v>3</v>
      </c>
      <c r="AG817">
        <v>0.05</v>
      </c>
      <c r="AH817">
        <v>3</v>
      </c>
      <c r="AI817">
        <v>-1</v>
      </c>
      <c r="AJ817" t="s">
        <v>3</v>
      </c>
      <c r="AK817">
        <v>0</v>
      </c>
      <c r="AL817">
        <v>0</v>
      </c>
      <c r="AM817">
        <v>0</v>
      </c>
      <c r="AN817">
        <v>0</v>
      </c>
      <c r="AO817">
        <v>0</v>
      </c>
      <c r="AP817">
        <v>0</v>
      </c>
      <c r="AQ817">
        <v>0</v>
      </c>
      <c r="AR817">
        <v>0</v>
      </c>
    </row>
    <row r="818" spans="1:44" x14ac:dyDescent="0.2">
      <c r="A818">
        <f>ROW(Source!A822)</f>
        <v>822</v>
      </c>
      <c r="B818">
        <v>1472515810</v>
      </c>
      <c r="C818">
        <v>1472500230</v>
      </c>
      <c r="D818">
        <v>1441834920</v>
      </c>
      <c r="E818">
        <v>1</v>
      </c>
      <c r="F818">
        <v>1</v>
      </c>
      <c r="G818">
        <v>15514512</v>
      </c>
      <c r="H818">
        <v>3</v>
      </c>
      <c r="I818" t="s">
        <v>1048</v>
      </c>
      <c r="J818" t="s">
        <v>1049</v>
      </c>
      <c r="K818" t="s">
        <v>1050</v>
      </c>
      <c r="L818">
        <v>1346</v>
      </c>
      <c r="N818">
        <v>1009</v>
      </c>
      <c r="O818" t="s">
        <v>898</v>
      </c>
      <c r="P818" t="s">
        <v>898</v>
      </c>
      <c r="Q818">
        <v>1</v>
      </c>
      <c r="X818">
        <v>0.04</v>
      </c>
      <c r="Y818">
        <v>106.87</v>
      </c>
      <c r="Z818">
        <v>0</v>
      </c>
      <c r="AA818">
        <v>0</v>
      </c>
      <c r="AB818">
        <v>0</v>
      </c>
      <c r="AC818">
        <v>0</v>
      </c>
      <c r="AD818">
        <v>1</v>
      </c>
      <c r="AE818">
        <v>0</v>
      </c>
      <c r="AF818" t="s">
        <v>3</v>
      </c>
      <c r="AG818">
        <v>0.04</v>
      </c>
      <c r="AH818">
        <v>3</v>
      </c>
      <c r="AI818">
        <v>-1</v>
      </c>
      <c r="AJ818" t="s">
        <v>3</v>
      </c>
      <c r="AK818">
        <v>0</v>
      </c>
      <c r="AL818">
        <v>0</v>
      </c>
      <c r="AM818">
        <v>0</v>
      </c>
      <c r="AN818">
        <v>0</v>
      </c>
      <c r="AO818">
        <v>0</v>
      </c>
      <c r="AP818">
        <v>0</v>
      </c>
      <c r="AQ818">
        <v>0</v>
      </c>
      <c r="AR818">
        <v>0</v>
      </c>
    </row>
    <row r="819" spans="1:44" x14ac:dyDescent="0.2">
      <c r="A819">
        <f>ROW(Source!A823)</f>
        <v>823</v>
      </c>
      <c r="B819">
        <v>1472515832</v>
      </c>
      <c r="C819">
        <v>1472500247</v>
      </c>
      <c r="D819">
        <v>1441819193</v>
      </c>
      <c r="E819">
        <v>15514512</v>
      </c>
      <c r="F819">
        <v>1</v>
      </c>
      <c r="G819">
        <v>15514512</v>
      </c>
      <c r="H819">
        <v>1</v>
      </c>
      <c r="I819" t="s">
        <v>885</v>
      </c>
      <c r="J819" t="s">
        <v>3</v>
      </c>
      <c r="K819" t="s">
        <v>886</v>
      </c>
      <c r="L819">
        <v>1191</v>
      </c>
      <c r="N819">
        <v>1013</v>
      </c>
      <c r="O819" t="s">
        <v>887</v>
      </c>
      <c r="P819" t="s">
        <v>887</v>
      </c>
      <c r="Q819">
        <v>1</v>
      </c>
      <c r="X819">
        <v>0.3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1</v>
      </c>
      <c r="AE819">
        <v>1</v>
      </c>
      <c r="AF819" t="s">
        <v>697</v>
      </c>
      <c r="AG819">
        <v>4.8</v>
      </c>
      <c r="AH819">
        <v>3</v>
      </c>
      <c r="AI819">
        <v>-1</v>
      </c>
      <c r="AJ819" t="s">
        <v>3</v>
      </c>
      <c r="AK819">
        <v>0</v>
      </c>
      <c r="AL819">
        <v>0</v>
      </c>
      <c r="AM819">
        <v>0</v>
      </c>
      <c r="AN819">
        <v>0</v>
      </c>
      <c r="AO819">
        <v>0</v>
      </c>
      <c r="AP819">
        <v>0</v>
      </c>
      <c r="AQ819">
        <v>0</v>
      </c>
      <c r="AR819">
        <v>0</v>
      </c>
    </row>
    <row r="820" spans="1:44" x14ac:dyDescent="0.2">
      <c r="A820">
        <f>ROW(Source!A824)</f>
        <v>824</v>
      </c>
      <c r="B820">
        <v>1472515834</v>
      </c>
      <c r="C820">
        <v>1472500257</v>
      </c>
      <c r="D820">
        <v>1441819193</v>
      </c>
      <c r="E820">
        <v>15514512</v>
      </c>
      <c r="F820">
        <v>1</v>
      </c>
      <c r="G820">
        <v>15514512</v>
      </c>
      <c r="H820">
        <v>1</v>
      </c>
      <c r="I820" t="s">
        <v>885</v>
      </c>
      <c r="J820" t="s">
        <v>3</v>
      </c>
      <c r="K820" t="s">
        <v>886</v>
      </c>
      <c r="L820">
        <v>1191</v>
      </c>
      <c r="N820">
        <v>1013</v>
      </c>
      <c r="O820" t="s">
        <v>887</v>
      </c>
      <c r="P820" t="s">
        <v>887</v>
      </c>
      <c r="Q820">
        <v>1</v>
      </c>
      <c r="X820">
        <v>12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1</v>
      </c>
      <c r="AE820">
        <v>1</v>
      </c>
      <c r="AF820" t="s">
        <v>3</v>
      </c>
      <c r="AG820">
        <v>12</v>
      </c>
      <c r="AH820">
        <v>3</v>
      </c>
      <c r="AI820">
        <v>-1</v>
      </c>
      <c r="AJ820" t="s">
        <v>3</v>
      </c>
      <c r="AK820">
        <v>0</v>
      </c>
      <c r="AL820">
        <v>0</v>
      </c>
      <c r="AM820">
        <v>0</v>
      </c>
      <c r="AN820">
        <v>0</v>
      </c>
      <c r="AO820">
        <v>0</v>
      </c>
      <c r="AP820">
        <v>0</v>
      </c>
      <c r="AQ820">
        <v>0</v>
      </c>
      <c r="AR820">
        <v>0</v>
      </c>
    </row>
    <row r="821" spans="1:44" x14ac:dyDescent="0.2">
      <c r="A821">
        <f>ROW(Source!A824)</f>
        <v>824</v>
      </c>
      <c r="B821">
        <v>1472515836</v>
      </c>
      <c r="C821">
        <v>1472500257</v>
      </c>
      <c r="D821">
        <v>1441836237</v>
      </c>
      <c r="E821">
        <v>1</v>
      </c>
      <c r="F821">
        <v>1</v>
      </c>
      <c r="G821">
        <v>15514512</v>
      </c>
      <c r="H821">
        <v>3</v>
      </c>
      <c r="I821" t="s">
        <v>1045</v>
      </c>
      <c r="J821" t="s">
        <v>1046</v>
      </c>
      <c r="K821" t="s">
        <v>1047</v>
      </c>
      <c r="L821">
        <v>1346</v>
      </c>
      <c r="N821">
        <v>1009</v>
      </c>
      <c r="O821" t="s">
        <v>898</v>
      </c>
      <c r="P821" t="s">
        <v>898</v>
      </c>
      <c r="Q821">
        <v>1</v>
      </c>
      <c r="X821">
        <v>0.24</v>
      </c>
      <c r="Y821">
        <v>375.16</v>
      </c>
      <c r="Z821">
        <v>0</v>
      </c>
      <c r="AA821">
        <v>0</v>
      </c>
      <c r="AB821">
        <v>0</v>
      </c>
      <c r="AC821">
        <v>0</v>
      </c>
      <c r="AD821">
        <v>1</v>
      </c>
      <c r="AE821">
        <v>0</v>
      </c>
      <c r="AF821" t="s">
        <v>3</v>
      </c>
      <c r="AG821">
        <v>0.24</v>
      </c>
      <c r="AH821">
        <v>3</v>
      </c>
      <c r="AI821">
        <v>-1</v>
      </c>
      <c r="AJ821" t="s">
        <v>3</v>
      </c>
      <c r="AK821">
        <v>0</v>
      </c>
      <c r="AL821">
        <v>0</v>
      </c>
      <c r="AM821">
        <v>0</v>
      </c>
      <c r="AN821">
        <v>0</v>
      </c>
      <c r="AO821">
        <v>0</v>
      </c>
      <c r="AP821">
        <v>0</v>
      </c>
      <c r="AQ821">
        <v>0</v>
      </c>
      <c r="AR821">
        <v>0</v>
      </c>
    </row>
    <row r="822" spans="1:44" x14ac:dyDescent="0.2">
      <c r="A822">
        <f>ROW(Source!A824)</f>
        <v>824</v>
      </c>
      <c r="B822">
        <v>1472515837</v>
      </c>
      <c r="C822">
        <v>1472500257</v>
      </c>
      <c r="D822">
        <v>1441836235</v>
      </c>
      <c r="E822">
        <v>1</v>
      </c>
      <c r="F822">
        <v>1</v>
      </c>
      <c r="G822">
        <v>15514512</v>
      </c>
      <c r="H822">
        <v>3</v>
      </c>
      <c r="I822" t="s">
        <v>912</v>
      </c>
      <c r="J822" t="s">
        <v>913</v>
      </c>
      <c r="K822" t="s">
        <v>914</v>
      </c>
      <c r="L822">
        <v>1346</v>
      </c>
      <c r="N822">
        <v>1009</v>
      </c>
      <c r="O822" t="s">
        <v>898</v>
      </c>
      <c r="P822" t="s">
        <v>898</v>
      </c>
      <c r="Q822">
        <v>1</v>
      </c>
      <c r="X822">
        <v>7.0000000000000007E-2</v>
      </c>
      <c r="Y822">
        <v>31.49</v>
      </c>
      <c r="Z822">
        <v>0</v>
      </c>
      <c r="AA822">
        <v>0</v>
      </c>
      <c r="AB822">
        <v>0</v>
      </c>
      <c r="AC822">
        <v>0</v>
      </c>
      <c r="AD822">
        <v>1</v>
      </c>
      <c r="AE822">
        <v>0</v>
      </c>
      <c r="AF822" t="s">
        <v>3</v>
      </c>
      <c r="AG822">
        <v>7.0000000000000007E-2</v>
      </c>
      <c r="AH822">
        <v>3</v>
      </c>
      <c r="AI822">
        <v>-1</v>
      </c>
      <c r="AJ822" t="s">
        <v>3</v>
      </c>
      <c r="AK822">
        <v>0</v>
      </c>
      <c r="AL822">
        <v>0</v>
      </c>
      <c r="AM822">
        <v>0</v>
      </c>
      <c r="AN822">
        <v>0</v>
      </c>
      <c r="AO822">
        <v>0</v>
      </c>
      <c r="AP822">
        <v>0</v>
      </c>
      <c r="AQ822">
        <v>0</v>
      </c>
      <c r="AR822">
        <v>0</v>
      </c>
    </row>
    <row r="823" spans="1:44" x14ac:dyDescent="0.2">
      <c r="A823">
        <f>ROW(Source!A824)</f>
        <v>824</v>
      </c>
      <c r="B823">
        <v>1472515835</v>
      </c>
      <c r="C823">
        <v>1472500257</v>
      </c>
      <c r="D823">
        <v>1441822228</v>
      </c>
      <c r="E823">
        <v>15514512</v>
      </c>
      <c r="F823">
        <v>1</v>
      </c>
      <c r="G823">
        <v>15514512</v>
      </c>
      <c r="H823">
        <v>3</v>
      </c>
      <c r="I823" t="s">
        <v>956</v>
      </c>
      <c r="J823" t="s">
        <v>3</v>
      </c>
      <c r="K823" t="s">
        <v>958</v>
      </c>
      <c r="L823">
        <v>1346</v>
      </c>
      <c r="N823">
        <v>1009</v>
      </c>
      <c r="O823" t="s">
        <v>898</v>
      </c>
      <c r="P823" t="s">
        <v>898</v>
      </c>
      <c r="Q823">
        <v>1</v>
      </c>
      <c r="X823">
        <v>7.0000000000000007E-2</v>
      </c>
      <c r="Y823">
        <v>73.951729999999998</v>
      </c>
      <c r="Z823">
        <v>0</v>
      </c>
      <c r="AA823">
        <v>0</v>
      </c>
      <c r="AB823">
        <v>0</v>
      </c>
      <c r="AC823">
        <v>0</v>
      </c>
      <c r="AD823">
        <v>1</v>
      </c>
      <c r="AE823">
        <v>0</v>
      </c>
      <c r="AF823" t="s">
        <v>3</v>
      </c>
      <c r="AG823">
        <v>7.0000000000000007E-2</v>
      </c>
      <c r="AH823">
        <v>3</v>
      </c>
      <c r="AI823">
        <v>-1</v>
      </c>
      <c r="AJ823" t="s">
        <v>3</v>
      </c>
      <c r="AK823">
        <v>0</v>
      </c>
      <c r="AL823">
        <v>0</v>
      </c>
      <c r="AM823">
        <v>0</v>
      </c>
      <c r="AN823">
        <v>0</v>
      </c>
      <c r="AO823">
        <v>0</v>
      </c>
      <c r="AP823">
        <v>0</v>
      </c>
      <c r="AQ823">
        <v>0</v>
      </c>
      <c r="AR823">
        <v>0</v>
      </c>
    </row>
    <row r="824" spans="1:44" x14ac:dyDescent="0.2">
      <c r="A824">
        <f>ROW(Source!A824)</f>
        <v>824</v>
      </c>
      <c r="B824">
        <v>1472515838</v>
      </c>
      <c r="C824">
        <v>1472500257</v>
      </c>
      <c r="D824">
        <v>1441834920</v>
      </c>
      <c r="E824">
        <v>1</v>
      </c>
      <c r="F824">
        <v>1</v>
      </c>
      <c r="G824">
        <v>15514512</v>
      </c>
      <c r="H824">
        <v>3</v>
      </c>
      <c r="I824" t="s">
        <v>1048</v>
      </c>
      <c r="J824" t="s">
        <v>1049</v>
      </c>
      <c r="K824" t="s">
        <v>1050</v>
      </c>
      <c r="L824">
        <v>1346</v>
      </c>
      <c r="N824">
        <v>1009</v>
      </c>
      <c r="O824" t="s">
        <v>898</v>
      </c>
      <c r="P824" t="s">
        <v>898</v>
      </c>
      <c r="Q824">
        <v>1</v>
      </c>
      <c r="X824">
        <v>0.05</v>
      </c>
      <c r="Y824">
        <v>106.87</v>
      </c>
      <c r="Z824">
        <v>0</v>
      </c>
      <c r="AA824">
        <v>0</v>
      </c>
      <c r="AB824">
        <v>0</v>
      </c>
      <c r="AC824">
        <v>0</v>
      </c>
      <c r="AD824">
        <v>1</v>
      </c>
      <c r="AE824">
        <v>0</v>
      </c>
      <c r="AF824" t="s">
        <v>3</v>
      </c>
      <c r="AG824">
        <v>0.05</v>
      </c>
      <c r="AH824">
        <v>3</v>
      </c>
      <c r="AI824">
        <v>-1</v>
      </c>
      <c r="AJ824" t="s">
        <v>3</v>
      </c>
      <c r="AK824">
        <v>0</v>
      </c>
      <c r="AL824">
        <v>0</v>
      </c>
      <c r="AM824">
        <v>0</v>
      </c>
      <c r="AN824">
        <v>0</v>
      </c>
      <c r="AO824">
        <v>0</v>
      </c>
      <c r="AP824">
        <v>0</v>
      </c>
      <c r="AQ824">
        <v>0</v>
      </c>
      <c r="AR824">
        <v>0</v>
      </c>
    </row>
    <row r="825" spans="1:44" x14ac:dyDescent="0.2">
      <c r="A825">
        <f>ROW(Source!A825)</f>
        <v>825</v>
      </c>
      <c r="B825">
        <v>1472515839</v>
      </c>
      <c r="C825">
        <v>1472500311</v>
      </c>
      <c r="D825">
        <v>1441819193</v>
      </c>
      <c r="E825">
        <v>15514512</v>
      </c>
      <c r="F825">
        <v>1</v>
      </c>
      <c r="G825">
        <v>15514512</v>
      </c>
      <c r="H825">
        <v>1</v>
      </c>
      <c r="I825" t="s">
        <v>885</v>
      </c>
      <c r="J825" t="s">
        <v>3</v>
      </c>
      <c r="K825" t="s">
        <v>886</v>
      </c>
      <c r="L825">
        <v>1191</v>
      </c>
      <c r="N825">
        <v>1013</v>
      </c>
      <c r="O825" t="s">
        <v>887</v>
      </c>
      <c r="P825" t="s">
        <v>887</v>
      </c>
      <c r="Q825">
        <v>1</v>
      </c>
      <c r="X825">
        <v>0.4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1</v>
      </c>
      <c r="AE825">
        <v>1</v>
      </c>
      <c r="AF825" t="s">
        <v>697</v>
      </c>
      <c r="AG825">
        <v>6.4</v>
      </c>
      <c r="AH825">
        <v>3</v>
      </c>
      <c r="AI825">
        <v>-1</v>
      </c>
      <c r="AJ825" t="s">
        <v>3</v>
      </c>
      <c r="AK825">
        <v>0</v>
      </c>
      <c r="AL825">
        <v>0</v>
      </c>
      <c r="AM825">
        <v>0</v>
      </c>
      <c r="AN825">
        <v>0</v>
      </c>
      <c r="AO825">
        <v>0</v>
      </c>
      <c r="AP825">
        <v>0</v>
      </c>
      <c r="AQ825">
        <v>0</v>
      </c>
      <c r="AR825">
        <v>0</v>
      </c>
    </row>
    <row r="826" spans="1:44" x14ac:dyDescent="0.2">
      <c r="A826">
        <f>ROW(Source!A825)</f>
        <v>825</v>
      </c>
      <c r="B826">
        <v>1472515840</v>
      </c>
      <c r="C826">
        <v>1472500311</v>
      </c>
      <c r="D826">
        <v>1441822228</v>
      </c>
      <c r="E826">
        <v>15514512</v>
      </c>
      <c r="F826">
        <v>1</v>
      </c>
      <c r="G826">
        <v>15514512</v>
      </c>
      <c r="H826">
        <v>3</v>
      </c>
      <c r="I826" t="s">
        <v>956</v>
      </c>
      <c r="J826" t="s">
        <v>3</v>
      </c>
      <c r="K826" t="s">
        <v>958</v>
      </c>
      <c r="L826">
        <v>1346</v>
      </c>
      <c r="N826">
        <v>1009</v>
      </c>
      <c r="O826" t="s">
        <v>898</v>
      </c>
      <c r="P826" t="s">
        <v>898</v>
      </c>
      <c r="Q826">
        <v>1</v>
      </c>
      <c r="X826">
        <v>0.01</v>
      </c>
      <c r="Y826">
        <v>73.951729999999998</v>
      </c>
      <c r="Z826">
        <v>0</v>
      </c>
      <c r="AA826">
        <v>0</v>
      </c>
      <c r="AB826">
        <v>0</v>
      </c>
      <c r="AC826">
        <v>0</v>
      </c>
      <c r="AD826">
        <v>1</v>
      </c>
      <c r="AE826">
        <v>0</v>
      </c>
      <c r="AF826" t="s">
        <v>697</v>
      </c>
      <c r="AG826">
        <v>0.16</v>
      </c>
      <c r="AH826">
        <v>3</v>
      </c>
      <c r="AI826">
        <v>-1</v>
      </c>
      <c r="AJ826" t="s">
        <v>3</v>
      </c>
      <c r="AK826">
        <v>0</v>
      </c>
      <c r="AL826">
        <v>0</v>
      </c>
      <c r="AM826">
        <v>0</v>
      </c>
      <c r="AN826">
        <v>0</v>
      </c>
      <c r="AO826">
        <v>0</v>
      </c>
      <c r="AP826">
        <v>0</v>
      </c>
      <c r="AQ826">
        <v>0</v>
      </c>
      <c r="AR826">
        <v>0</v>
      </c>
    </row>
    <row r="827" spans="1:44" x14ac:dyDescent="0.2">
      <c r="A827">
        <f>ROW(Source!A826)</f>
        <v>826</v>
      </c>
      <c r="B827">
        <v>1472515842</v>
      </c>
      <c r="C827">
        <v>1472500317</v>
      </c>
      <c r="D827">
        <v>1441819193</v>
      </c>
      <c r="E827">
        <v>15514512</v>
      </c>
      <c r="F827">
        <v>1</v>
      </c>
      <c r="G827">
        <v>15514512</v>
      </c>
      <c r="H827">
        <v>1</v>
      </c>
      <c r="I827" t="s">
        <v>885</v>
      </c>
      <c r="J827" t="s">
        <v>3</v>
      </c>
      <c r="K827" t="s">
        <v>886</v>
      </c>
      <c r="L827">
        <v>1191</v>
      </c>
      <c r="N827">
        <v>1013</v>
      </c>
      <c r="O827" t="s">
        <v>887</v>
      </c>
      <c r="P827" t="s">
        <v>887</v>
      </c>
      <c r="Q827">
        <v>1</v>
      </c>
      <c r="X827">
        <v>15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1</v>
      </c>
      <c r="AE827">
        <v>1</v>
      </c>
      <c r="AF827" t="s">
        <v>3</v>
      </c>
      <c r="AG827">
        <v>15</v>
      </c>
      <c r="AH827">
        <v>3</v>
      </c>
      <c r="AI827">
        <v>-1</v>
      </c>
      <c r="AJ827" t="s">
        <v>3</v>
      </c>
      <c r="AK827">
        <v>0</v>
      </c>
      <c r="AL827">
        <v>0</v>
      </c>
      <c r="AM827">
        <v>0</v>
      </c>
      <c r="AN827">
        <v>0</v>
      </c>
      <c r="AO827">
        <v>0</v>
      </c>
      <c r="AP827">
        <v>0</v>
      </c>
      <c r="AQ827">
        <v>0</v>
      </c>
      <c r="AR827">
        <v>0</v>
      </c>
    </row>
    <row r="828" spans="1:44" x14ac:dyDescent="0.2">
      <c r="A828">
        <f>ROW(Source!A826)</f>
        <v>826</v>
      </c>
      <c r="B828">
        <v>1472515844</v>
      </c>
      <c r="C828">
        <v>1472500317</v>
      </c>
      <c r="D828">
        <v>1441836237</v>
      </c>
      <c r="E828">
        <v>1</v>
      </c>
      <c r="F828">
        <v>1</v>
      </c>
      <c r="G828">
        <v>15514512</v>
      </c>
      <c r="H828">
        <v>3</v>
      </c>
      <c r="I828" t="s">
        <v>1045</v>
      </c>
      <c r="J828" t="s">
        <v>1046</v>
      </c>
      <c r="K828" t="s">
        <v>1047</v>
      </c>
      <c r="L828">
        <v>1346</v>
      </c>
      <c r="N828">
        <v>1009</v>
      </c>
      <c r="O828" t="s">
        <v>898</v>
      </c>
      <c r="P828" t="s">
        <v>898</v>
      </c>
      <c r="Q828">
        <v>1</v>
      </c>
      <c r="X828">
        <v>0.3</v>
      </c>
      <c r="Y828">
        <v>375.16</v>
      </c>
      <c r="Z828">
        <v>0</v>
      </c>
      <c r="AA828">
        <v>0</v>
      </c>
      <c r="AB828">
        <v>0</v>
      </c>
      <c r="AC828">
        <v>0</v>
      </c>
      <c r="AD828">
        <v>1</v>
      </c>
      <c r="AE828">
        <v>0</v>
      </c>
      <c r="AF828" t="s">
        <v>3</v>
      </c>
      <c r="AG828">
        <v>0.3</v>
      </c>
      <c r="AH828">
        <v>3</v>
      </c>
      <c r="AI828">
        <v>-1</v>
      </c>
      <c r="AJ828" t="s">
        <v>3</v>
      </c>
      <c r="AK828">
        <v>0</v>
      </c>
      <c r="AL828">
        <v>0</v>
      </c>
      <c r="AM828">
        <v>0</v>
      </c>
      <c r="AN828">
        <v>0</v>
      </c>
      <c r="AO828">
        <v>0</v>
      </c>
      <c r="AP828">
        <v>0</v>
      </c>
      <c r="AQ828">
        <v>0</v>
      </c>
      <c r="AR828">
        <v>0</v>
      </c>
    </row>
    <row r="829" spans="1:44" x14ac:dyDescent="0.2">
      <c r="A829">
        <f>ROW(Source!A826)</f>
        <v>826</v>
      </c>
      <c r="B829">
        <v>1472515845</v>
      </c>
      <c r="C829">
        <v>1472500317</v>
      </c>
      <c r="D829">
        <v>1441836235</v>
      </c>
      <c r="E829">
        <v>1</v>
      </c>
      <c r="F829">
        <v>1</v>
      </c>
      <c r="G829">
        <v>15514512</v>
      </c>
      <c r="H829">
        <v>3</v>
      </c>
      <c r="I829" t="s">
        <v>912</v>
      </c>
      <c r="J829" t="s">
        <v>913</v>
      </c>
      <c r="K829" t="s">
        <v>914</v>
      </c>
      <c r="L829">
        <v>1346</v>
      </c>
      <c r="N829">
        <v>1009</v>
      </c>
      <c r="O829" t="s">
        <v>898</v>
      </c>
      <c r="P829" t="s">
        <v>898</v>
      </c>
      <c r="Q829">
        <v>1</v>
      </c>
      <c r="X829">
        <v>0.09</v>
      </c>
      <c r="Y829">
        <v>31.49</v>
      </c>
      <c r="Z829">
        <v>0</v>
      </c>
      <c r="AA829">
        <v>0</v>
      </c>
      <c r="AB829">
        <v>0</v>
      </c>
      <c r="AC829">
        <v>0</v>
      </c>
      <c r="AD829">
        <v>1</v>
      </c>
      <c r="AE829">
        <v>0</v>
      </c>
      <c r="AF829" t="s">
        <v>3</v>
      </c>
      <c r="AG829">
        <v>0.09</v>
      </c>
      <c r="AH829">
        <v>3</v>
      </c>
      <c r="AI829">
        <v>-1</v>
      </c>
      <c r="AJ829" t="s">
        <v>3</v>
      </c>
      <c r="AK829">
        <v>0</v>
      </c>
      <c r="AL829">
        <v>0</v>
      </c>
      <c r="AM829">
        <v>0</v>
      </c>
      <c r="AN829">
        <v>0</v>
      </c>
      <c r="AO829">
        <v>0</v>
      </c>
      <c r="AP829">
        <v>0</v>
      </c>
      <c r="AQ829">
        <v>0</v>
      </c>
      <c r="AR829">
        <v>0</v>
      </c>
    </row>
    <row r="830" spans="1:44" x14ac:dyDescent="0.2">
      <c r="A830">
        <f>ROW(Source!A826)</f>
        <v>826</v>
      </c>
      <c r="B830">
        <v>1472515843</v>
      </c>
      <c r="C830">
        <v>1472500317</v>
      </c>
      <c r="D830">
        <v>1441822228</v>
      </c>
      <c r="E830">
        <v>15514512</v>
      </c>
      <c r="F830">
        <v>1</v>
      </c>
      <c r="G830">
        <v>15514512</v>
      </c>
      <c r="H830">
        <v>3</v>
      </c>
      <c r="I830" t="s">
        <v>956</v>
      </c>
      <c r="J830" t="s">
        <v>3</v>
      </c>
      <c r="K830" t="s">
        <v>958</v>
      </c>
      <c r="L830">
        <v>1346</v>
      </c>
      <c r="N830">
        <v>1009</v>
      </c>
      <c r="O830" t="s">
        <v>898</v>
      </c>
      <c r="P830" t="s">
        <v>898</v>
      </c>
      <c r="Q830">
        <v>1</v>
      </c>
      <c r="X830">
        <v>0.09</v>
      </c>
      <c r="Y830">
        <v>73.951729999999998</v>
      </c>
      <c r="Z830">
        <v>0</v>
      </c>
      <c r="AA830">
        <v>0</v>
      </c>
      <c r="AB830">
        <v>0</v>
      </c>
      <c r="AC830">
        <v>0</v>
      </c>
      <c r="AD830">
        <v>1</v>
      </c>
      <c r="AE830">
        <v>0</v>
      </c>
      <c r="AF830" t="s">
        <v>3</v>
      </c>
      <c r="AG830">
        <v>0.09</v>
      </c>
      <c r="AH830">
        <v>3</v>
      </c>
      <c r="AI830">
        <v>-1</v>
      </c>
      <c r="AJ830" t="s">
        <v>3</v>
      </c>
      <c r="AK830">
        <v>0</v>
      </c>
      <c r="AL830">
        <v>0</v>
      </c>
      <c r="AM830">
        <v>0</v>
      </c>
      <c r="AN830">
        <v>0</v>
      </c>
      <c r="AO830">
        <v>0</v>
      </c>
      <c r="AP830">
        <v>0</v>
      </c>
      <c r="AQ830">
        <v>0</v>
      </c>
      <c r="AR830">
        <v>0</v>
      </c>
    </row>
    <row r="831" spans="1:44" x14ac:dyDescent="0.2">
      <c r="A831">
        <f>ROW(Source!A826)</f>
        <v>826</v>
      </c>
      <c r="B831">
        <v>1472515846</v>
      </c>
      <c r="C831">
        <v>1472500317</v>
      </c>
      <c r="D831">
        <v>1441834920</v>
      </c>
      <c r="E831">
        <v>1</v>
      </c>
      <c r="F831">
        <v>1</v>
      </c>
      <c r="G831">
        <v>15514512</v>
      </c>
      <c r="H831">
        <v>3</v>
      </c>
      <c r="I831" t="s">
        <v>1048</v>
      </c>
      <c r="J831" t="s">
        <v>1049</v>
      </c>
      <c r="K831" t="s">
        <v>1050</v>
      </c>
      <c r="L831">
        <v>1346</v>
      </c>
      <c r="N831">
        <v>1009</v>
      </c>
      <c r="O831" t="s">
        <v>898</v>
      </c>
      <c r="P831" t="s">
        <v>898</v>
      </c>
      <c r="Q831">
        <v>1</v>
      </c>
      <c r="X831">
        <v>0.06</v>
      </c>
      <c r="Y831">
        <v>106.87</v>
      </c>
      <c r="Z831">
        <v>0</v>
      </c>
      <c r="AA831">
        <v>0</v>
      </c>
      <c r="AB831">
        <v>0</v>
      </c>
      <c r="AC831">
        <v>0</v>
      </c>
      <c r="AD831">
        <v>1</v>
      </c>
      <c r="AE831">
        <v>0</v>
      </c>
      <c r="AF831" t="s">
        <v>3</v>
      </c>
      <c r="AG831">
        <v>0.06</v>
      </c>
      <c r="AH831">
        <v>3</v>
      </c>
      <c r="AI831">
        <v>-1</v>
      </c>
      <c r="AJ831" t="s">
        <v>3</v>
      </c>
      <c r="AK831">
        <v>0</v>
      </c>
      <c r="AL831">
        <v>0</v>
      </c>
      <c r="AM831">
        <v>0</v>
      </c>
      <c r="AN831">
        <v>0</v>
      </c>
      <c r="AO831">
        <v>0</v>
      </c>
      <c r="AP831">
        <v>0</v>
      </c>
      <c r="AQ831">
        <v>0</v>
      </c>
      <c r="AR831">
        <v>0</v>
      </c>
    </row>
    <row r="832" spans="1:44" x14ac:dyDescent="0.2">
      <c r="A832">
        <f>ROW(Source!A827)</f>
        <v>827</v>
      </c>
      <c r="B832">
        <v>1472515847</v>
      </c>
      <c r="C832">
        <v>1472500334</v>
      </c>
      <c r="D832">
        <v>1441819193</v>
      </c>
      <c r="E832">
        <v>15514512</v>
      </c>
      <c r="F832">
        <v>1</v>
      </c>
      <c r="G832">
        <v>15514512</v>
      </c>
      <c r="H832">
        <v>1</v>
      </c>
      <c r="I832" t="s">
        <v>885</v>
      </c>
      <c r="J832" t="s">
        <v>3</v>
      </c>
      <c r="K832" t="s">
        <v>886</v>
      </c>
      <c r="L832">
        <v>1191</v>
      </c>
      <c r="N832">
        <v>1013</v>
      </c>
      <c r="O832" t="s">
        <v>887</v>
      </c>
      <c r="P832" t="s">
        <v>887</v>
      </c>
      <c r="Q832">
        <v>1</v>
      </c>
      <c r="X832">
        <v>0.5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1</v>
      </c>
      <c r="AE832">
        <v>1</v>
      </c>
      <c r="AF832" t="s">
        <v>742</v>
      </c>
      <c r="AG832">
        <v>8</v>
      </c>
      <c r="AH832">
        <v>3</v>
      </c>
      <c r="AI832">
        <v>-1</v>
      </c>
      <c r="AJ832" t="s">
        <v>3</v>
      </c>
      <c r="AK832">
        <v>0</v>
      </c>
      <c r="AL832">
        <v>0</v>
      </c>
      <c r="AM832">
        <v>0</v>
      </c>
      <c r="AN832">
        <v>0</v>
      </c>
      <c r="AO832">
        <v>0</v>
      </c>
      <c r="AP832">
        <v>0</v>
      </c>
      <c r="AQ832">
        <v>0</v>
      </c>
      <c r="AR832">
        <v>0</v>
      </c>
    </row>
    <row r="833" spans="1:44" x14ac:dyDescent="0.2">
      <c r="A833">
        <f>ROW(Source!A827)</f>
        <v>827</v>
      </c>
      <c r="B833">
        <v>1472515848</v>
      </c>
      <c r="C833">
        <v>1472500334</v>
      </c>
      <c r="D833">
        <v>1441822228</v>
      </c>
      <c r="E833">
        <v>15514512</v>
      </c>
      <c r="F833">
        <v>1</v>
      </c>
      <c r="G833">
        <v>15514512</v>
      </c>
      <c r="H833">
        <v>3</v>
      </c>
      <c r="I833" t="s">
        <v>956</v>
      </c>
      <c r="J833" t="s">
        <v>3</v>
      </c>
      <c r="K833" t="s">
        <v>958</v>
      </c>
      <c r="L833">
        <v>1346</v>
      </c>
      <c r="N833">
        <v>1009</v>
      </c>
      <c r="O833" t="s">
        <v>898</v>
      </c>
      <c r="P833" t="s">
        <v>898</v>
      </c>
      <c r="Q833">
        <v>1</v>
      </c>
      <c r="X833">
        <v>0.01</v>
      </c>
      <c r="Y833">
        <v>73.951729999999998</v>
      </c>
      <c r="Z833">
        <v>0</v>
      </c>
      <c r="AA833">
        <v>0</v>
      </c>
      <c r="AB833">
        <v>0</v>
      </c>
      <c r="AC833">
        <v>0</v>
      </c>
      <c r="AD833">
        <v>1</v>
      </c>
      <c r="AE833">
        <v>0</v>
      </c>
      <c r="AF833" t="s">
        <v>742</v>
      </c>
      <c r="AG833">
        <v>0.16</v>
      </c>
      <c r="AH833">
        <v>3</v>
      </c>
      <c r="AI833">
        <v>-1</v>
      </c>
      <c r="AJ833" t="s">
        <v>3</v>
      </c>
      <c r="AK833">
        <v>0</v>
      </c>
      <c r="AL833">
        <v>0</v>
      </c>
      <c r="AM833">
        <v>0</v>
      </c>
      <c r="AN833">
        <v>0</v>
      </c>
      <c r="AO833">
        <v>0</v>
      </c>
      <c r="AP833">
        <v>0</v>
      </c>
      <c r="AQ833">
        <v>0</v>
      </c>
      <c r="AR833">
        <v>0</v>
      </c>
    </row>
    <row r="834" spans="1:44" x14ac:dyDescent="0.2">
      <c r="A834">
        <f>ROW(Source!A828)</f>
        <v>828</v>
      </c>
      <c r="B834">
        <v>1472515850</v>
      </c>
      <c r="C834">
        <v>1472500344</v>
      </c>
      <c r="D834">
        <v>1441819193</v>
      </c>
      <c r="E834">
        <v>15514512</v>
      </c>
      <c r="F834">
        <v>1</v>
      </c>
      <c r="G834">
        <v>15514512</v>
      </c>
      <c r="H834">
        <v>1</v>
      </c>
      <c r="I834" t="s">
        <v>885</v>
      </c>
      <c r="J834" t="s">
        <v>3</v>
      </c>
      <c r="K834" t="s">
        <v>886</v>
      </c>
      <c r="L834">
        <v>1191</v>
      </c>
      <c r="N834">
        <v>1013</v>
      </c>
      <c r="O834" t="s">
        <v>887</v>
      </c>
      <c r="P834" t="s">
        <v>887</v>
      </c>
      <c r="Q834">
        <v>1</v>
      </c>
      <c r="X834">
        <v>18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1</v>
      </c>
      <c r="AE834">
        <v>1</v>
      </c>
      <c r="AF834" t="s">
        <v>3</v>
      </c>
      <c r="AG834">
        <v>18</v>
      </c>
      <c r="AH834">
        <v>3</v>
      </c>
      <c r="AI834">
        <v>-1</v>
      </c>
      <c r="AJ834" t="s">
        <v>3</v>
      </c>
      <c r="AK834">
        <v>0</v>
      </c>
      <c r="AL834">
        <v>0</v>
      </c>
      <c r="AM834">
        <v>0</v>
      </c>
      <c r="AN834">
        <v>0</v>
      </c>
      <c r="AO834">
        <v>0</v>
      </c>
      <c r="AP834">
        <v>0</v>
      </c>
      <c r="AQ834">
        <v>0</v>
      </c>
      <c r="AR834">
        <v>0</v>
      </c>
    </row>
    <row r="835" spans="1:44" x14ac:dyDescent="0.2">
      <c r="A835">
        <f>ROW(Source!A828)</f>
        <v>828</v>
      </c>
      <c r="B835">
        <v>1472515852</v>
      </c>
      <c r="C835">
        <v>1472500344</v>
      </c>
      <c r="D835">
        <v>1441836237</v>
      </c>
      <c r="E835">
        <v>1</v>
      </c>
      <c r="F835">
        <v>1</v>
      </c>
      <c r="G835">
        <v>15514512</v>
      </c>
      <c r="H835">
        <v>3</v>
      </c>
      <c r="I835" t="s">
        <v>1045</v>
      </c>
      <c r="J835" t="s">
        <v>1046</v>
      </c>
      <c r="K835" t="s">
        <v>1047</v>
      </c>
      <c r="L835">
        <v>1346</v>
      </c>
      <c r="N835">
        <v>1009</v>
      </c>
      <c r="O835" t="s">
        <v>898</v>
      </c>
      <c r="P835" t="s">
        <v>898</v>
      </c>
      <c r="Q835">
        <v>1</v>
      </c>
      <c r="X835">
        <v>0.36</v>
      </c>
      <c r="Y835">
        <v>375.16</v>
      </c>
      <c r="Z835">
        <v>0</v>
      </c>
      <c r="AA835">
        <v>0</v>
      </c>
      <c r="AB835">
        <v>0</v>
      </c>
      <c r="AC835">
        <v>0</v>
      </c>
      <c r="AD835">
        <v>1</v>
      </c>
      <c r="AE835">
        <v>0</v>
      </c>
      <c r="AF835" t="s">
        <v>3</v>
      </c>
      <c r="AG835">
        <v>0.36</v>
      </c>
      <c r="AH835">
        <v>3</v>
      </c>
      <c r="AI835">
        <v>-1</v>
      </c>
      <c r="AJ835" t="s">
        <v>3</v>
      </c>
      <c r="AK835">
        <v>0</v>
      </c>
      <c r="AL835">
        <v>0</v>
      </c>
      <c r="AM835">
        <v>0</v>
      </c>
      <c r="AN835">
        <v>0</v>
      </c>
      <c r="AO835">
        <v>0</v>
      </c>
      <c r="AP835">
        <v>0</v>
      </c>
      <c r="AQ835">
        <v>0</v>
      </c>
      <c r="AR835">
        <v>0</v>
      </c>
    </row>
    <row r="836" spans="1:44" x14ac:dyDescent="0.2">
      <c r="A836">
        <f>ROW(Source!A828)</f>
        <v>828</v>
      </c>
      <c r="B836">
        <v>1472515853</v>
      </c>
      <c r="C836">
        <v>1472500344</v>
      </c>
      <c r="D836">
        <v>1441836235</v>
      </c>
      <c r="E836">
        <v>1</v>
      </c>
      <c r="F836">
        <v>1</v>
      </c>
      <c r="G836">
        <v>15514512</v>
      </c>
      <c r="H836">
        <v>3</v>
      </c>
      <c r="I836" t="s">
        <v>912</v>
      </c>
      <c r="J836" t="s">
        <v>913</v>
      </c>
      <c r="K836" t="s">
        <v>914</v>
      </c>
      <c r="L836">
        <v>1346</v>
      </c>
      <c r="N836">
        <v>1009</v>
      </c>
      <c r="O836" t="s">
        <v>898</v>
      </c>
      <c r="P836" t="s">
        <v>898</v>
      </c>
      <c r="Q836">
        <v>1</v>
      </c>
      <c r="X836">
        <v>0.11</v>
      </c>
      <c r="Y836">
        <v>31.49</v>
      </c>
      <c r="Z836">
        <v>0</v>
      </c>
      <c r="AA836">
        <v>0</v>
      </c>
      <c r="AB836">
        <v>0</v>
      </c>
      <c r="AC836">
        <v>0</v>
      </c>
      <c r="AD836">
        <v>1</v>
      </c>
      <c r="AE836">
        <v>0</v>
      </c>
      <c r="AF836" t="s">
        <v>3</v>
      </c>
      <c r="AG836">
        <v>0.11</v>
      </c>
      <c r="AH836">
        <v>3</v>
      </c>
      <c r="AI836">
        <v>-1</v>
      </c>
      <c r="AJ836" t="s">
        <v>3</v>
      </c>
      <c r="AK836">
        <v>0</v>
      </c>
      <c r="AL836">
        <v>0</v>
      </c>
      <c r="AM836">
        <v>0</v>
      </c>
      <c r="AN836">
        <v>0</v>
      </c>
      <c r="AO836">
        <v>0</v>
      </c>
      <c r="AP836">
        <v>0</v>
      </c>
      <c r="AQ836">
        <v>0</v>
      </c>
      <c r="AR836">
        <v>0</v>
      </c>
    </row>
    <row r="837" spans="1:44" x14ac:dyDescent="0.2">
      <c r="A837">
        <f>ROW(Source!A828)</f>
        <v>828</v>
      </c>
      <c r="B837">
        <v>1472515851</v>
      </c>
      <c r="C837">
        <v>1472500344</v>
      </c>
      <c r="D837">
        <v>1441822228</v>
      </c>
      <c r="E837">
        <v>15514512</v>
      </c>
      <c r="F837">
        <v>1</v>
      </c>
      <c r="G837">
        <v>15514512</v>
      </c>
      <c r="H837">
        <v>3</v>
      </c>
      <c r="I837" t="s">
        <v>956</v>
      </c>
      <c r="J837" t="s">
        <v>3</v>
      </c>
      <c r="K837" t="s">
        <v>958</v>
      </c>
      <c r="L837">
        <v>1346</v>
      </c>
      <c r="N837">
        <v>1009</v>
      </c>
      <c r="O837" t="s">
        <v>898</v>
      </c>
      <c r="P837" t="s">
        <v>898</v>
      </c>
      <c r="Q837">
        <v>1</v>
      </c>
      <c r="X837">
        <v>0.11</v>
      </c>
      <c r="Y837">
        <v>73.951729999999998</v>
      </c>
      <c r="Z837">
        <v>0</v>
      </c>
      <c r="AA837">
        <v>0</v>
      </c>
      <c r="AB837">
        <v>0</v>
      </c>
      <c r="AC837">
        <v>0</v>
      </c>
      <c r="AD837">
        <v>1</v>
      </c>
      <c r="AE837">
        <v>0</v>
      </c>
      <c r="AF837" t="s">
        <v>3</v>
      </c>
      <c r="AG837">
        <v>0.11</v>
      </c>
      <c r="AH837">
        <v>3</v>
      </c>
      <c r="AI837">
        <v>-1</v>
      </c>
      <c r="AJ837" t="s">
        <v>3</v>
      </c>
      <c r="AK837">
        <v>0</v>
      </c>
      <c r="AL837">
        <v>0</v>
      </c>
      <c r="AM837">
        <v>0</v>
      </c>
      <c r="AN837">
        <v>0</v>
      </c>
      <c r="AO837">
        <v>0</v>
      </c>
      <c r="AP837">
        <v>0</v>
      </c>
      <c r="AQ837">
        <v>0</v>
      </c>
      <c r="AR837">
        <v>0</v>
      </c>
    </row>
    <row r="838" spans="1:44" x14ac:dyDescent="0.2">
      <c r="A838">
        <f>ROW(Source!A828)</f>
        <v>828</v>
      </c>
      <c r="B838">
        <v>1472515854</v>
      </c>
      <c r="C838">
        <v>1472500344</v>
      </c>
      <c r="D838">
        <v>1441834920</v>
      </c>
      <c r="E838">
        <v>1</v>
      </c>
      <c r="F838">
        <v>1</v>
      </c>
      <c r="G838">
        <v>15514512</v>
      </c>
      <c r="H838">
        <v>3</v>
      </c>
      <c r="I838" t="s">
        <v>1048</v>
      </c>
      <c r="J838" t="s">
        <v>1049</v>
      </c>
      <c r="K838" t="s">
        <v>1050</v>
      </c>
      <c r="L838">
        <v>1346</v>
      </c>
      <c r="N838">
        <v>1009</v>
      </c>
      <c r="O838" t="s">
        <v>898</v>
      </c>
      <c r="P838" t="s">
        <v>898</v>
      </c>
      <c r="Q838">
        <v>1</v>
      </c>
      <c r="X838">
        <v>7.0000000000000007E-2</v>
      </c>
      <c r="Y838">
        <v>106.87</v>
      </c>
      <c r="Z838">
        <v>0</v>
      </c>
      <c r="AA838">
        <v>0</v>
      </c>
      <c r="AB838">
        <v>0</v>
      </c>
      <c r="AC838">
        <v>0</v>
      </c>
      <c r="AD838">
        <v>1</v>
      </c>
      <c r="AE838">
        <v>0</v>
      </c>
      <c r="AF838" t="s">
        <v>3</v>
      </c>
      <c r="AG838">
        <v>7.0000000000000007E-2</v>
      </c>
      <c r="AH838">
        <v>3</v>
      </c>
      <c r="AI838">
        <v>-1</v>
      </c>
      <c r="AJ838" t="s">
        <v>3</v>
      </c>
      <c r="AK838">
        <v>0</v>
      </c>
      <c r="AL838">
        <v>0</v>
      </c>
      <c r="AM838">
        <v>0</v>
      </c>
      <c r="AN838">
        <v>0</v>
      </c>
      <c r="AO838">
        <v>0</v>
      </c>
      <c r="AP838">
        <v>0</v>
      </c>
      <c r="AQ838">
        <v>0</v>
      </c>
      <c r="AR838">
        <v>0</v>
      </c>
    </row>
    <row r="839" spans="1:44" x14ac:dyDescent="0.2">
      <c r="A839">
        <f>ROW(Source!A829)</f>
        <v>829</v>
      </c>
      <c r="B839">
        <v>1472515855</v>
      </c>
      <c r="C839">
        <v>1472500401</v>
      </c>
      <c r="D839">
        <v>1441819193</v>
      </c>
      <c r="E839">
        <v>15514512</v>
      </c>
      <c r="F839">
        <v>1</v>
      </c>
      <c r="G839">
        <v>15514512</v>
      </c>
      <c r="H839">
        <v>1</v>
      </c>
      <c r="I839" t="s">
        <v>885</v>
      </c>
      <c r="J839" t="s">
        <v>3</v>
      </c>
      <c r="K839" t="s">
        <v>886</v>
      </c>
      <c r="L839">
        <v>1191</v>
      </c>
      <c r="N839">
        <v>1013</v>
      </c>
      <c r="O839" t="s">
        <v>887</v>
      </c>
      <c r="P839" t="s">
        <v>887</v>
      </c>
      <c r="Q839">
        <v>1</v>
      </c>
      <c r="X839">
        <v>0.6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1</v>
      </c>
      <c r="AE839">
        <v>1</v>
      </c>
      <c r="AF839" t="s">
        <v>742</v>
      </c>
      <c r="AG839">
        <v>9.6</v>
      </c>
      <c r="AH839">
        <v>3</v>
      </c>
      <c r="AI839">
        <v>-1</v>
      </c>
      <c r="AJ839" t="s">
        <v>3</v>
      </c>
      <c r="AK839">
        <v>0</v>
      </c>
      <c r="AL839">
        <v>0</v>
      </c>
      <c r="AM839">
        <v>0</v>
      </c>
      <c r="AN839">
        <v>0</v>
      </c>
      <c r="AO839">
        <v>0</v>
      </c>
      <c r="AP839">
        <v>0</v>
      </c>
      <c r="AQ839">
        <v>0</v>
      </c>
      <c r="AR839">
        <v>0</v>
      </c>
    </row>
    <row r="840" spans="1:44" x14ac:dyDescent="0.2">
      <c r="A840">
        <f>ROW(Source!A829)</f>
        <v>829</v>
      </c>
      <c r="B840">
        <v>1472515856</v>
      </c>
      <c r="C840">
        <v>1472500401</v>
      </c>
      <c r="D840">
        <v>1441822228</v>
      </c>
      <c r="E840">
        <v>15514512</v>
      </c>
      <c r="F840">
        <v>1</v>
      </c>
      <c r="G840">
        <v>15514512</v>
      </c>
      <c r="H840">
        <v>3</v>
      </c>
      <c r="I840" t="s">
        <v>956</v>
      </c>
      <c r="J840" t="s">
        <v>3</v>
      </c>
      <c r="K840" t="s">
        <v>958</v>
      </c>
      <c r="L840">
        <v>1346</v>
      </c>
      <c r="N840">
        <v>1009</v>
      </c>
      <c r="O840" t="s">
        <v>898</v>
      </c>
      <c r="P840" t="s">
        <v>898</v>
      </c>
      <c r="Q840">
        <v>1</v>
      </c>
      <c r="X840">
        <v>0.01</v>
      </c>
      <c r="Y840">
        <v>73.951729999999998</v>
      </c>
      <c r="Z840">
        <v>0</v>
      </c>
      <c r="AA840">
        <v>0</v>
      </c>
      <c r="AB840">
        <v>0</v>
      </c>
      <c r="AC840">
        <v>0</v>
      </c>
      <c r="AD840">
        <v>1</v>
      </c>
      <c r="AE840">
        <v>0</v>
      </c>
      <c r="AF840" t="s">
        <v>742</v>
      </c>
      <c r="AG840">
        <v>0.16</v>
      </c>
      <c r="AH840">
        <v>3</v>
      </c>
      <c r="AI840">
        <v>-1</v>
      </c>
      <c r="AJ840" t="s">
        <v>3</v>
      </c>
      <c r="AK840">
        <v>0</v>
      </c>
      <c r="AL840">
        <v>0</v>
      </c>
      <c r="AM840">
        <v>0</v>
      </c>
      <c r="AN840">
        <v>0</v>
      </c>
      <c r="AO840">
        <v>0</v>
      </c>
      <c r="AP840">
        <v>0</v>
      </c>
      <c r="AQ840">
        <v>0</v>
      </c>
      <c r="AR840">
        <v>0</v>
      </c>
    </row>
    <row r="841" spans="1:44" x14ac:dyDescent="0.2">
      <c r="A841">
        <f>ROW(Source!A830)</f>
        <v>830</v>
      </c>
      <c r="B841">
        <v>1472515857</v>
      </c>
      <c r="C841">
        <v>1472500421</v>
      </c>
      <c r="D841">
        <v>1441819193</v>
      </c>
      <c r="E841">
        <v>15514512</v>
      </c>
      <c r="F841">
        <v>1</v>
      </c>
      <c r="G841">
        <v>15514512</v>
      </c>
      <c r="H841">
        <v>1</v>
      </c>
      <c r="I841" t="s">
        <v>885</v>
      </c>
      <c r="J841" t="s">
        <v>3</v>
      </c>
      <c r="K841" t="s">
        <v>886</v>
      </c>
      <c r="L841">
        <v>1191</v>
      </c>
      <c r="N841">
        <v>1013</v>
      </c>
      <c r="O841" t="s">
        <v>887</v>
      </c>
      <c r="P841" t="s">
        <v>887</v>
      </c>
      <c r="Q841">
        <v>1</v>
      </c>
      <c r="X841">
        <v>24</v>
      </c>
      <c r="Y841">
        <v>0</v>
      </c>
      <c r="Z841">
        <v>0</v>
      </c>
      <c r="AA841">
        <v>0</v>
      </c>
      <c r="AB841">
        <v>0</v>
      </c>
      <c r="AC841">
        <v>0</v>
      </c>
      <c r="AD841">
        <v>1</v>
      </c>
      <c r="AE841">
        <v>1</v>
      </c>
      <c r="AF841" t="s">
        <v>3</v>
      </c>
      <c r="AG841">
        <v>24</v>
      </c>
      <c r="AH841">
        <v>3</v>
      </c>
      <c r="AI841">
        <v>-1</v>
      </c>
      <c r="AJ841" t="s">
        <v>3</v>
      </c>
      <c r="AK841">
        <v>0</v>
      </c>
      <c r="AL841">
        <v>0</v>
      </c>
      <c r="AM841">
        <v>0</v>
      </c>
      <c r="AN841">
        <v>0</v>
      </c>
      <c r="AO841">
        <v>0</v>
      </c>
      <c r="AP841">
        <v>0</v>
      </c>
      <c r="AQ841">
        <v>0</v>
      </c>
      <c r="AR841">
        <v>0</v>
      </c>
    </row>
    <row r="842" spans="1:44" x14ac:dyDescent="0.2">
      <c r="A842">
        <f>ROW(Source!A830)</f>
        <v>830</v>
      </c>
      <c r="B842">
        <v>1472515859</v>
      </c>
      <c r="C842">
        <v>1472500421</v>
      </c>
      <c r="D842">
        <v>1441836237</v>
      </c>
      <c r="E842">
        <v>1</v>
      </c>
      <c r="F842">
        <v>1</v>
      </c>
      <c r="G842">
        <v>15514512</v>
      </c>
      <c r="H842">
        <v>3</v>
      </c>
      <c r="I842" t="s">
        <v>1045</v>
      </c>
      <c r="J842" t="s">
        <v>1046</v>
      </c>
      <c r="K842" t="s">
        <v>1047</v>
      </c>
      <c r="L842">
        <v>1346</v>
      </c>
      <c r="N842">
        <v>1009</v>
      </c>
      <c r="O842" t="s">
        <v>898</v>
      </c>
      <c r="P842" t="s">
        <v>898</v>
      </c>
      <c r="Q842">
        <v>1</v>
      </c>
      <c r="X842">
        <v>0.48</v>
      </c>
      <c r="Y842">
        <v>375.16</v>
      </c>
      <c r="Z842">
        <v>0</v>
      </c>
      <c r="AA842">
        <v>0</v>
      </c>
      <c r="AB842">
        <v>0</v>
      </c>
      <c r="AC842">
        <v>0</v>
      </c>
      <c r="AD842">
        <v>1</v>
      </c>
      <c r="AE842">
        <v>0</v>
      </c>
      <c r="AF842" t="s">
        <v>3</v>
      </c>
      <c r="AG842">
        <v>0.48</v>
      </c>
      <c r="AH842">
        <v>3</v>
      </c>
      <c r="AI842">
        <v>-1</v>
      </c>
      <c r="AJ842" t="s">
        <v>3</v>
      </c>
      <c r="AK842">
        <v>0</v>
      </c>
      <c r="AL842">
        <v>0</v>
      </c>
      <c r="AM842">
        <v>0</v>
      </c>
      <c r="AN842">
        <v>0</v>
      </c>
      <c r="AO842">
        <v>0</v>
      </c>
      <c r="AP842">
        <v>0</v>
      </c>
      <c r="AQ842">
        <v>0</v>
      </c>
      <c r="AR842">
        <v>0</v>
      </c>
    </row>
    <row r="843" spans="1:44" x14ac:dyDescent="0.2">
      <c r="A843">
        <f>ROW(Source!A830)</f>
        <v>830</v>
      </c>
      <c r="B843">
        <v>1472515860</v>
      </c>
      <c r="C843">
        <v>1472500421</v>
      </c>
      <c r="D843">
        <v>1441836235</v>
      </c>
      <c r="E843">
        <v>1</v>
      </c>
      <c r="F843">
        <v>1</v>
      </c>
      <c r="G843">
        <v>15514512</v>
      </c>
      <c r="H843">
        <v>3</v>
      </c>
      <c r="I843" t="s">
        <v>912</v>
      </c>
      <c r="J843" t="s">
        <v>913</v>
      </c>
      <c r="K843" t="s">
        <v>914</v>
      </c>
      <c r="L843">
        <v>1346</v>
      </c>
      <c r="N843">
        <v>1009</v>
      </c>
      <c r="O843" t="s">
        <v>898</v>
      </c>
      <c r="P843" t="s">
        <v>898</v>
      </c>
      <c r="Q843">
        <v>1</v>
      </c>
      <c r="X843">
        <v>0.14000000000000001</v>
      </c>
      <c r="Y843">
        <v>31.49</v>
      </c>
      <c r="Z843">
        <v>0</v>
      </c>
      <c r="AA843">
        <v>0</v>
      </c>
      <c r="AB843">
        <v>0</v>
      </c>
      <c r="AC843">
        <v>0</v>
      </c>
      <c r="AD843">
        <v>1</v>
      </c>
      <c r="AE843">
        <v>0</v>
      </c>
      <c r="AF843" t="s">
        <v>3</v>
      </c>
      <c r="AG843">
        <v>0.14000000000000001</v>
      </c>
      <c r="AH843">
        <v>3</v>
      </c>
      <c r="AI843">
        <v>-1</v>
      </c>
      <c r="AJ843" t="s">
        <v>3</v>
      </c>
      <c r="AK843">
        <v>0</v>
      </c>
      <c r="AL843">
        <v>0</v>
      </c>
      <c r="AM843">
        <v>0</v>
      </c>
      <c r="AN843">
        <v>0</v>
      </c>
      <c r="AO843">
        <v>0</v>
      </c>
      <c r="AP843">
        <v>0</v>
      </c>
      <c r="AQ843">
        <v>0</v>
      </c>
      <c r="AR843">
        <v>0</v>
      </c>
    </row>
    <row r="844" spans="1:44" x14ac:dyDescent="0.2">
      <c r="A844">
        <f>ROW(Source!A830)</f>
        <v>830</v>
      </c>
      <c r="B844">
        <v>1472515858</v>
      </c>
      <c r="C844">
        <v>1472500421</v>
      </c>
      <c r="D844">
        <v>1441822228</v>
      </c>
      <c r="E844">
        <v>15514512</v>
      </c>
      <c r="F844">
        <v>1</v>
      </c>
      <c r="G844">
        <v>15514512</v>
      </c>
      <c r="H844">
        <v>3</v>
      </c>
      <c r="I844" t="s">
        <v>956</v>
      </c>
      <c r="J844" t="s">
        <v>3</v>
      </c>
      <c r="K844" t="s">
        <v>958</v>
      </c>
      <c r="L844">
        <v>1346</v>
      </c>
      <c r="N844">
        <v>1009</v>
      </c>
      <c r="O844" t="s">
        <v>898</v>
      </c>
      <c r="P844" t="s">
        <v>898</v>
      </c>
      <c r="Q844">
        <v>1</v>
      </c>
      <c r="X844">
        <v>0.14000000000000001</v>
      </c>
      <c r="Y844">
        <v>73.951729999999998</v>
      </c>
      <c r="Z844">
        <v>0</v>
      </c>
      <c r="AA844">
        <v>0</v>
      </c>
      <c r="AB844">
        <v>0</v>
      </c>
      <c r="AC844">
        <v>0</v>
      </c>
      <c r="AD844">
        <v>1</v>
      </c>
      <c r="AE844">
        <v>0</v>
      </c>
      <c r="AF844" t="s">
        <v>3</v>
      </c>
      <c r="AG844">
        <v>0.14000000000000001</v>
      </c>
      <c r="AH844">
        <v>3</v>
      </c>
      <c r="AI844">
        <v>-1</v>
      </c>
      <c r="AJ844" t="s">
        <v>3</v>
      </c>
      <c r="AK844">
        <v>0</v>
      </c>
      <c r="AL844">
        <v>0</v>
      </c>
      <c r="AM844">
        <v>0</v>
      </c>
      <c r="AN844">
        <v>0</v>
      </c>
      <c r="AO844">
        <v>0</v>
      </c>
      <c r="AP844">
        <v>0</v>
      </c>
      <c r="AQ844">
        <v>0</v>
      </c>
      <c r="AR844">
        <v>0</v>
      </c>
    </row>
    <row r="845" spans="1:44" x14ac:dyDescent="0.2">
      <c r="A845">
        <f>ROW(Source!A830)</f>
        <v>830</v>
      </c>
      <c r="B845">
        <v>1472515861</v>
      </c>
      <c r="C845">
        <v>1472500421</v>
      </c>
      <c r="D845">
        <v>1441834920</v>
      </c>
      <c r="E845">
        <v>1</v>
      </c>
      <c r="F845">
        <v>1</v>
      </c>
      <c r="G845">
        <v>15514512</v>
      </c>
      <c r="H845">
        <v>3</v>
      </c>
      <c r="I845" t="s">
        <v>1048</v>
      </c>
      <c r="J845" t="s">
        <v>1049</v>
      </c>
      <c r="K845" t="s">
        <v>1050</v>
      </c>
      <c r="L845">
        <v>1346</v>
      </c>
      <c r="N845">
        <v>1009</v>
      </c>
      <c r="O845" t="s">
        <v>898</v>
      </c>
      <c r="P845" t="s">
        <v>898</v>
      </c>
      <c r="Q845">
        <v>1</v>
      </c>
      <c r="X845">
        <v>0.1</v>
      </c>
      <c r="Y845">
        <v>106.87</v>
      </c>
      <c r="Z845">
        <v>0</v>
      </c>
      <c r="AA845">
        <v>0</v>
      </c>
      <c r="AB845">
        <v>0</v>
      </c>
      <c r="AC845">
        <v>0</v>
      </c>
      <c r="AD845">
        <v>1</v>
      </c>
      <c r="AE845">
        <v>0</v>
      </c>
      <c r="AF845" t="s">
        <v>3</v>
      </c>
      <c r="AG845">
        <v>0.1</v>
      </c>
      <c r="AH845">
        <v>3</v>
      </c>
      <c r="AI845">
        <v>-1</v>
      </c>
      <c r="AJ845" t="s">
        <v>3</v>
      </c>
      <c r="AK845">
        <v>0</v>
      </c>
      <c r="AL845">
        <v>0</v>
      </c>
      <c r="AM845">
        <v>0</v>
      </c>
      <c r="AN845">
        <v>0</v>
      </c>
      <c r="AO845">
        <v>0</v>
      </c>
      <c r="AP845">
        <v>0</v>
      </c>
      <c r="AQ845">
        <v>0</v>
      </c>
      <c r="AR845">
        <v>0</v>
      </c>
    </row>
    <row r="846" spans="1:44" x14ac:dyDescent="0.2">
      <c r="A846">
        <f>ROW(Source!A831)</f>
        <v>831</v>
      </c>
      <c r="B846">
        <v>1472515862</v>
      </c>
      <c r="C846">
        <v>1472500437</v>
      </c>
      <c r="D846">
        <v>1441819193</v>
      </c>
      <c r="E846">
        <v>15514512</v>
      </c>
      <c r="F846">
        <v>1</v>
      </c>
      <c r="G846">
        <v>15514512</v>
      </c>
      <c r="H846">
        <v>1</v>
      </c>
      <c r="I846" t="s">
        <v>885</v>
      </c>
      <c r="J846" t="s">
        <v>3</v>
      </c>
      <c r="K846" t="s">
        <v>886</v>
      </c>
      <c r="L846">
        <v>1191</v>
      </c>
      <c r="N846">
        <v>1013</v>
      </c>
      <c r="O846" t="s">
        <v>887</v>
      </c>
      <c r="P846" t="s">
        <v>887</v>
      </c>
      <c r="Q846">
        <v>1</v>
      </c>
      <c r="X846">
        <v>0.8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1</v>
      </c>
      <c r="AE846">
        <v>1</v>
      </c>
      <c r="AF846" t="s">
        <v>697</v>
      </c>
      <c r="AG846">
        <v>12.8</v>
      </c>
      <c r="AH846">
        <v>3</v>
      </c>
      <c r="AI846">
        <v>-1</v>
      </c>
      <c r="AJ846" t="s">
        <v>3</v>
      </c>
      <c r="AK846">
        <v>0</v>
      </c>
      <c r="AL846">
        <v>0</v>
      </c>
      <c r="AM846">
        <v>0</v>
      </c>
      <c r="AN846">
        <v>0</v>
      </c>
      <c r="AO846">
        <v>0</v>
      </c>
      <c r="AP846">
        <v>0</v>
      </c>
      <c r="AQ846">
        <v>0</v>
      </c>
      <c r="AR846">
        <v>0</v>
      </c>
    </row>
    <row r="847" spans="1:44" x14ac:dyDescent="0.2">
      <c r="A847">
        <f>ROW(Source!A831)</f>
        <v>831</v>
      </c>
      <c r="B847">
        <v>1472515863</v>
      </c>
      <c r="C847">
        <v>1472500437</v>
      </c>
      <c r="D847">
        <v>1441822228</v>
      </c>
      <c r="E847">
        <v>15514512</v>
      </c>
      <c r="F847">
        <v>1</v>
      </c>
      <c r="G847">
        <v>15514512</v>
      </c>
      <c r="H847">
        <v>3</v>
      </c>
      <c r="I847" t="s">
        <v>956</v>
      </c>
      <c r="J847" t="s">
        <v>3</v>
      </c>
      <c r="K847" t="s">
        <v>958</v>
      </c>
      <c r="L847">
        <v>1346</v>
      </c>
      <c r="N847">
        <v>1009</v>
      </c>
      <c r="O847" t="s">
        <v>898</v>
      </c>
      <c r="P847" t="s">
        <v>898</v>
      </c>
      <c r="Q847">
        <v>1</v>
      </c>
      <c r="X847">
        <v>0.01</v>
      </c>
      <c r="Y847">
        <v>73.951729999999998</v>
      </c>
      <c r="Z847">
        <v>0</v>
      </c>
      <c r="AA847">
        <v>0</v>
      </c>
      <c r="AB847">
        <v>0</v>
      </c>
      <c r="AC847">
        <v>0</v>
      </c>
      <c r="AD847">
        <v>1</v>
      </c>
      <c r="AE847">
        <v>0</v>
      </c>
      <c r="AF847" t="s">
        <v>697</v>
      </c>
      <c r="AG847">
        <v>0.16</v>
      </c>
      <c r="AH847">
        <v>3</v>
      </c>
      <c r="AI847">
        <v>-1</v>
      </c>
      <c r="AJ847" t="s">
        <v>3</v>
      </c>
      <c r="AK847">
        <v>0</v>
      </c>
      <c r="AL847">
        <v>0</v>
      </c>
      <c r="AM847">
        <v>0</v>
      </c>
      <c r="AN847">
        <v>0</v>
      </c>
      <c r="AO847">
        <v>0</v>
      </c>
      <c r="AP847">
        <v>0</v>
      </c>
      <c r="AQ847">
        <v>0</v>
      </c>
      <c r="AR847">
        <v>0</v>
      </c>
    </row>
    <row r="848" spans="1:44" x14ac:dyDescent="0.2">
      <c r="A848">
        <f>ROW(Source!A832)</f>
        <v>832</v>
      </c>
      <c r="B848">
        <v>1472515866</v>
      </c>
      <c r="C848">
        <v>1472500446</v>
      </c>
      <c r="D848">
        <v>1441819193</v>
      </c>
      <c r="E848">
        <v>15514512</v>
      </c>
      <c r="F848">
        <v>1</v>
      </c>
      <c r="G848">
        <v>15514512</v>
      </c>
      <c r="H848">
        <v>1</v>
      </c>
      <c r="I848" t="s">
        <v>885</v>
      </c>
      <c r="J848" t="s">
        <v>3</v>
      </c>
      <c r="K848" t="s">
        <v>886</v>
      </c>
      <c r="L848">
        <v>1191</v>
      </c>
      <c r="N848">
        <v>1013</v>
      </c>
      <c r="O848" t="s">
        <v>887</v>
      </c>
      <c r="P848" t="s">
        <v>887</v>
      </c>
      <c r="Q848">
        <v>1</v>
      </c>
      <c r="X848">
        <v>2.4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1</v>
      </c>
      <c r="AE848">
        <v>1</v>
      </c>
      <c r="AF848" t="s">
        <v>3</v>
      </c>
      <c r="AG848">
        <v>2.4</v>
      </c>
      <c r="AH848">
        <v>3</v>
      </c>
      <c r="AI848">
        <v>-1</v>
      </c>
      <c r="AJ848" t="s">
        <v>3</v>
      </c>
      <c r="AK848">
        <v>0</v>
      </c>
      <c r="AL848">
        <v>0</v>
      </c>
      <c r="AM848">
        <v>0</v>
      </c>
      <c r="AN848">
        <v>0</v>
      </c>
      <c r="AO848">
        <v>0</v>
      </c>
      <c r="AP848">
        <v>0</v>
      </c>
      <c r="AQ848">
        <v>0</v>
      </c>
      <c r="AR848">
        <v>0</v>
      </c>
    </row>
    <row r="849" spans="1:44" x14ac:dyDescent="0.2">
      <c r="A849">
        <f>ROW(Source!A832)</f>
        <v>832</v>
      </c>
      <c r="B849">
        <v>1472515867</v>
      </c>
      <c r="C849">
        <v>1472500446</v>
      </c>
      <c r="D849">
        <v>1441836235</v>
      </c>
      <c r="E849">
        <v>1</v>
      </c>
      <c r="F849">
        <v>1</v>
      </c>
      <c r="G849">
        <v>15514512</v>
      </c>
      <c r="H849">
        <v>3</v>
      </c>
      <c r="I849" t="s">
        <v>912</v>
      </c>
      <c r="J849" t="s">
        <v>913</v>
      </c>
      <c r="K849" t="s">
        <v>914</v>
      </c>
      <c r="L849">
        <v>1346</v>
      </c>
      <c r="N849">
        <v>1009</v>
      </c>
      <c r="O849" t="s">
        <v>898</v>
      </c>
      <c r="P849" t="s">
        <v>898</v>
      </c>
      <c r="Q849">
        <v>1</v>
      </c>
      <c r="X849">
        <v>0.5</v>
      </c>
      <c r="Y849">
        <v>31.49</v>
      </c>
      <c r="Z849">
        <v>0</v>
      </c>
      <c r="AA849">
        <v>0</v>
      </c>
      <c r="AB849">
        <v>0</v>
      </c>
      <c r="AC849">
        <v>0</v>
      </c>
      <c r="AD849">
        <v>1</v>
      </c>
      <c r="AE849">
        <v>0</v>
      </c>
      <c r="AF849" t="s">
        <v>3</v>
      </c>
      <c r="AG849">
        <v>0.5</v>
      </c>
      <c r="AH849">
        <v>3</v>
      </c>
      <c r="AI849">
        <v>-1</v>
      </c>
      <c r="AJ849" t="s">
        <v>3</v>
      </c>
      <c r="AK849">
        <v>0</v>
      </c>
      <c r="AL849">
        <v>0</v>
      </c>
      <c r="AM849">
        <v>0</v>
      </c>
      <c r="AN849">
        <v>0</v>
      </c>
      <c r="AO849">
        <v>0</v>
      </c>
      <c r="AP849">
        <v>0</v>
      </c>
      <c r="AQ849">
        <v>0</v>
      </c>
      <c r="AR849">
        <v>0</v>
      </c>
    </row>
    <row r="850" spans="1:44" x14ac:dyDescent="0.2">
      <c r="A850">
        <f>ROW(Source!A832)</f>
        <v>832</v>
      </c>
      <c r="B850">
        <v>1472515868</v>
      </c>
      <c r="C850">
        <v>1472500446</v>
      </c>
      <c r="D850">
        <v>1441834658</v>
      </c>
      <c r="E850">
        <v>1</v>
      </c>
      <c r="F850">
        <v>1</v>
      </c>
      <c r="G850">
        <v>15514512</v>
      </c>
      <c r="H850">
        <v>3</v>
      </c>
      <c r="I850" t="s">
        <v>1063</v>
      </c>
      <c r="J850" t="s">
        <v>1064</v>
      </c>
      <c r="K850" t="s">
        <v>1065</v>
      </c>
      <c r="L850">
        <v>1348</v>
      </c>
      <c r="N850">
        <v>1009</v>
      </c>
      <c r="O850" t="s">
        <v>905</v>
      </c>
      <c r="P850" t="s">
        <v>905</v>
      </c>
      <c r="Q850">
        <v>1000</v>
      </c>
      <c r="X850">
        <v>3.4000000000000002E-4</v>
      </c>
      <c r="Y850">
        <v>190945.35</v>
      </c>
      <c r="Z850">
        <v>0</v>
      </c>
      <c r="AA850">
        <v>0</v>
      </c>
      <c r="AB850">
        <v>0</v>
      </c>
      <c r="AC850">
        <v>0</v>
      </c>
      <c r="AD850">
        <v>1</v>
      </c>
      <c r="AE850">
        <v>0</v>
      </c>
      <c r="AF850" t="s">
        <v>3</v>
      </c>
      <c r="AG850">
        <v>3.4000000000000002E-4</v>
      </c>
      <c r="AH850">
        <v>3</v>
      </c>
      <c r="AI850">
        <v>-1</v>
      </c>
      <c r="AJ850" t="s">
        <v>3</v>
      </c>
      <c r="AK850">
        <v>0</v>
      </c>
      <c r="AL850">
        <v>0</v>
      </c>
      <c r="AM850">
        <v>0</v>
      </c>
      <c r="AN850">
        <v>0</v>
      </c>
      <c r="AO850">
        <v>0</v>
      </c>
      <c r="AP850">
        <v>0</v>
      </c>
      <c r="AQ850">
        <v>0</v>
      </c>
      <c r="AR850">
        <v>0</v>
      </c>
    </row>
    <row r="851" spans="1:44" x14ac:dyDescent="0.2">
      <c r="A851">
        <f>ROW(Source!A833)</f>
        <v>833</v>
      </c>
      <c r="B851">
        <v>1472515869</v>
      </c>
      <c r="C851">
        <v>1472500458</v>
      </c>
      <c r="D851">
        <v>1441819193</v>
      </c>
      <c r="E851">
        <v>15514512</v>
      </c>
      <c r="F851">
        <v>1</v>
      </c>
      <c r="G851">
        <v>15514512</v>
      </c>
      <c r="H851">
        <v>1</v>
      </c>
      <c r="I851" t="s">
        <v>885</v>
      </c>
      <c r="J851" t="s">
        <v>3</v>
      </c>
      <c r="K851" t="s">
        <v>886</v>
      </c>
      <c r="L851">
        <v>1191</v>
      </c>
      <c r="N851">
        <v>1013</v>
      </c>
      <c r="O851" t="s">
        <v>887</v>
      </c>
      <c r="P851" t="s">
        <v>887</v>
      </c>
      <c r="Q851">
        <v>1</v>
      </c>
      <c r="X851">
        <v>1.06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1</v>
      </c>
      <c r="AE851">
        <v>1</v>
      </c>
      <c r="AF851" t="s">
        <v>28</v>
      </c>
      <c r="AG851">
        <v>2.12</v>
      </c>
      <c r="AH851">
        <v>3</v>
      </c>
      <c r="AI851">
        <v>-1</v>
      </c>
      <c r="AJ851" t="s">
        <v>3</v>
      </c>
      <c r="AK851">
        <v>0</v>
      </c>
      <c r="AL851">
        <v>0</v>
      </c>
      <c r="AM851">
        <v>0</v>
      </c>
      <c r="AN851">
        <v>0</v>
      </c>
      <c r="AO851">
        <v>0</v>
      </c>
      <c r="AP851">
        <v>0</v>
      </c>
      <c r="AQ851">
        <v>0</v>
      </c>
      <c r="AR851">
        <v>0</v>
      </c>
    </row>
    <row r="852" spans="1:44" x14ac:dyDescent="0.2">
      <c r="A852">
        <f>ROW(Source!A834)</f>
        <v>834</v>
      </c>
      <c r="B852">
        <v>1472515870</v>
      </c>
      <c r="C852">
        <v>1472500463</v>
      </c>
      <c r="D852">
        <v>1441819193</v>
      </c>
      <c r="E852">
        <v>15514512</v>
      </c>
      <c r="F852">
        <v>1</v>
      </c>
      <c r="G852">
        <v>15514512</v>
      </c>
      <c r="H852">
        <v>1</v>
      </c>
      <c r="I852" t="s">
        <v>885</v>
      </c>
      <c r="J852" t="s">
        <v>3</v>
      </c>
      <c r="K852" t="s">
        <v>886</v>
      </c>
      <c r="L852">
        <v>1191</v>
      </c>
      <c r="N852">
        <v>1013</v>
      </c>
      <c r="O852" t="s">
        <v>887</v>
      </c>
      <c r="P852" t="s">
        <v>887</v>
      </c>
      <c r="Q852">
        <v>1</v>
      </c>
      <c r="X852">
        <v>0.55000000000000004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1</v>
      </c>
      <c r="AE852">
        <v>1</v>
      </c>
      <c r="AF852" t="s">
        <v>3</v>
      </c>
      <c r="AG852">
        <v>0.55000000000000004</v>
      </c>
      <c r="AH852">
        <v>3</v>
      </c>
      <c r="AI852">
        <v>-1</v>
      </c>
      <c r="AJ852" t="s">
        <v>3</v>
      </c>
      <c r="AK852">
        <v>0</v>
      </c>
      <c r="AL852">
        <v>0</v>
      </c>
      <c r="AM852">
        <v>0</v>
      </c>
      <c r="AN852">
        <v>0</v>
      </c>
      <c r="AO852">
        <v>0</v>
      </c>
      <c r="AP852">
        <v>0</v>
      </c>
      <c r="AQ852">
        <v>0</v>
      </c>
      <c r="AR852">
        <v>0</v>
      </c>
    </row>
    <row r="853" spans="1:44" x14ac:dyDescent="0.2">
      <c r="A853">
        <f>ROW(Source!A834)</f>
        <v>834</v>
      </c>
      <c r="B853">
        <v>1472515871</v>
      </c>
      <c r="C853">
        <v>1472500463</v>
      </c>
      <c r="D853">
        <v>1441834258</v>
      </c>
      <c r="E853">
        <v>1</v>
      </c>
      <c r="F853">
        <v>1</v>
      </c>
      <c r="G853">
        <v>15514512</v>
      </c>
      <c r="H853">
        <v>2</v>
      </c>
      <c r="I853" t="s">
        <v>892</v>
      </c>
      <c r="J853" t="s">
        <v>893</v>
      </c>
      <c r="K853" t="s">
        <v>894</v>
      </c>
      <c r="L853">
        <v>1368</v>
      </c>
      <c r="N853">
        <v>1011</v>
      </c>
      <c r="O853" t="s">
        <v>895</v>
      </c>
      <c r="P853" t="s">
        <v>895</v>
      </c>
      <c r="Q853">
        <v>1</v>
      </c>
      <c r="X853">
        <v>0.04</v>
      </c>
      <c r="Y853">
        <v>0</v>
      </c>
      <c r="Z853">
        <v>1303.01</v>
      </c>
      <c r="AA853">
        <v>826.2</v>
      </c>
      <c r="AB853">
        <v>0</v>
      </c>
      <c r="AC853">
        <v>0</v>
      </c>
      <c r="AD853">
        <v>1</v>
      </c>
      <c r="AE853">
        <v>0</v>
      </c>
      <c r="AF853" t="s">
        <v>3</v>
      </c>
      <c r="AG853">
        <v>0.04</v>
      </c>
      <c r="AH853">
        <v>3</v>
      </c>
      <c r="AI853">
        <v>-1</v>
      </c>
      <c r="AJ853" t="s">
        <v>3</v>
      </c>
      <c r="AK853">
        <v>0</v>
      </c>
      <c r="AL853">
        <v>0</v>
      </c>
      <c r="AM853">
        <v>0</v>
      </c>
      <c r="AN853">
        <v>0</v>
      </c>
      <c r="AO853">
        <v>0</v>
      </c>
      <c r="AP853">
        <v>0</v>
      </c>
      <c r="AQ853">
        <v>0</v>
      </c>
      <c r="AR853">
        <v>0</v>
      </c>
    </row>
    <row r="854" spans="1:44" x14ac:dyDescent="0.2">
      <c r="A854">
        <f>ROW(Source!A834)</f>
        <v>834</v>
      </c>
      <c r="B854">
        <v>1472515872</v>
      </c>
      <c r="C854">
        <v>1472500463</v>
      </c>
      <c r="D854">
        <v>1441836235</v>
      </c>
      <c r="E854">
        <v>1</v>
      </c>
      <c r="F854">
        <v>1</v>
      </c>
      <c r="G854">
        <v>15514512</v>
      </c>
      <c r="H854">
        <v>3</v>
      </c>
      <c r="I854" t="s">
        <v>912</v>
      </c>
      <c r="J854" t="s">
        <v>913</v>
      </c>
      <c r="K854" t="s">
        <v>914</v>
      </c>
      <c r="L854">
        <v>1346</v>
      </c>
      <c r="N854">
        <v>1009</v>
      </c>
      <c r="O854" t="s">
        <v>898</v>
      </c>
      <c r="P854" t="s">
        <v>898</v>
      </c>
      <c r="Q854">
        <v>1</v>
      </c>
      <c r="X854">
        <v>4.0000000000000001E-3</v>
      </c>
      <c r="Y854">
        <v>31.49</v>
      </c>
      <c r="Z854">
        <v>0</v>
      </c>
      <c r="AA854">
        <v>0</v>
      </c>
      <c r="AB854">
        <v>0</v>
      </c>
      <c r="AC854">
        <v>0</v>
      </c>
      <c r="AD854">
        <v>1</v>
      </c>
      <c r="AE854">
        <v>0</v>
      </c>
      <c r="AF854" t="s">
        <v>3</v>
      </c>
      <c r="AG854">
        <v>4.0000000000000001E-3</v>
      </c>
      <c r="AH854">
        <v>3</v>
      </c>
      <c r="AI854">
        <v>-1</v>
      </c>
      <c r="AJ854" t="s">
        <v>3</v>
      </c>
      <c r="AK854">
        <v>0</v>
      </c>
      <c r="AL854">
        <v>0</v>
      </c>
      <c r="AM854">
        <v>0</v>
      </c>
      <c r="AN854">
        <v>0</v>
      </c>
      <c r="AO854">
        <v>0</v>
      </c>
      <c r="AP854">
        <v>0</v>
      </c>
      <c r="AQ854">
        <v>0</v>
      </c>
      <c r="AR854">
        <v>0</v>
      </c>
    </row>
    <row r="855" spans="1:44" x14ac:dyDescent="0.2">
      <c r="A855">
        <f>ROW(Source!A835)</f>
        <v>835</v>
      </c>
      <c r="B855">
        <v>1472515873</v>
      </c>
      <c r="C855">
        <v>1472500475</v>
      </c>
      <c r="D855">
        <v>1441819193</v>
      </c>
      <c r="E855">
        <v>15514512</v>
      </c>
      <c r="F855">
        <v>1</v>
      </c>
      <c r="G855">
        <v>15514512</v>
      </c>
      <c r="H855">
        <v>1</v>
      </c>
      <c r="I855" t="s">
        <v>885</v>
      </c>
      <c r="J855" t="s">
        <v>3</v>
      </c>
      <c r="K855" t="s">
        <v>886</v>
      </c>
      <c r="L855">
        <v>1191</v>
      </c>
      <c r="N855">
        <v>1013</v>
      </c>
      <c r="O855" t="s">
        <v>887</v>
      </c>
      <c r="P855" t="s">
        <v>887</v>
      </c>
      <c r="Q855">
        <v>1</v>
      </c>
      <c r="X855">
        <v>0.23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1</v>
      </c>
      <c r="AE855">
        <v>1</v>
      </c>
      <c r="AF855" t="s">
        <v>516</v>
      </c>
      <c r="AG855">
        <v>0.69000000000000006</v>
      </c>
      <c r="AH855">
        <v>3</v>
      </c>
      <c r="AI855">
        <v>-1</v>
      </c>
      <c r="AJ855" t="s">
        <v>3</v>
      </c>
      <c r="AK855">
        <v>0</v>
      </c>
      <c r="AL855">
        <v>0</v>
      </c>
      <c r="AM855">
        <v>0</v>
      </c>
      <c r="AN855">
        <v>0</v>
      </c>
      <c r="AO855">
        <v>0</v>
      </c>
      <c r="AP855">
        <v>0</v>
      </c>
      <c r="AQ855">
        <v>0</v>
      </c>
      <c r="AR855">
        <v>0</v>
      </c>
    </row>
    <row r="856" spans="1:44" x14ac:dyDescent="0.2">
      <c r="A856">
        <f>ROW(Source!A837)</f>
        <v>837</v>
      </c>
      <c r="B856">
        <v>1474093967</v>
      </c>
      <c r="C856">
        <v>1474093952</v>
      </c>
      <c r="D856">
        <v>1441819193</v>
      </c>
      <c r="E856">
        <v>15514512</v>
      </c>
      <c r="F856">
        <v>1</v>
      </c>
      <c r="G856">
        <v>15514512</v>
      </c>
      <c r="H856">
        <v>1</v>
      </c>
      <c r="I856" t="s">
        <v>885</v>
      </c>
      <c r="J856" t="s">
        <v>3</v>
      </c>
      <c r="K856" t="s">
        <v>886</v>
      </c>
      <c r="L856">
        <v>1191</v>
      </c>
      <c r="N856">
        <v>1013</v>
      </c>
      <c r="O856" t="s">
        <v>887</v>
      </c>
      <c r="P856" t="s">
        <v>887</v>
      </c>
      <c r="Q856">
        <v>1</v>
      </c>
      <c r="X856">
        <v>0.18</v>
      </c>
      <c r="Y856">
        <v>0</v>
      </c>
      <c r="Z856">
        <v>0</v>
      </c>
      <c r="AA856">
        <v>0</v>
      </c>
      <c r="AB856">
        <v>0</v>
      </c>
      <c r="AC856">
        <v>0</v>
      </c>
      <c r="AD856">
        <v>1</v>
      </c>
      <c r="AE856">
        <v>1</v>
      </c>
      <c r="AF856" t="s">
        <v>3</v>
      </c>
      <c r="AG856">
        <v>0.18</v>
      </c>
      <c r="AH856">
        <v>3</v>
      </c>
      <c r="AI856">
        <v>-1</v>
      </c>
      <c r="AJ856" t="s">
        <v>3</v>
      </c>
      <c r="AK856">
        <v>0</v>
      </c>
      <c r="AL856">
        <v>0</v>
      </c>
      <c r="AM856">
        <v>0</v>
      </c>
      <c r="AN856">
        <v>0</v>
      </c>
      <c r="AO856">
        <v>0</v>
      </c>
      <c r="AP856">
        <v>0</v>
      </c>
      <c r="AQ856">
        <v>0</v>
      </c>
      <c r="AR856">
        <v>0</v>
      </c>
    </row>
    <row r="857" spans="1:44" x14ac:dyDescent="0.2">
      <c r="A857">
        <f>ROW(Source!A837)</f>
        <v>837</v>
      </c>
      <c r="B857">
        <v>1474093968</v>
      </c>
      <c r="C857">
        <v>1474093952</v>
      </c>
      <c r="D857">
        <v>1441836235</v>
      </c>
      <c r="E857">
        <v>1</v>
      </c>
      <c r="F857">
        <v>1</v>
      </c>
      <c r="G857">
        <v>15514512</v>
      </c>
      <c r="H857">
        <v>3</v>
      </c>
      <c r="I857" t="s">
        <v>912</v>
      </c>
      <c r="J857" t="s">
        <v>913</v>
      </c>
      <c r="K857" t="s">
        <v>914</v>
      </c>
      <c r="L857">
        <v>1346</v>
      </c>
      <c r="N857">
        <v>1009</v>
      </c>
      <c r="O857" t="s">
        <v>898</v>
      </c>
      <c r="P857" t="s">
        <v>898</v>
      </c>
      <c r="Q857">
        <v>1</v>
      </c>
      <c r="X857">
        <v>0.2</v>
      </c>
      <c r="Y857">
        <v>31.49</v>
      </c>
      <c r="Z857">
        <v>0</v>
      </c>
      <c r="AA857">
        <v>0</v>
      </c>
      <c r="AB857">
        <v>0</v>
      </c>
      <c r="AC857">
        <v>0</v>
      </c>
      <c r="AD857">
        <v>1</v>
      </c>
      <c r="AE857">
        <v>0</v>
      </c>
      <c r="AF857" t="s">
        <v>3</v>
      </c>
      <c r="AG857">
        <v>0.2</v>
      </c>
      <c r="AH857">
        <v>3</v>
      </c>
      <c r="AI857">
        <v>-1</v>
      </c>
      <c r="AJ857" t="s">
        <v>3</v>
      </c>
      <c r="AK857">
        <v>0</v>
      </c>
      <c r="AL857">
        <v>0</v>
      </c>
      <c r="AM857">
        <v>0</v>
      </c>
      <c r="AN857">
        <v>0</v>
      </c>
      <c r="AO857">
        <v>0</v>
      </c>
      <c r="AP857">
        <v>0</v>
      </c>
      <c r="AQ857">
        <v>0</v>
      </c>
      <c r="AR857">
        <v>0</v>
      </c>
    </row>
    <row r="858" spans="1:44" x14ac:dyDescent="0.2">
      <c r="A858">
        <f>ROW(Source!A838)</f>
        <v>838</v>
      </c>
      <c r="B858">
        <v>1472515874</v>
      </c>
      <c r="C858">
        <v>1472500503</v>
      </c>
      <c r="D858">
        <v>1441819193</v>
      </c>
      <c r="E858">
        <v>15514512</v>
      </c>
      <c r="F858">
        <v>1</v>
      </c>
      <c r="G858">
        <v>15514512</v>
      </c>
      <c r="H858">
        <v>1</v>
      </c>
      <c r="I858" t="s">
        <v>885</v>
      </c>
      <c r="J858" t="s">
        <v>3</v>
      </c>
      <c r="K858" t="s">
        <v>886</v>
      </c>
      <c r="L858">
        <v>1191</v>
      </c>
      <c r="N858">
        <v>1013</v>
      </c>
      <c r="O858" t="s">
        <v>887</v>
      </c>
      <c r="P858" t="s">
        <v>887</v>
      </c>
      <c r="Q858">
        <v>1</v>
      </c>
      <c r="X858">
        <v>0.24</v>
      </c>
      <c r="Y858">
        <v>0</v>
      </c>
      <c r="Z858">
        <v>0</v>
      </c>
      <c r="AA858">
        <v>0</v>
      </c>
      <c r="AB858">
        <v>0</v>
      </c>
      <c r="AC858">
        <v>0</v>
      </c>
      <c r="AD858">
        <v>1</v>
      </c>
      <c r="AE858">
        <v>1</v>
      </c>
      <c r="AF858" t="s">
        <v>106</v>
      </c>
      <c r="AG858">
        <v>0.96</v>
      </c>
      <c r="AH858">
        <v>3</v>
      </c>
      <c r="AI858">
        <v>-1</v>
      </c>
      <c r="AJ858" t="s">
        <v>3</v>
      </c>
      <c r="AK858">
        <v>0</v>
      </c>
      <c r="AL858">
        <v>0</v>
      </c>
      <c r="AM858">
        <v>0</v>
      </c>
      <c r="AN858">
        <v>0</v>
      </c>
      <c r="AO858">
        <v>0</v>
      </c>
      <c r="AP858">
        <v>0</v>
      </c>
      <c r="AQ858">
        <v>0</v>
      </c>
      <c r="AR858">
        <v>0</v>
      </c>
    </row>
    <row r="859" spans="1:44" x14ac:dyDescent="0.2">
      <c r="A859">
        <f>ROW(Source!A840)</f>
        <v>840</v>
      </c>
      <c r="B859">
        <v>1472515875</v>
      </c>
      <c r="C859">
        <v>1472500509</v>
      </c>
      <c r="D859">
        <v>1441819193</v>
      </c>
      <c r="E859">
        <v>15514512</v>
      </c>
      <c r="F859">
        <v>1</v>
      </c>
      <c r="G859">
        <v>15514512</v>
      </c>
      <c r="H859">
        <v>1</v>
      </c>
      <c r="I859" t="s">
        <v>885</v>
      </c>
      <c r="J859" t="s">
        <v>3</v>
      </c>
      <c r="K859" t="s">
        <v>886</v>
      </c>
      <c r="L859">
        <v>1191</v>
      </c>
      <c r="N859">
        <v>1013</v>
      </c>
      <c r="O859" t="s">
        <v>887</v>
      </c>
      <c r="P859" t="s">
        <v>887</v>
      </c>
      <c r="Q859">
        <v>1</v>
      </c>
      <c r="X859">
        <v>0.2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1</v>
      </c>
      <c r="AE859">
        <v>1</v>
      </c>
      <c r="AF859" t="s">
        <v>773</v>
      </c>
      <c r="AG859">
        <v>0.20800000000000002</v>
      </c>
      <c r="AH859">
        <v>3</v>
      </c>
      <c r="AI859">
        <v>-1</v>
      </c>
      <c r="AJ859" t="s">
        <v>3</v>
      </c>
      <c r="AK859">
        <v>0</v>
      </c>
      <c r="AL859">
        <v>0</v>
      </c>
      <c r="AM859">
        <v>0</v>
      </c>
      <c r="AN859">
        <v>0</v>
      </c>
      <c r="AO859">
        <v>0</v>
      </c>
      <c r="AP859">
        <v>0</v>
      </c>
      <c r="AQ859">
        <v>0</v>
      </c>
      <c r="AR859">
        <v>0</v>
      </c>
    </row>
    <row r="860" spans="1:44" x14ac:dyDescent="0.2">
      <c r="A860">
        <f>ROW(Source!A840)</f>
        <v>840</v>
      </c>
      <c r="B860">
        <v>1472515876</v>
      </c>
      <c r="C860">
        <v>1472500509</v>
      </c>
      <c r="D860">
        <v>1441836235</v>
      </c>
      <c r="E860">
        <v>1</v>
      </c>
      <c r="F860">
        <v>1</v>
      </c>
      <c r="G860">
        <v>15514512</v>
      </c>
      <c r="H860">
        <v>3</v>
      </c>
      <c r="I860" t="s">
        <v>912</v>
      </c>
      <c r="J860" t="s">
        <v>913</v>
      </c>
      <c r="K860" t="s">
        <v>914</v>
      </c>
      <c r="L860">
        <v>1346</v>
      </c>
      <c r="N860">
        <v>1009</v>
      </c>
      <c r="O860" t="s">
        <v>898</v>
      </c>
      <c r="P860" t="s">
        <v>898</v>
      </c>
      <c r="Q860">
        <v>1</v>
      </c>
      <c r="X860">
        <v>0.05</v>
      </c>
      <c r="Y860">
        <v>31.49</v>
      </c>
      <c r="Z860">
        <v>0</v>
      </c>
      <c r="AA860">
        <v>0</v>
      </c>
      <c r="AB860">
        <v>0</v>
      </c>
      <c r="AC860">
        <v>0</v>
      </c>
      <c r="AD860">
        <v>1</v>
      </c>
      <c r="AE860">
        <v>0</v>
      </c>
      <c r="AF860" t="s">
        <v>3</v>
      </c>
      <c r="AG860">
        <v>0.05</v>
      </c>
      <c r="AH860">
        <v>3</v>
      </c>
      <c r="AI860">
        <v>-1</v>
      </c>
      <c r="AJ860" t="s">
        <v>3</v>
      </c>
      <c r="AK860">
        <v>0</v>
      </c>
      <c r="AL860">
        <v>0</v>
      </c>
      <c r="AM860">
        <v>0</v>
      </c>
      <c r="AN860">
        <v>0</v>
      </c>
      <c r="AO860">
        <v>0</v>
      </c>
      <c r="AP860">
        <v>0</v>
      </c>
      <c r="AQ860">
        <v>0</v>
      </c>
      <c r="AR860">
        <v>0</v>
      </c>
    </row>
    <row r="861" spans="1:44" x14ac:dyDescent="0.2">
      <c r="A861">
        <f>ROW(Source!A841)</f>
        <v>841</v>
      </c>
      <c r="B861">
        <v>1472515877</v>
      </c>
      <c r="C861">
        <v>1472500518</v>
      </c>
      <c r="D861">
        <v>1441819193</v>
      </c>
      <c r="E861">
        <v>15514512</v>
      </c>
      <c r="F861">
        <v>1</v>
      </c>
      <c r="G861">
        <v>15514512</v>
      </c>
      <c r="H861">
        <v>1</v>
      </c>
      <c r="I861" t="s">
        <v>885</v>
      </c>
      <c r="J861" t="s">
        <v>3</v>
      </c>
      <c r="K861" t="s">
        <v>886</v>
      </c>
      <c r="L861">
        <v>1191</v>
      </c>
      <c r="N861">
        <v>1013</v>
      </c>
      <c r="O861" t="s">
        <v>887</v>
      </c>
      <c r="P861" t="s">
        <v>887</v>
      </c>
      <c r="Q861">
        <v>1</v>
      </c>
      <c r="X861">
        <v>0.48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1</v>
      </c>
      <c r="AE861">
        <v>1</v>
      </c>
      <c r="AF861" t="s">
        <v>773</v>
      </c>
      <c r="AG861">
        <v>0.49919999999999998</v>
      </c>
      <c r="AH861">
        <v>3</v>
      </c>
      <c r="AI861">
        <v>-1</v>
      </c>
      <c r="AJ861" t="s">
        <v>3</v>
      </c>
      <c r="AK861">
        <v>0</v>
      </c>
      <c r="AL861">
        <v>0</v>
      </c>
      <c r="AM861">
        <v>0</v>
      </c>
      <c r="AN861">
        <v>0</v>
      </c>
      <c r="AO861">
        <v>0</v>
      </c>
      <c r="AP861">
        <v>0</v>
      </c>
      <c r="AQ861">
        <v>0</v>
      </c>
      <c r="AR861">
        <v>0</v>
      </c>
    </row>
    <row r="862" spans="1:44" x14ac:dyDescent="0.2">
      <c r="A862">
        <f>ROW(Source!A841)</f>
        <v>841</v>
      </c>
      <c r="B862">
        <v>1472515878</v>
      </c>
      <c r="C862">
        <v>1472500518</v>
      </c>
      <c r="D862">
        <v>1441836235</v>
      </c>
      <c r="E862">
        <v>1</v>
      </c>
      <c r="F862">
        <v>1</v>
      </c>
      <c r="G862">
        <v>15514512</v>
      </c>
      <c r="H862">
        <v>3</v>
      </c>
      <c r="I862" t="s">
        <v>912</v>
      </c>
      <c r="J862" t="s">
        <v>913</v>
      </c>
      <c r="K862" t="s">
        <v>914</v>
      </c>
      <c r="L862">
        <v>1346</v>
      </c>
      <c r="N862">
        <v>1009</v>
      </c>
      <c r="O862" t="s">
        <v>898</v>
      </c>
      <c r="P862" t="s">
        <v>898</v>
      </c>
      <c r="Q862">
        <v>1</v>
      </c>
      <c r="X862">
        <v>0.05</v>
      </c>
      <c r="Y862">
        <v>31.49</v>
      </c>
      <c r="Z862">
        <v>0</v>
      </c>
      <c r="AA862">
        <v>0</v>
      </c>
      <c r="AB862">
        <v>0</v>
      </c>
      <c r="AC862">
        <v>0</v>
      </c>
      <c r="AD862">
        <v>1</v>
      </c>
      <c r="AE862">
        <v>0</v>
      </c>
      <c r="AF862" t="s">
        <v>3</v>
      </c>
      <c r="AG862">
        <v>0.05</v>
      </c>
      <c r="AH862">
        <v>3</v>
      </c>
      <c r="AI862">
        <v>-1</v>
      </c>
      <c r="AJ862" t="s">
        <v>3</v>
      </c>
      <c r="AK862">
        <v>0</v>
      </c>
      <c r="AL862">
        <v>0</v>
      </c>
      <c r="AM862">
        <v>0</v>
      </c>
      <c r="AN862">
        <v>0</v>
      </c>
      <c r="AO862">
        <v>0</v>
      </c>
      <c r="AP862">
        <v>0</v>
      </c>
      <c r="AQ862">
        <v>0</v>
      </c>
      <c r="AR862">
        <v>0</v>
      </c>
    </row>
    <row r="863" spans="1:44" x14ac:dyDescent="0.2">
      <c r="A863">
        <f>ROW(Source!A842)</f>
        <v>842</v>
      </c>
      <c r="B863">
        <v>1472515933</v>
      </c>
      <c r="C863">
        <v>1472500531</v>
      </c>
      <c r="D863">
        <v>1441819193</v>
      </c>
      <c r="E863">
        <v>15514512</v>
      </c>
      <c r="F863">
        <v>1</v>
      </c>
      <c r="G863">
        <v>15514512</v>
      </c>
      <c r="H863">
        <v>1</v>
      </c>
      <c r="I863" t="s">
        <v>885</v>
      </c>
      <c r="J863" t="s">
        <v>3</v>
      </c>
      <c r="K863" t="s">
        <v>886</v>
      </c>
      <c r="L863">
        <v>1191</v>
      </c>
      <c r="N863">
        <v>1013</v>
      </c>
      <c r="O863" t="s">
        <v>887</v>
      </c>
      <c r="P863" t="s">
        <v>887</v>
      </c>
      <c r="Q863">
        <v>1</v>
      </c>
      <c r="X863">
        <v>0.4</v>
      </c>
      <c r="Y863">
        <v>0</v>
      </c>
      <c r="Z863">
        <v>0</v>
      </c>
      <c r="AA863">
        <v>0</v>
      </c>
      <c r="AB863">
        <v>0</v>
      </c>
      <c r="AC863">
        <v>0</v>
      </c>
      <c r="AD863">
        <v>1</v>
      </c>
      <c r="AE863">
        <v>1</v>
      </c>
      <c r="AF863" t="s">
        <v>773</v>
      </c>
      <c r="AG863">
        <v>0.41600000000000004</v>
      </c>
      <c r="AH863">
        <v>3</v>
      </c>
      <c r="AI863">
        <v>-1</v>
      </c>
      <c r="AJ863" t="s">
        <v>3</v>
      </c>
      <c r="AK863">
        <v>0</v>
      </c>
      <c r="AL863">
        <v>0</v>
      </c>
      <c r="AM863">
        <v>0</v>
      </c>
      <c r="AN863">
        <v>0</v>
      </c>
      <c r="AO863">
        <v>0</v>
      </c>
      <c r="AP863">
        <v>0</v>
      </c>
      <c r="AQ863">
        <v>0</v>
      </c>
      <c r="AR863">
        <v>0</v>
      </c>
    </row>
    <row r="864" spans="1:44" x14ac:dyDescent="0.2">
      <c r="A864">
        <f>ROW(Source!A842)</f>
        <v>842</v>
      </c>
      <c r="B864">
        <v>1472515934</v>
      </c>
      <c r="C864">
        <v>1472500531</v>
      </c>
      <c r="D864">
        <v>1441836235</v>
      </c>
      <c r="E864">
        <v>1</v>
      </c>
      <c r="F864">
        <v>1</v>
      </c>
      <c r="G864">
        <v>15514512</v>
      </c>
      <c r="H864">
        <v>3</v>
      </c>
      <c r="I864" t="s">
        <v>912</v>
      </c>
      <c r="J864" t="s">
        <v>913</v>
      </c>
      <c r="K864" t="s">
        <v>914</v>
      </c>
      <c r="L864">
        <v>1346</v>
      </c>
      <c r="N864">
        <v>1009</v>
      </c>
      <c r="O864" t="s">
        <v>898</v>
      </c>
      <c r="P864" t="s">
        <v>898</v>
      </c>
      <c r="Q864">
        <v>1</v>
      </c>
      <c r="X864">
        <v>0.04</v>
      </c>
      <c r="Y864">
        <v>31.49</v>
      </c>
      <c r="Z864">
        <v>0</v>
      </c>
      <c r="AA864">
        <v>0</v>
      </c>
      <c r="AB864">
        <v>0</v>
      </c>
      <c r="AC864">
        <v>0</v>
      </c>
      <c r="AD864">
        <v>1</v>
      </c>
      <c r="AE864">
        <v>0</v>
      </c>
      <c r="AF864" t="s">
        <v>3</v>
      </c>
      <c r="AG864">
        <v>0.04</v>
      </c>
      <c r="AH864">
        <v>3</v>
      </c>
      <c r="AI864">
        <v>-1</v>
      </c>
      <c r="AJ864" t="s">
        <v>3</v>
      </c>
      <c r="AK864">
        <v>0</v>
      </c>
      <c r="AL864">
        <v>0</v>
      </c>
      <c r="AM864">
        <v>0</v>
      </c>
      <c r="AN864">
        <v>0</v>
      </c>
      <c r="AO864">
        <v>0</v>
      </c>
      <c r="AP864">
        <v>0</v>
      </c>
      <c r="AQ864">
        <v>0</v>
      </c>
      <c r="AR864">
        <v>0</v>
      </c>
    </row>
    <row r="865" spans="1:44" x14ac:dyDescent="0.2">
      <c r="A865">
        <f>ROW(Source!A843)</f>
        <v>843</v>
      </c>
      <c r="B865">
        <v>1472515935</v>
      </c>
      <c r="C865">
        <v>1472500552</v>
      </c>
      <c r="D865">
        <v>1441819193</v>
      </c>
      <c r="E865">
        <v>15514512</v>
      </c>
      <c r="F865">
        <v>1</v>
      </c>
      <c r="G865">
        <v>15514512</v>
      </c>
      <c r="H865">
        <v>1</v>
      </c>
      <c r="I865" t="s">
        <v>885</v>
      </c>
      <c r="J865" t="s">
        <v>3</v>
      </c>
      <c r="K865" t="s">
        <v>886</v>
      </c>
      <c r="L865">
        <v>1191</v>
      </c>
      <c r="N865">
        <v>1013</v>
      </c>
      <c r="O865" t="s">
        <v>887</v>
      </c>
      <c r="P865" t="s">
        <v>887</v>
      </c>
      <c r="Q865">
        <v>1</v>
      </c>
      <c r="X865">
        <v>0.2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1</v>
      </c>
      <c r="AE865">
        <v>1</v>
      </c>
      <c r="AF865" t="s">
        <v>236</v>
      </c>
      <c r="AG865">
        <v>0.13999999999999999</v>
      </c>
      <c r="AH865">
        <v>3</v>
      </c>
      <c r="AI865">
        <v>-1</v>
      </c>
      <c r="AJ865" t="s">
        <v>3</v>
      </c>
      <c r="AK865">
        <v>0</v>
      </c>
      <c r="AL865">
        <v>0</v>
      </c>
      <c r="AM865">
        <v>0</v>
      </c>
      <c r="AN865">
        <v>0</v>
      </c>
      <c r="AO865">
        <v>0</v>
      </c>
      <c r="AP865">
        <v>0</v>
      </c>
      <c r="AQ865">
        <v>0</v>
      </c>
      <c r="AR865">
        <v>0</v>
      </c>
    </row>
    <row r="866" spans="1:44" x14ac:dyDescent="0.2">
      <c r="A866">
        <f>ROW(Source!A843)</f>
        <v>843</v>
      </c>
      <c r="B866">
        <v>1472515936</v>
      </c>
      <c r="C866">
        <v>1472500552</v>
      </c>
      <c r="D866">
        <v>1441836187</v>
      </c>
      <c r="E866">
        <v>1</v>
      </c>
      <c r="F866">
        <v>1</v>
      </c>
      <c r="G866">
        <v>15514512</v>
      </c>
      <c r="H866">
        <v>3</v>
      </c>
      <c r="I866" t="s">
        <v>909</v>
      </c>
      <c r="J866" t="s">
        <v>910</v>
      </c>
      <c r="K866" t="s">
        <v>911</v>
      </c>
      <c r="L866">
        <v>1346</v>
      </c>
      <c r="N866">
        <v>1009</v>
      </c>
      <c r="O866" t="s">
        <v>898</v>
      </c>
      <c r="P866" t="s">
        <v>898</v>
      </c>
      <c r="Q866">
        <v>1</v>
      </c>
      <c r="X866">
        <v>0.01</v>
      </c>
      <c r="Y866">
        <v>424.66</v>
      </c>
      <c r="Z866">
        <v>0</v>
      </c>
      <c r="AA866">
        <v>0</v>
      </c>
      <c r="AB866">
        <v>0</v>
      </c>
      <c r="AC866">
        <v>0</v>
      </c>
      <c r="AD866">
        <v>1</v>
      </c>
      <c r="AE866">
        <v>0</v>
      </c>
      <c r="AF866" t="s">
        <v>235</v>
      </c>
      <c r="AG866">
        <v>0.01</v>
      </c>
      <c r="AH866">
        <v>3</v>
      </c>
      <c r="AI866">
        <v>-1</v>
      </c>
      <c r="AJ866" t="s">
        <v>3</v>
      </c>
      <c r="AK866">
        <v>0</v>
      </c>
      <c r="AL866">
        <v>0</v>
      </c>
      <c r="AM866">
        <v>0</v>
      </c>
      <c r="AN866">
        <v>0</v>
      </c>
      <c r="AO866">
        <v>0</v>
      </c>
      <c r="AP866">
        <v>0</v>
      </c>
      <c r="AQ866">
        <v>0</v>
      </c>
      <c r="AR866">
        <v>0</v>
      </c>
    </row>
    <row r="867" spans="1:44" x14ac:dyDescent="0.2">
      <c r="A867">
        <f>ROW(Source!A843)</f>
        <v>843</v>
      </c>
      <c r="B867">
        <v>1472515937</v>
      </c>
      <c r="C867">
        <v>1472500552</v>
      </c>
      <c r="D867">
        <v>1441836230</v>
      </c>
      <c r="E867">
        <v>1</v>
      </c>
      <c r="F867">
        <v>1</v>
      </c>
      <c r="G867">
        <v>15514512</v>
      </c>
      <c r="H867">
        <v>3</v>
      </c>
      <c r="I867" t="s">
        <v>946</v>
      </c>
      <c r="J867" t="s">
        <v>947</v>
      </c>
      <c r="K867" t="s">
        <v>948</v>
      </c>
      <c r="L867">
        <v>1327</v>
      </c>
      <c r="N867">
        <v>1005</v>
      </c>
      <c r="O867" t="s">
        <v>949</v>
      </c>
      <c r="P867" t="s">
        <v>949</v>
      </c>
      <c r="Q867">
        <v>1</v>
      </c>
      <c r="X867">
        <v>0.02</v>
      </c>
      <c r="Y867">
        <v>46</v>
      </c>
      <c r="Z867">
        <v>0</v>
      </c>
      <c r="AA867">
        <v>0</v>
      </c>
      <c r="AB867">
        <v>0</v>
      </c>
      <c r="AC867">
        <v>0</v>
      </c>
      <c r="AD867">
        <v>1</v>
      </c>
      <c r="AE867">
        <v>0</v>
      </c>
      <c r="AF867" t="s">
        <v>235</v>
      </c>
      <c r="AG867">
        <v>0.02</v>
      </c>
      <c r="AH867">
        <v>3</v>
      </c>
      <c r="AI867">
        <v>-1</v>
      </c>
      <c r="AJ867" t="s">
        <v>3</v>
      </c>
      <c r="AK867">
        <v>0</v>
      </c>
      <c r="AL867">
        <v>0</v>
      </c>
      <c r="AM867">
        <v>0</v>
      </c>
      <c r="AN867">
        <v>0</v>
      </c>
      <c r="AO867">
        <v>0</v>
      </c>
      <c r="AP867">
        <v>0</v>
      </c>
      <c r="AQ867">
        <v>0</v>
      </c>
      <c r="AR867">
        <v>0</v>
      </c>
    </row>
    <row r="868" spans="1:44" x14ac:dyDescent="0.2">
      <c r="A868">
        <f>ROW(Source!A844)</f>
        <v>844</v>
      </c>
      <c r="B868">
        <v>1472515938</v>
      </c>
      <c r="C868">
        <v>1472500563</v>
      </c>
      <c r="D868">
        <v>1441819193</v>
      </c>
      <c r="E868">
        <v>15514512</v>
      </c>
      <c r="F868">
        <v>1</v>
      </c>
      <c r="G868">
        <v>15514512</v>
      </c>
      <c r="H868">
        <v>1</v>
      </c>
      <c r="I868" t="s">
        <v>885</v>
      </c>
      <c r="J868" t="s">
        <v>3</v>
      </c>
      <c r="K868" t="s">
        <v>886</v>
      </c>
      <c r="L868">
        <v>1191</v>
      </c>
      <c r="N868">
        <v>1013</v>
      </c>
      <c r="O868" t="s">
        <v>887</v>
      </c>
      <c r="P868" t="s">
        <v>887</v>
      </c>
      <c r="Q868">
        <v>1</v>
      </c>
      <c r="X868">
        <v>0.12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1</v>
      </c>
      <c r="AE868">
        <v>1</v>
      </c>
      <c r="AF868" t="s">
        <v>242</v>
      </c>
      <c r="AG868">
        <v>0.27</v>
      </c>
      <c r="AH868">
        <v>3</v>
      </c>
      <c r="AI868">
        <v>-1</v>
      </c>
      <c r="AJ868" t="s">
        <v>3</v>
      </c>
      <c r="AK868">
        <v>0</v>
      </c>
      <c r="AL868">
        <v>0</v>
      </c>
      <c r="AM868">
        <v>0</v>
      </c>
      <c r="AN868">
        <v>0</v>
      </c>
      <c r="AO868">
        <v>0</v>
      </c>
      <c r="AP868">
        <v>0</v>
      </c>
      <c r="AQ868">
        <v>0</v>
      </c>
      <c r="AR868">
        <v>0</v>
      </c>
    </row>
    <row r="869" spans="1:44" x14ac:dyDescent="0.2">
      <c r="A869">
        <f>ROW(Source!A844)</f>
        <v>844</v>
      </c>
      <c r="B869">
        <v>1472515939</v>
      </c>
      <c r="C869">
        <v>1472500563</v>
      </c>
      <c r="D869">
        <v>1441834258</v>
      </c>
      <c r="E869">
        <v>1</v>
      </c>
      <c r="F869">
        <v>1</v>
      </c>
      <c r="G869">
        <v>15514512</v>
      </c>
      <c r="H869">
        <v>2</v>
      </c>
      <c r="I869" t="s">
        <v>892</v>
      </c>
      <c r="J869" t="s">
        <v>893</v>
      </c>
      <c r="K869" t="s">
        <v>894</v>
      </c>
      <c r="L869">
        <v>1368</v>
      </c>
      <c r="N869">
        <v>1011</v>
      </c>
      <c r="O869" t="s">
        <v>895</v>
      </c>
      <c r="P869" t="s">
        <v>895</v>
      </c>
      <c r="Q869">
        <v>1</v>
      </c>
      <c r="X869">
        <v>0.01</v>
      </c>
      <c r="Y869">
        <v>0</v>
      </c>
      <c r="Z869">
        <v>1303.01</v>
      </c>
      <c r="AA869">
        <v>826.2</v>
      </c>
      <c r="AB869">
        <v>0</v>
      </c>
      <c r="AC869">
        <v>0</v>
      </c>
      <c r="AD869">
        <v>1</v>
      </c>
      <c r="AE869">
        <v>0</v>
      </c>
      <c r="AF869" t="s">
        <v>242</v>
      </c>
      <c r="AG869">
        <v>2.2499999999999999E-2</v>
      </c>
      <c r="AH869">
        <v>3</v>
      </c>
      <c r="AI869">
        <v>-1</v>
      </c>
      <c r="AJ869" t="s">
        <v>3</v>
      </c>
      <c r="AK869">
        <v>0</v>
      </c>
      <c r="AL869">
        <v>0</v>
      </c>
      <c r="AM869">
        <v>0</v>
      </c>
      <c r="AN869">
        <v>0</v>
      </c>
      <c r="AO869">
        <v>0</v>
      </c>
      <c r="AP869">
        <v>0</v>
      </c>
      <c r="AQ869">
        <v>0</v>
      </c>
      <c r="AR869">
        <v>0</v>
      </c>
    </row>
    <row r="870" spans="1:44" x14ac:dyDescent="0.2">
      <c r="A870">
        <f>ROW(Source!A844)</f>
        <v>844</v>
      </c>
      <c r="B870">
        <v>1472515940</v>
      </c>
      <c r="C870">
        <v>1472500563</v>
      </c>
      <c r="D870">
        <v>1441836186</v>
      </c>
      <c r="E870">
        <v>1</v>
      </c>
      <c r="F870">
        <v>1</v>
      </c>
      <c r="G870">
        <v>15514512</v>
      </c>
      <c r="H870">
        <v>3</v>
      </c>
      <c r="I870" t="s">
        <v>943</v>
      </c>
      <c r="J870" t="s">
        <v>944</v>
      </c>
      <c r="K870" t="s">
        <v>945</v>
      </c>
      <c r="L870">
        <v>1346</v>
      </c>
      <c r="N870">
        <v>1009</v>
      </c>
      <c r="O870" t="s">
        <v>898</v>
      </c>
      <c r="P870" t="s">
        <v>898</v>
      </c>
      <c r="Q870">
        <v>1</v>
      </c>
      <c r="X870">
        <v>2.0000000000000002E-5</v>
      </c>
      <c r="Y870">
        <v>494.57</v>
      </c>
      <c r="Z870">
        <v>0</v>
      </c>
      <c r="AA870">
        <v>0</v>
      </c>
      <c r="AB870">
        <v>0</v>
      </c>
      <c r="AC870">
        <v>0</v>
      </c>
      <c r="AD870">
        <v>1</v>
      </c>
      <c r="AE870">
        <v>0</v>
      </c>
      <c r="AF870" t="s">
        <v>241</v>
      </c>
      <c r="AG870">
        <v>6.0000000000000008E-5</v>
      </c>
      <c r="AH870">
        <v>3</v>
      </c>
      <c r="AI870">
        <v>-1</v>
      </c>
      <c r="AJ870" t="s">
        <v>3</v>
      </c>
      <c r="AK870">
        <v>0</v>
      </c>
      <c r="AL870">
        <v>0</v>
      </c>
      <c r="AM870">
        <v>0</v>
      </c>
      <c r="AN870">
        <v>0</v>
      </c>
      <c r="AO870">
        <v>0</v>
      </c>
      <c r="AP870">
        <v>0</v>
      </c>
      <c r="AQ870">
        <v>0</v>
      </c>
      <c r="AR870">
        <v>0</v>
      </c>
    </row>
    <row r="871" spans="1:44" x14ac:dyDescent="0.2">
      <c r="A871">
        <f>ROW(Source!A844)</f>
        <v>844</v>
      </c>
      <c r="B871">
        <v>1472515941</v>
      </c>
      <c r="C871">
        <v>1472500563</v>
      </c>
      <c r="D871">
        <v>1441836230</v>
      </c>
      <c r="E871">
        <v>1</v>
      </c>
      <c r="F871">
        <v>1</v>
      </c>
      <c r="G871">
        <v>15514512</v>
      </c>
      <c r="H871">
        <v>3</v>
      </c>
      <c r="I871" t="s">
        <v>946</v>
      </c>
      <c r="J871" t="s">
        <v>947</v>
      </c>
      <c r="K871" t="s">
        <v>948</v>
      </c>
      <c r="L871">
        <v>1327</v>
      </c>
      <c r="N871">
        <v>1005</v>
      </c>
      <c r="O871" t="s">
        <v>949</v>
      </c>
      <c r="P871" t="s">
        <v>949</v>
      </c>
      <c r="Q871">
        <v>1</v>
      </c>
      <c r="X871">
        <v>0.01</v>
      </c>
      <c r="Y871">
        <v>46</v>
      </c>
      <c r="Z871">
        <v>0</v>
      </c>
      <c r="AA871">
        <v>0</v>
      </c>
      <c r="AB871">
        <v>0</v>
      </c>
      <c r="AC871">
        <v>0</v>
      </c>
      <c r="AD871">
        <v>1</v>
      </c>
      <c r="AE871">
        <v>0</v>
      </c>
      <c r="AF871" t="s">
        <v>241</v>
      </c>
      <c r="AG871">
        <v>0.03</v>
      </c>
      <c r="AH871">
        <v>3</v>
      </c>
      <c r="AI871">
        <v>-1</v>
      </c>
      <c r="AJ871" t="s">
        <v>3</v>
      </c>
      <c r="AK871">
        <v>0</v>
      </c>
      <c r="AL871">
        <v>0</v>
      </c>
      <c r="AM871">
        <v>0</v>
      </c>
      <c r="AN871">
        <v>0</v>
      </c>
      <c r="AO871">
        <v>0</v>
      </c>
      <c r="AP871">
        <v>0</v>
      </c>
      <c r="AQ871">
        <v>0</v>
      </c>
      <c r="AR871">
        <v>0</v>
      </c>
    </row>
    <row r="872" spans="1:44" x14ac:dyDescent="0.2">
      <c r="A872">
        <f>ROW(Source!A845)</f>
        <v>845</v>
      </c>
      <c r="B872">
        <v>1472515952</v>
      </c>
      <c r="C872">
        <v>1472500601</v>
      </c>
      <c r="D872">
        <v>1441819193</v>
      </c>
      <c r="E872">
        <v>15514512</v>
      </c>
      <c r="F872">
        <v>1</v>
      </c>
      <c r="G872">
        <v>15514512</v>
      </c>
      <c r="H872">
        <v>1</v>
      </c>
      <c r="I872" t="s">
        <v>885</v>
      </c>
      <c r="J872" t="s">
        <v>3</v>
      </c>
      <c r="K872" t="s">
        <v>886</v>
      </c>
      <c r="L872">
        <v>1191</v>
      </c>
      <c r="N872">
        <v>1013</v>
      </c>
      <c r="O872" t="s">
        <v>887</v>
      </c>
      <c r="P872" t="s">
        <v>887</v>
      </c>
      <c r="Q872">
        <v>1</v>
      </c>
      <c r="X872">
        <v>0.3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1</v>
      </c>
      <c r="AE872">
        <v>1</v>
      </c>
      <c r="AF872" t="s">
        <v>773</v>
      </c>
      <c r="AG872">
        <v>0.312</v>
      </c>
      <c r="AH872">
        <v>3</v>
      </c>
      <c r="AI872">
        <v>-1</v>
      </c>
      <c r="AJ872" t="s">
        <v>3</v>
      </c>
      <c r="AK872">
        <v>0</v>
      </c>
      <c r="AL872">
        <v>0</v>
      </c>
      <c r="AM872">
        <v>0</v>
      </c>
      <c r="AN872">
        <v>0</v>
      </c>
      <c r="AO872">
        <v>0</v>
      </c>
      <c r="AP872">
        <v>0</v>
      </c>
      <c r="AQ872">
        <v>0</v>
      </c>
      <c r="AR872">
        <v>0</v>
      </c>
    </row>
    <row r="873" spans="1:44" x14ac:dyDescent="0.2">
      <c r="A873">
        <f>ROW(Source!A845)</f>
        <v>845</v>
      </c>
      <c r="B873">
        <v>1472515953</v>
      </c>
      <c r="C873">
        <v>1472500601</v>
      </c>
      <c r="D873">
        <v>1441836235</v>
      </c>
      <c r="E873">
        <v>1</v>
      </c>
      <c r="F873">
        <v>1</v>
      </c>
      <c r="G873">
        <v>15514512</v>
      </c>
      <c r="H873">
        <v>3</v>
      </c>
      <c r="I873" t="s">
        <v>912</v>
      </c>
      <c r="J873" t="s">
        <v>913</v>
      </c>
      <c r="K873" t="s">
        <v>914</v>
      </c>
      <c r="L873">
        <v>1346</v>
      </c>
      <c r="N873">
        <v>1009</v>
      </c>
      <c r="O873" t="s">
        <v>898</v>
      </c>
      <c r="P873" t="s">
        <v>898</v>
      </c>
      <c r="Q873">
        <v>1</v>
      </c>
      <c r="X873">
        <v>0.02</v>
      </c>
      <c r="Y873">
        <v>31.49</v>
      </c>
      <c r="Z873">
        <v>0</v>
      </c>
      <c r="AA873">
        <v>0</v>
      </c>
      <c r="AB873">
        <v>0</v>
      </c>
      <c r="AC873">
        <v>0</v>
      </c>
      <c r="AD873">
        <v>1</v>
      </c>
      <c r="AE873">
        <v>0</v>
      </c>
      <c r="AF873" t="s">
        <v>3</v>
      </c>
      <c r="AG873">
        <v>0.02</v>
      </c>
      <c r="AH873">
        <v>3</v>
      </c>
      <c r="AI873">
        <v>-1</v>
      </c>
      <c r="AJ873" t="s">
        <v>3</v>
      </c>
      <c r="AK873">
        <v>0</v>
      </c>
      <c r="AL873">
        <v>0</v>
      </c>
      <c r="AM873">
        <v>0</v>
      </c>
      <c r="AN873">
        <v>0</v>
      </c>
      <c r="AO873">
        <v>0</v>
      </c>
      <c r="AP873">
        <v>0</v>
      </c>
      <c r="AQ873">
        <v>0</v>
      </c>
      <c r="AR873">
        <v>0</v>
      </c>
    </row>
    <row r="874" spans="1:44" x14ac:dyDescent="0.2">
      <c r="A874">
        <f>ROW(Source!A847)</f>
        <v>847</v>
      </c>
      <c r="B874">
        <v>1472515954</v>
      </c>
      <c r="C874">
        <v>1472500610</v>
      </c>
      <c r="D874">
        <v>1441819193</v>
      </c>
      <c r="E874">
        <v>15514512</v>
      </c>
      <c r="F874">
        <v>1</v>
      </c>
      <c r="G874">
        <v>15514512</v>
      </c>
      <c r="H874">
        <v>1</v>
      </c>
      <c r="I874" t="s">
        <v>885</v>
      </c>
      <c r="J874" t="s">
        <v>3</v>
      </c>
      <c r="K874" t="s">
        <v>886</v>
      </c>
      <c r="L874">
        <v>1191</v>
      </c>
      <c r="N874">
        <v>1013</v>
      </c>
      <c r="O874" t="s">
        <v>887</v>
      </c>
      <c r="P874" t="s">
        <v>887</v>
      </c>
      <c r="Q874">
        <v>1</v>
      </c>
      <c r="X874">
        <v>7.14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1</v>
      </c>
      <c r="AE874">
        <v>1</v>
      </c>
      <c r="AF874" t="s">
        <v>3</v>
      </c>
      <c r="AG874">
        <v>7.14</v>
      </c>
      <c r="AH874">
        <v>3</v>
      </c>
      <c r="AI874">
        <v>-1</v>
      </c>
      <c r="AJ874" t="s">
        <v>3</v>
      </c>
      <c r="AK874">
        <v>0</v>
      </c>
      <c r="AL874">
        <v>0</v>
      </c>
      <c r="AM874">
        <v>0</v>
      </c>
      <c r="AN874">
        <v>0</v>
      </c>
      <c r="AO874">
        <v>0</v>
      </c>
      <c r="AP874">
        <v>0</v>
      </c>
      <c r="AQ874">
        <v>0</v>
      </c>
      <c r="AR874">
        <v>0</v>
      </c>
    </row>
    <row r="875" spans="1:44" x14ac:dyDescent="0.2">
      <c r="A875">
        <f>ROW(Source!A847)</f>
        <v>847</v>
      </c>
      <c r="B875">
        <v>1472515955</v>
      </c>
      <c r="C875">
        <v>1472500610</v>
      </c>
      <c r="D875">
        <v>1441836237</v>
      </c>
      <c r="E875">
        <v>1</v>
      </c>
      <c r="F875">
        <v>1</v>
      </c>
      <c r="G875">
        <v>15514512</v>
      </c>
      <c r="H875">
        <v>3</v>
      </c>
      <c r="I875" t="s">
        <v>1045</v>
      </c>
      <c r="J875" t="s">
        <v>1046</v>
      </c>
      <c r="K875" t="s">
        <v>1047</v>
      </c>
      <c r="L875">
        <v>1346</v>
      </c>
      <c r="N875">
        <v>1009</v>
      </c>
      <c r="O875" t="s">
        <v>898</v>
      </c>
      <c r="P875" t="s">
        <v>898</v>
      </c>
      <c r="Q875">
        <v>1</v>
      </c>
      <c r="X875">
        <v>0.06</v>
      </c>
      <c r="Y875">
        <v>375.16</v>
      </c>
      <c r="Z875">
        <v>0</v>
      </c>
      <c r="AA875">
        <v>0</v>
      </c>
      <c r="AB875">
        <v>0</v>
      </c>
      <c r="AC875">
        <v>0</v>
      </c>
      <c r="AD875">
        <v>1</v>
      </c>
      <c r="AE875">
        <v>0</v>
      </c>
      <c r="AF875" t="s">
        <v>3</v>
      </c>
      <c r="AG875">
        <v>0.06</v>
      </c>
      <c r="AH875">
        <v>3</v>
      </c>
      <c r="AI875">
        <v>-1</v>
      </c>
      <c r="AJ875" t="s">
        <v>3</v>
      </c>
      <c r="AK875">
        <v>0</v>
      </c>
      <c r="AL875">
        <v>0</v>
      </c>
      <c r="AM875">
        <v>0</v>
      </c>
      <c r="AN875">
        <v>0</v>
      </c>
      <c r="AO875">
        <v>0</v>
      </c>
      <c r="AP875">
        <v>0</v>
      </c>
      <c r="AQ875">
        <v>0</v>
      </c>
      <c r="AR875">
        <v>0</v>
      </c>
    </row>
    <row r="876" spans="1:44" x14ac:dyDescent="0.2">
      <c r="A876">
        <f>ROW(Source!A848)</f>
        <v>848</v>
      </c>
      <c r="B876">
        <v>1472515956</v>
      </c>
      <c r="C876">
        <v>1472500635</v>
      </c>
      <c r="D876">
        <v>1441819193</v>
      </c>
      <c r="E876">
        <v>15514512</v>
      </c>
      <c r="F876">
        <v>1</v>
      </c>
      <c r="G876">
        <v>15514512</v>
      </c>
      <c r="H876">
        <v>1</v>
      </c>
      <c r="I876" t="s">
        <v>885</v>
      </c>
      <c r="J876" t="s">
        <v>3</v>
      </c>
      <c r="K876" t="s">
        <v>886</v>
      </c>
      <c r="L876">
        <v>1191</v>
      </c>
      <c r="N876">
        <v>1013</v>
      </c>
      <c r="O876" t="s">
        <v>887</v>
      </c>
      <c r="P876" t="s">
        <v>887</v>
      </c>
      <c r="Q876">
        <v>1</v>
      </c>
      <c r="X876">
        <v>0.24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1</v>
      </c>
      <c r="AE876">
        <v>1</v>
      </c>
      <c r="AF876" t="s">
        <v>3</v>
      </c>
      <c r="AG876">
        <v>0.24</v>
      </c>
      <c r="AH876">
        <v>3</v>
      </c>
      <c r="AI876">
        <v>-1</v>
      </c>
      <c r="AJ876" t="s">
        <v>3</v>
      </c>
      <c r="AK876">
        <v>0</v>
      </c>
      <c r="AL876">
        <v>0</v>
      </c>
      <c r="AM876">
        <v>0</v>
      </c>
      <c r="AN876">
        <v>0</v>
      </c>
      <c r="AO876">
        <v>0</v>
      </c>
      <c r="AP876">
        <v>0</v>
      </c>
      <c r="AQ876">
        <v>0</v>
      </c>
      <c r="AR876">
        <v>0</v>
      </c>
    </row>
    <row r="877" spans="1:44" x14ac:dyDescent="0.2">
      <c r="A877">
        <f>ROW(Source!A849)</f>
        <v>849</v>
      </c>
      <c r="B877">
        <v>1472515957</v>
      </c>
      <c r="C877">
        <v>1472500640</v>
      </c>
      <c r="D877">
        <v>1441819193</v>
      </c>
      <c r="E877">
        <v>15514512</v>
      </c>
      <c r="F877">
        <v>1</v>
      </c>
      <c r="G877">
        <v>15514512</v>
      </c>
      <c r="H877">
        <v>1</v>
      </c>
      <c r="I877" t="s">
        <v>885</v>
      </c>
      <c r="J877" t="s">
        <v>3</v>
      </c>
      <c r="K877" t="s">
        <v>886</v>
      </c>
      <c r="L877">
        <v>1191</v>
      </c>
      <c r="N877">
        <v>1013</v>
      </c>
      <c r="O877" t="s">
        <v>887</v>
      </c>
      <c r="P877" t="s">
        <v>887</v>
      </c>
      <c r="Q877">
        <v>1</v>
      </c>
      <c r="X877">
        <v>10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1</v>
      </c>
      <c r="AE877">
        <v>1</v>
      </c>
      <c r="AF877" t="s">
        <v>3</v>
      </c>
      <c r="AG877">
        <v>10</v>
      </c>
      <c r="AH877">
        <v>3</v>
      </c>
      <c r="AI877">
        <v>-1</v>
      </c>
      <c r="AJ877" t="s">
        <v>3</v>
      </c>
      <c r="AK877">
        <v>0</v>
      </c>
      <c r="AL877">
        <v>0</v>
      </c>
      <c r="AM877">
        <v>0</v>
      </c>
      <c r="AN877">
        <v>0</v>
      </c>
      <c r="AO877">
        <v>0</v>
      </c>
      <c r="AP877">
        <v>0</v>
      </c>
      <c r="AQ877">
        <v>0</v>
      </c>
      <c r="AR877">
        <v>0</v>
      </c>
    </row>
    <row r="878" spans="1:44" x14ac:dyDescent="0.2">
      <c r="A878">
        <f>ROW(Source!A849)</f>
        <v>849</v>
      </c>
      <c r="B878">
        <v>1472515958</v>
      </c>
      <c r="C878">
        <v>1472500640</v>
      </c>
      <c r="D878">
        <v>1441836237</v>
      </c>
      <c r="E878">
        <v>1</v>
      </c>
      <c r="F878">
        <v>1</v>
      </c>
      <c r="G878">
        <v>15514512</v>
      </c>
      <c r="H878">
        <v>3</v>
      </c>
      <c r="I878" t="s">
        <v>1045</v>
      </c>
      <c r="J878" t="s">
        <v>1046</v>
      </c>
      <c r="K878" t="s">
        <v>1047</v>
      </c>
      <c r="L878">
        <v>1346</v>
      </c>
      <c r="N878">
        <v>1009</v>
      </c>
      <c r="O878" t="s">
        <v>898</v>
      </c>
      <c r="P878" t="s">
        <v>898</v>
      </c>
      <c r="Q878">
        <v>1</v>
      </c>
      <c r="X878">
        <v>0.06</v>
      </c>
      <c r="Y878">
        <v>375.16</v>
      </c>
      <c r="Z878">
        <v>0</v>
      </c>
      <c r="AA878">
        <v>0</v>
      </c>
      <c r="AB878">
        <v>0</v>
      </c>
      <c r="AC878">
        <v>0</v>
      </c>
      <c r="AD878">
        <v>1</v>
      </c>
      <c r="AE878">
        <v>0</v>
      </c>
      <c r="AF878" t="s">
        <v>3</v>
      </c>
      <c r="AG878">
        <v>0.06</v>
      </c>
      <c r="AH878">
        <v>3</v>
      </c>
      <c r="AI878">
        <v>-1</v>
      </c>
      <c r="AJ878" t="s">
        <v>3</v>
      </c>
      <c r="AK878">
        <v>0</v>
      </c>
      <c r="AL878">
        <v>0</v>
      </c>
      <c r="AM878">
        <v>0</v>
      </c>
      <c r="AN878">
        <v>0</v>
      </c>
      <c r="AO878">
        <v>0</v>
      </c>
      <c r="AP878">
        <v>0</v>
      </c>
      <c r="AQ878">
        <v>0</v>
      </c>
      <c r="AR878">
        <v>0</v>
      </c>
    </row>
    <row r="879" spans="1:44" x14ac:dyDescent="0.2">
      <c r="A879">
        <f>ROW(Source!A850)</f>
        <v>850</v>
      </c>
      <c r="B879">
        <v>1472515959</v>
      </c>
      <c r="C879">
        <v>1472500666</v>
      </c>
      <c r="D879">
        <v>1441819193</v>
      </c>
      <c r="E879">
        <v>15514512</v>
      </c>
      <c r="F879">
        <v>1</v>
      </c>
      <c r="G879">
        <v>15514512</v>
      </c>
      <c r="H879">
        <v>1</v>
      </c>
      <c r="I879" t="s">
        <v>885</v>
      </c>
      <c r="J879" t="s">
        <v>3</v>
      </c>
      <c r="K879" t="s">
        <v>886</v>
      </c>
      <c r="L879">
        <v>1191</v>
      </c>
      <c r="N879">
        <v>1013</v>
      </c>
      <c r="O879" t="s">
        <v>887</v>
      </c>
      <c r="P879" t="s">
        <v>887</v>
      </c>
      <c r="Q879">
        <v>1</v>
      </c>
      <c r="X879">
        <v>0.33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1</v>
      </c>
      <c r="AE879">
        <v>1</v>
      </c>
      <c r="AF879" t="s">
        <v>3</v>
      </c>
      <c r="AG879">
        <v>0.33</v>
      </c>
      <c r="AH879">
        <v>3</v>
      </c>
      <c r="AI879">
        <v>-1</v>
      </c>
      <c r="AJ879" t="s">
        <v>3</v>
      </c>
      <c r="AK879">
        <v>0</v>
      </c>
      <c r="AL879">
        <v>0</v>
      </c>
      <c r="AM879">
        <v>0</v>
      </c>
      <c r="AN879">
        <v>0</v>
      </c>
      <c r="AO879">
        <v>0</v>
      </c>
      <c r="AP879">
        <v>0</v>
      </c>
      <c r="AQ879">
        <v>0</v>
      </c>
      <c r="AR879">
        <v>0</v>
      </c>
    </row>
    <row r="880" spans="1:44" x14ac:dyDescent="0.2">
      <c r="A880">
        <f>ROW(Source!A851)</f>
        <v>851</v>
      </c>
      <c r="B880">
        <v>1472515960</v>
      </c>
      <c r="C880">
        <v>1472500676</v>
      </c>
      <c r="D880">
        <v>1441819193</v>
      </c>
      <c r="E880">
        <v>15514512</v>
      </c>
      <c r="F880">
        <v>1</v>
      </c>
      <c r="G880">
        <v>15514512</v>
      </c>
      <c r="H880">
        <v>1</v>
      </c>
      <c r="I880" t="s">
        <v>885</v>
      </c>
      <c r="J880" t="s">
        <v>3</v>
      </c>
      <c r="K880" t="s">
        <v>886</v>
      </c>
      <c r="L880">
        <v>1191</v>
      </c>
      <c r="N880">
        <v>1013</v>
      </c>
      <c r="O880" t="s">
        <v>887</v>
      </c>
      <c r="P880" t="s">
        <v>887</v>
      </c>
      <c r="Q880">
        <v>1</v>
      </c>
      <c r="X880">
        <v>11.22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1</v>
      </c>
      <c r="AE880">
        <v>1</v>
      </c>
      <c r="AF880" t="s">
        <v>3</v>
      </c>
      <c r="AG880">
        <v>11.22</v>
      </c>
      <c r="AH880">
        <v>3</v>
      </c>
      <c r="AI880">
        <v>-1</v>
      </c>
      <c r="AJ880" t="s">
        <v>3</v>
      </c>
      <c r="AK880">
        <v>0</v>
      </c>
      <c r="AL880">
        <v>0</v>
      </c>
      <c r="AM880">
        <v>0</v>
      </c>
      <c r="AN880">
        <v>0</v>
      </c>
      <c r="AO880">
        <v>0</v>
      </c>
      <c r="AP880">
        <v>0</v>
      </c>
      <c r="AQ880">
        <v>0</v>
      </c>
      <c r="AR880">
        <v>0</v>
      </c>
    </row>
    <row r="881" spans="1:44" x14ac:dyDescent="0.2">
      <c r="A881">
        <f>ROW(Source!A851)</f>
        <v>851</v>
      </c>
      <c r="B881">
        <v>1472515961</v>
      </c>
      <c r="C881">
        <v>1472500676</v>
      </c>
      <c r="D881">
        <v>1441836237</v>
      </c>
      <c r="E881">
        <v>1</v>
      </c>
      <c r="F881">
        <v>1</v>
      </c>
      <c r="G881">
        <v>15514512</v>
      </c>
      <c r="H881">
        <v>3</v>
      </c>
      <c r="I881" t="s">
        <v>1045</v>
      </c>
      <c r="J881" t="s">
        <v>1046</v>
      </c>
      <c r="K881" t="s">
        <v>1047</v>
      </c>
      <c r="L881">
        <v>1346</v>
      </c>
      <c r="N881">
        <v>1009</v>
      </c>
      <c r="O881" t="s">
        <v>898</v>
      </c>
      <c r="P881" t="s">
        <v>898</v>
      </c>
      <c r="Q881">
        <v>1</v>
      </c>
      <c r="X881">
        <v>3.9E-2</v>
      </c>
      <c r="Y881">
        <v>375.16</v>
      </c>
      <c r="Z881">
        <v>0</v>
      </c>
      <c r="AA881">
        <v>0</v>
      </c>
      <c r="AB881">
        <v>0</v>
      </c>
      <c r="AC881">
        <v>0</v>
      </c>
      <c r="AD881">
        <v>1</v>
      </c>
      <c r="AE881">
        <v>0</v>
      </c>
      <c r="AF881" t="s">
        <v>3</v>
      </c>
      <c r="AG881">
        <v>3.9E-2</v>
      </c>
      <c r="AH881">
        <v>3</v>
      </c>
      <c r="AI881">
        <v>-1</v>
      </c>
      <c r="AJ881" t="s">
        <v>3</v>
      </c>
      <c r="AK881">
        <v>0</v>
      </c>
      <c r="AL881">
        <v>0</v>
      </c>
      <c r="AM881">
        <v>0</v>
      </c>
      <c r="AN881">
        <v>0</v>
      </c>
      <c r="AO881">
        <v>0</v>
      </c>
      <c r="AP881">
        <v>0</v>
      </c>
      <c r="AQ881">
        <v>0</v>
      </c>
      <c r="AR881">
        <v>0</v>
      </c>
    </row>
    <row r="882" spans="1:44" x14ac:dyDescent="0.2">
      <c r="A882">
        <f>ROW(Source!A852)</f>
        <v>852</v>
      </c>
      <c r="B882">
        <v>1472515963</v>
      </c>
      <c r="C882">
        <v>1472500684</v>
      </c>
      <c r="D882">
        <v>1441819193</v>
      </c>
      <c r="E882">
        <v>15514512</v>
      </c>
      <c r="F882">
        <v>1</v>
      </c>
      <c r="G882">
        <v>15514512</v>
      </c>
      <c r="H882">
        <v>1</v>
      </c>
      <c r="I882" t="s">
        <v>885</v>
      </c>
      <c r="J882" t="s">
        <v>3</v>
      </c>
      <c r="K882" t="s">
        <v>886</v>
      </c>
      <c r="L882">
        <v>1191</v>
      </c>
      <c r="N882">
        <v>1013</v>
      </c>
      <c r="O882" t="s">
        <v>887</v>
      </c>
      <c r="P882" t="s">
        <v>887</v>
      </c>
      <c r="Q882">
        <v>1</v>
      </c>
      <c r="X882">
        <v>0.38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1</v>
      </c>
      <c r="AE882">
        <v>1</v>
      </c>
      <c r="AF882" t="s">
        <v>3</v>
      </c>
      <c r="AG882">
        <v>0.38</v>
      </c>
      <c r="AH882">
        <v>3</v>
      </c>
      <c r="AI882">
        <v>-1</v>
      </c>
      <c r="AJ882" t="s">
        <v>3</v>
      </c>
      <c r="AK882">
        <v>0</v>
      </c>
      <c r="AL882">
        <v>0</v>
      </c>
      <c r="AM882">
        <v>0</v>
      </c>
      <c r="AN882">
        <v>0</v>
      </c>
      <c r="AO882">
        <v>0</v>
      </c>
      <c r="AP882">
        <v>0</v>
      </c>
      <c r="AQ882">
        <v>0</v>
      </c>
      <c r="AR882">
        <v>0</v>
      </c>
    </row>
    <row r="883" spans="1:44" x14ac:dyDescent="0.2">
      <c r="A883">
        <f>ROW(Source!A852)</f>
        <v>852</v>
      </c>
      <c r="B883">
        <v>1472515964</v>
      </c>
      <c r="C883">
        <v>1472500684</v>
      </c>
      <c r="D883">
        <v>1441836237</v>
      </c>
      <c r="E883">
        <v>1</v>
      </c>
      <c r="F883">
        <v>1</v>
      </c>
      <c r="G883">
        <v>15514512</v>
      </c>
      <c r="H883">
        <v>3</v>
      </c>
      <c r="I883" t="s">
        <v>1045</v>
      </c>
      <c r="J883" t="s">
        <v>1046</v>
      </c>
      <c r="K883" t="s">
        <v>1047</v>
      </c>
      <c r="L883">
        <v>1346</v>
      </c>
      <c r="N883">
        <v>1009</v>
      </c>
      <c r="O883" t="s">
        <v>898</v>
      </c>
      <c r="P883" t="s">
        <v>898</v>
      </c>
      <c r="Q883">
        <v>1</v>
      </c>
      <c r="X883">
        <v>1E-3</v>
      </c>
      <c r="Y883">
        <v>375.16</v>
      </c>
      <c r="Z883">
        <v>0</v>
      </c>
      <c r="AA883">
        <v>0</v>
      </c>
      <c r="AB883">
        <v>0</v>
      </c>
      <c r="AC883">
        <v>0</v>
      </c>
      <c r="AD883">
        <v>1</v>
      </c>
      <c r="AE883">
        <v>0</v>
      </c>
      <c r="AF883" t="s">
        <v>3</v>
      </c>
      <c r="AG883">
        <v>1E-3</v>
      </c>
      <c r="AH883">
        <v>3</v>
      </c>
      <c r="AI883">
        <v>-1</v>
      </c>
      <c r="AJ883" t="s">
        <v>3</v>
      </c>
      <c r="AK883">
        <v>0</v>
      </c>
      <c r="AL883">
        <v>0</v>
      </c>
      <c r="AM883">
        <v>0</v>
      </c>
      <c r="AN883">
        <v>0</v>
      </c>
      <c r="AO883">
        <v>0</v>
      </c>
      <c r="AP883">
        <v>0</v>
      </c>
      <c r="AQ883">
        <v>0</v>
      </c>
      <c r="AR883">
        <v>0</v>
      </c>
    </row>
    <row r="884" spans="1:44" x14ac:dyDescent="0.2">
      <c r="A884">
        <f>ROW(Source!A853)</f>
        <v>853</v>
      </c>
      <c r="B884">
        <v>1472515965</v>
      </c>
      <c r="C884">
        <v>1472500710</v>
      </c>
      <c r="D884">
        <v>1441819193</v>
      </c>
      <c r="E884">
        <v>15514512</v>
      </c>
      <c r="F884">
        <v>1</v>
      </c>
      <c r="G884">
        <v>15514512</v>
      </c>
      <c r="H884">
        <v>1</v>
      </c>
      <c r="I884" t="s">
        <v>885</v>
      </c>
      <c r="J884" t="s">
        <v>3</v>
      </c>
      <c r="K884" t="s">
        <v>886</v>
      </c>
      <c r="L884">
        <v>1191</v>
      </c>
      <c r="N884">
        <v>1013</v>
      </c>
      <c r="O884" t="s">
        <v>887</v>
      </c>
      <c r="P884" t="s">
        <v>887</v>
      </c>
      <c r="Q884">
        <v>1</v>
      </c>
      <c r="X884">
        <v>11.88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1</v>
      </c>
      <c r="AE884">
        <v>1</v>
      </c>
      <c r="AF884" t="s">
        <v>3</v>
      </c>
      <c r="AG884">
        <v>11.88</v>
      </c>
      <c r="AH884">
        <v>3</v>
      </c>
      <c r="AI884">
        <v>-1</v>
      </c>
      <c r="AJ884" t="s">
        <v>3</v>
      </c>
      <c r="AK884">
        <v>0</v>
      </c>
      <c r="AL884">
        <v>0</v>
      </c>
      <c r="AM884">
        <v>0</v>
      </c>
      <c r="AN884">
        <v>0</v>
      </c>
      <c r="AO884">
        <v>0</v>
      </c>
      <c r="AP884">
        <v>0</v>
      </c>
      <c r="AQ884">
        <v>0</v>
      </c>
      <c r="AR884">
        <v>0</v>
      </c>
    </row>
    <row r="885" spans="1:44" x14ac:dyDescent="0.2">
      <c r="A885">
        <f>ROW(Source!A853)</f>
        <v>853</v>
      </c>
      <c r="B885">
        <v>1472515966</v>
      </c>
      <c r="C885">
        <v>1472500710</v>
      </c>
      <c r="D885">
        <v>1441836237</v>
      </c>
      <c r="E885">
        <v>1</v>
      </c>
      <c r="F885">
        <v>1</v>
      </c>
      <c r="G885">
        <v>15514512</v>
      </c>
      <c r="H885">
        <v>3</v>
      </c>
      <c r="I885" t="s">
        <v>1045</v>
      </c>
      <c r="J885" t="s">
        <v>1046</v>
      </c>
      <c r="K885" t="s">
        <v>1047</v>
      </c>
      <c r="L885">
        <v>1346</v>
      </c>
      <c r="N885">
        <v>1009</v>
      </c>
      <c r="O885" t="s">
        <v>898</v>
      </c>
      <c r="P885" t="s">
        <v>898</v>
      </c>
      <c r="Q885">
        <v>1</v>
      </c>
      <c r="X885">
        <v>4.2000000000000003E-2</v>
      </c>
      <c r="Y885">
        <v>375.16</v>
      </c>
      <c r="Z885">
        <v>0</v>
      </c>
      <c r="AA885">
        <v>0</v>
      </c>
      <c r="AB885">
        <v>0</v>
      </c>
      <c r="AC885">
        <v>0</v>
      </c>
      <c r="AD885">
        <v>1</v>
      </c>
      <c r="AE885">
        <v>0</v>
      </c>
      <c r="AF885" t="s">
        <v>3</v>
      </c>
      <c r="AG885">
        <v>4.2000000000000003E-2</v>
      </c>
      <c r="AH885">
        <v>3</v>
      </c>
      <c r="AI885">
        <v>-1</v>
      </c>
      <c r="AJ885" t="s">
        <v>3</v>
      </c>
      <c r="AK885">
        <v>0</v>
      </c>
      <c r="AL885">
        <v>0</v>
      </c>
      <c r="AM885">
        <v>0</v>
      </c>
      <c r="AN885">
        <v>0</v>
      </c>
      <c r="AO885">
        <v>0</v>
      </c>
      <c r="AP885">
        <v>0</v>
      </c>
      <c r="AQ885">
        <v>0</v>
      </c>
      <c r="AR885">
        <v>0</v>
      </c>
    </row>
    <row r="886" spans="1:44" x14ac:dyDescent="0.2">
      <c r="A886">
        <f>ROW(Source!A854)</f>
        <v>854</v>
      </c>
      <c r="B886">
        <v>1472515974</v>
      </c>
      <c r="C886">
        <v>1472500717</v>
      </c>
      <c r="D886">
        <v>1441819193</v>
      </c>
      <c r="E886">
        <v>15514512</v>
      </c>
      <c r="F886">
        <v>1</v>
      </c>
      <c r="G886">
        <v>15514512</v>
      </c>
      <c r="H886">
        <v>1</v>
      </c>
      <c r="I886" t="s">
        <v>885</v>
      </c>
      <c r="J886" t="s">
        <v>3</v>
      </c>
      <c r="K886" t="s">
        <v>886</v>
      </c>
      <c r="L886">
        <v>1191</v>
      </c>
      <c r="N886">
        <v>1013</v>
      </c>
      <c r="O886" t="s">
        <v>887</v>
      </c>
      <c r="P886" t="s">
        <v>887</v>
      </c>
      <c r="Q886">
        <v>1</v>
      </c>
      <c r="X886">
        <v>2.64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1</v>
      </c>
      <c r="AE886">
        <v>1</v>
      </c>
      <c r="AF886" t="s">
        <v>3</v>
      </c>
      <c r="AG886">
        <v>2.64</v>
      </c>
      <c r="AH886">
        <v>3</v>
      </c>
      <c r="AI886">
        <v>-1</v>
      </c>
      <c r="AJ886" t="s">
        <v>3</v>
      </c>
      <c r="AK886">
        <v>0</v>
      </c>
      <c r="AL886">
        <v>0</v>
      </c>
      <c r="AM886">
        <v>0</v>
      </c>
      <c r="AN886">
        <v>0</v>
      </c>
      <c r="AO886">
        <v>0</v>
      </c>
      <c r="AP886">
        <v>0</v>
      </c>
      <c r="AQ886">
        <v>0</v>
      </c>
      <c r="AR886">
        <v>0</v>
      </c>
    </row>
    <row r="887" spans="1:44" x14ac:dyDescent="0.2">
      <c r="A887">
        <f>ROW(Source!A854)</f>
        <v>854</v>
      </c>
      <c r="B887">
        <v>1472515975</v>
      </c>
      <c r="C887">
        <v>1472500717</v>
      </c>
      <c r="D887">
        <v>1441836237</v>
      </c>
      <c r="E887">
        <v>1</v>
      </c>
      <c r="F887">
        <v>1</v>
      </c>
      <c r="G887">
        <v>15514512</v>
      </c>
      <c r="H887">
        <v>3</v>
      </c>
      <c r="I887" t="s">
        <v>1045</v>
      </c>
      <c r="J887" t="s">
        <v>1046</v>
      </c>
      <c r="K887" t="s">
        <v>1047</v>
      </c>
      <c r="L887">
        <v>1346</v>
      </c>
      <c r="N887">
        <v>1009</v>
      </c>
      <c r="O887" t="s">
        <v>898</v>
      </c>
      <c r="P887" t="s">
        <v>898</v>
      </c>
      <c r="Q887">
        <v>1</v>
      </c>
      <c r="X887">
        <v>8.9999999999999993E-3</v>
      </c>
      <c r="Y887">
        <v>375.16</v>
      </c>
      <c r="Z887">
        <v>0</v>
      </c>
      <c r="AA887">
        <v>0</v>
      </c>
      <c r="AB887">
        <v>0</v>
      </c>
      <c r="AC887">
        <v>0</v>
      </c>
      <c r="AD887">
        <v>1</v>
      </c>
      <c r="AE887">
        <v>0</v>
      </c>
      <c r="AF887" t="s">
        <v>3</v>
      </c>
      <c r="AG887">
        <v>8.9999999999999993E-3</v>
      </c>
      <c r="AH887">
        <v>3</v>
      </c>
      <c r="AI887">
        <v>-1</v>
      </c>
      <c r="AJ887" t="s">
        <v>3</v>
      </c>
      <c r="AK887">
        <v>0</v>
      </c>
      <c r="AL887">
        <v>0</v>
      </c>
      <c r="AM887">
        <v>0</v>
      </c>
      <c r="AN887">
        <v>0</v>
      </c>
      <c r="AO887">
        <v>0</v>
      </c>
      <c r="AP887">
        <v>0</v>
      </c>
      <c r="AQ887">
        <v>0</v>
      </c>
      <c r="AR887">
        <v>0</v>
      </c>
    </row>
    <row r="888" spans="1:44" x14ac:dyDescent="0.2">
      <c r="A888">
        <f>ROW(Source!A855)</f>
        <v>855</v>
      </c>
      <c r="B888">
        <v>1472515976</v>
      </c>
      <c r="C888">
        <v>1472500747</v>
      </c>
      <c r="D888">
        <v>1441819193</v>
      </c>
      <c r="E888">
        <v>15514512</v>
      </c>
      <c r="F888">
        <v>1</v>
      </c>
      <c r="G888">
        <v>15514512</v>
      </c>
      <c r="H888">
        <v>1</v>
      </c>
      <c r="I888" t="s">
        <v>885</v>
      </c>
      <c r="J888" t="s">
        <v>3</v>
      </c>
      <c r="K888" t="s">
        <v>886</v>
      </c>
      <c r="L888">
        <v>1191</v>
      </c>
      <c r="N888">
        <v>1013</v>
      </c>
      <c r="O888" t="s">
        <v>887</v>
      </c>
      <c r="P888" t="s">
        <v>887</v>
      </c>
      <c r="Q888">
        <v>1</v>
      </c>
      <c r="X888">
        <v>0.4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1</v>
      </c>
      <c r="AE888">
        <v>1</v>
      </c>
      <c r="AF888" t="s">
        <v>3</v>
      </c>
      <c r="AG888">
        <v>0.4</v>
      </c>
      <c r="AH888">
        <v>3</v>
      </c>
      <c r="AI888">
        <v>-1</v>
      </c>
      <c r="AJ888" t="s">
        <v>3</v>
      </c>
      <c r="AK888">
        <v>0</v>
      </c>
      <c r="AL888">
        <v>0</v>
      </c>
      <c r="AM888">
        <v>0</v>
      </c>
      <c r="AN888">
        <v>0</v>
      </c>
      <c r="AO888">
        <v>0</v>
      </c>
      <c r="AP888">
        <v>0</v>
      </c>
      <c r="AQ888">
        <v>0</v>
      </c>
      <c r="AR888">
        <v>0</v>
      </c>
    </row>
    <row r="889" spans="1:44" x14ac:dyDescent="0.2">
      <c r="A889">
        <f>ROW(Source!A855)</f>
        <v>855</v>
      </c>
      <c r="B889">
        <v>1472515977</v>
      </c>
      <c r="C889">
        <v>1472500747</v>
      </c>
      <c r="D889">
        <v>1441836237</v>
      </c>
      <c r="E889">
        <v>1</v>
      </c>
      <c r="F889">
        <v>1</v>
      </c>
      <c r="G889">
        <v>15514512</v>
      </c>
      <c r="H889">
        <v>3</v>
      </c>
      <c r="I889" t="s">
        <v>1045</v>
      </c>
      <c r="J889" t="s">
        <v>1046</v>
      </c>
      <c r="K889" t="s">
        <v>1047</v>
      </c>
      <c r="L889">
        <v>1346</v>
      </c>
      <c r="N889">
        <v>1009</v>
      </c>
      <c r="O889" t="s">
        <v>898</v>
      </c>
      <c r="P889" t="s">
        <v>898</v>
      </c>
      <c r="Q889">
        <v>1</v>
      </c>
      <c r="X889">
        <v>1E-3</v>
      </c>
      <c r="Y889">
        <v>375.16</v>
      </c>
      <c r="Z889">
        <v>0</v>
      </c>
      <c r="AA889">
        <v>0</v>
      </c>
      <c r="AB889">
        <v>0</v>
      </c>
      <c r="AC889">
        <v>0</v>
      </c>
      <c r="AD889">
        <v>1</v>
      </c>
      <c r="AE889">
        <v>0</v>
      </c>
      <c r="AF889" t="s">
        <v>3</v>
      </c>
      <c r="AG889">
        <v>1E-3</v>
      </c>
      <c r="AH889">
        <v>3</v>
      </c>
      <c r="AI889">
        <v>-1</v>
      </c>
      <c r="AJ889" t="s">
        <v>3</v>
      </c>
      <c r="AK889">
        <v>0</v>
      </c>
      <c r="AL889">
        <v>0</v>
      </c>
      <c r="AM889">
        <v>0</v>
      </c>
      <c r="AN889">
        <v>0</v>
      </c>
      <c r="AO889">
        <v>0</v>
      </c>
      <c r="AP889">
        <v>0</v>
      </c>
      <c r="AQ889">
        <v>0</v>
      </c>
      <c r="AR889">
        <v>0</v>
      </c>
    </row>
    <row r="890" spans="1:44" x14ac:dyDescent="0.2">
      <c r="A890">
        <f>ROW(Source!A856)</f>
        <v>856</v>
      </c>
      <c r="B890">
        <v>1472515978</v>
      </c>
      <c r="C890">
        <v>1472500754</v>
      </c>
      <c r="D890">
        <v>1441819193</v>
      </c>
      <c r="E890">
        <v>15514512</v>
      </c>
      <c r="F890">
        <v>1</v>
      </c>
      <c r="G890">
        <v>15514512</v>
      </c>
      <c r="H890">
        <v>1</v>
      </c>
      <c r="I890" t="s">
        <v>885</v>
      </c>
      <c r="J890" t="s">
        <v>3</v>
      </c>
      <c r="K890" t="s">
        <v>886</v>
      </c>
      <c r="L890">
        <v>1191</v>
      </c>
      <c r="N890">
        <v>1013</v>
      </c>
      <c r="O890" t="s">
        <v>887</v>
      </c>
      <c r="P890" t="s">
        <v>887</v>
      </c>
      <c r="Q890">
        <v>1</v>
      </c>
      <c r="X890">
        <v>14.58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1</v>
      </c>
      <c r="AE890">
        <v>1</v>
      </c>
      <c r="AF890" t="s">
        <v>3</v>
      </c>
      <c r="AG890">
        <v>14.58</v>
      </c>
      <c r="AH890">
        <v>3</v>
      </c>
      <c r="AI890">
        <v>-1</v>
      </c>
      <c r="AJ890" t="s">
        <v>3</v>
      </c>
      <c r="AK890">
        <v>0</v>
      </c>
      <c r="AL890">
        <v>0</v>
      </c>
      <c r="AM890">
        <v>0</v>
      </c>
      <c r="AN890">
        <v>0</v>
      </c>
      <c r="AO890">
        <v>0</v>
      </c>
      <c r="AP890">
        <v>0</v>
      </c>
      <c r="AQ890">
        <v>0</v>
      </c>
      <c r="AR890">
        <v>0</v>
      </c>
    </row>
    <row r="891" spans="1:44" x14ac:dyDescent="0.2">
      <c r="A891">
        <f>ROW(Source!A856)</f>
        <v>856</v>
      </c>
      <c r="B891">
        <v>1472515979</v>
      </c>
      <c r="C891">
        <v>1472500754</v>
      </c>
      <c r="D891">
        <v>1441836237</v>
      </c>
      <c r="E891">
        <v>1</v>
      </c>
      <c r="F891">
        <v>1</v>
      </c>
      <c r="G891">
        <v>15514512</v>
      </c>
      <c r="H891">
        <v>3</v>
      </c>
      <c r="I891" t="s">
        <v>1045</v>
      </c>
      <c r="J891" t="s">
        <v>1046</v>
      </c>
      <c r="K891" t="s">
        <v>1047</v>
      </c>
      <c r="L891">
        <v>1346</v>
      </c>
      <c r="N891">
        <v>1009</v>
      </c>
      <c r="O891" t="s">
        <v>898</v>
      </c>
      <c r="P891" t="s">
        <v>898</v>
      </c>
      <c r="Q891">
        <v>1</v>
      </c>
      <c r="X891">
        <v>5.0999999999999997E-2</v>
      </c>
      <c r="Y891">
        <v>375.16</v>
      </c>
      <c r="Z891">
        <v>0</v>
      </c>
      <c r="AA891">
        <v>0</v>
      </c>
      <c r="AB891">
        <v>0</v>
      </c>
      <c r="AC891">
        <v>0</v>
      </c>
      <c r="AD891">
        <v>1</v>
      </c>
      <c r="AE891">
        <v>0</v>
      </c>
      <c r="AF891" t="s">
        <v>3</v>
      </c>
      <c r="AG891">
        <v>5.0999999999999997E-2</v>
      </c>
      <c r="AH891">
        <v>3</v>
      </c>
      <c r="AI891">
        <v>-1</v>
      </c>
      <c r="AJ891" t="s">
        <v>3</v>
      </c>
      <c r="AK891">
        <v>0</v>
      </c>
      <c r="AL891">
        <v>0</v>
      </c>
      <c r="AM891">
        <v>0</v>
      </c>
      <c r="AN891">
        <v>0</v>
      </c>
      <c r="AO891">
        <v>0</v>
      </c>
      <c r="AP891">
        <v>0</v>
      </c>
      <c r="AQ891">
        <v>0</v>
      </c>
      <c r="AR891">
        <v>0</v>
      </c>
    </row>
    <row r="892" spans="1:44" x14ac:dyDescent="0.2">
      <c r="A892">
        <f>ROW(Source!A857)</f>
        <v>857</v>
      </c>
      <c r="B892">
        <v>1472515981</v>
      </c>
      <c r="C892">
        <v>1472500766</v>
      </c>
      <c r="D892">
        <v>1441819193</v>
      </c>
      <c r="E892">
        <v>15514512</v>
      </c>
      <c r="F892">
        <v>1</v>
      </c>
      <c r="G892">
        <v>15514512</v>
      </c>
      <c r="H892">
        <v>1</v>
      </c>
      <c r="I892" t="s">
        <v>885</v>
      </c>
      <c r="J892" t="s">
        <v>3</v>
      </c>
      <c r="K892" t="s">
        <v>886</v>
      </c>
      <c r="L892">
        <v>1191</v>
      </c>
      <c r="N892">
        <v>1013</v>
      </c>
      <c r="O892" t="s">
        <v>887</v>
      </c>
      <c r="P892" t="s">
        <v>887</v>
      </c>
      <c r="Q892">
        <v>1</v>
      </c>
      <c r="X892">
        <v>3.24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1</v>
      </c>
      <c r="AE892">
        <v>1</v>
      </c>
      <c r="AF892" t="s">
        <v>3</v>
      </c>
      <c r="AG892">
        <v>3.24</v>
      </c>
      <c r="AH892">
        <v>3</v>
      </c>
      <c r="AI892">
        <v>-1</v>
      </c>
      <c r="AJ892" t="s">
        <v>3</v>
      </c>
      <c r="AK892">
        <v>0</v>
      </c>
      <c r="AL892">
        <v>0</v>
      </c>
      <c r="AM892">
        <v>0</v>
      </c>
      <c r="AN892">
        <v>0</v>
      </c>
      <c r="AO892">
        <v>0</v>
      </c>
      <c r="AP892">
        <v>0</v>
      </c>
      <c r="AQ892">
        <v>0</v>
      </c>
      <c r="AR892">
        <v>0</v>
      </c>
    </row>
    <row r="893" spans="1:44" x14ac:dyDescent="0.2">
      <c r="A893">
        <f>ROW(Source!A857)</f>
        <v>857</v>
      </c>
      <c r="B893">
        <v>1472515982</v>
      </c>
      <c r="C893">
        <v>1472500766</v>
      </c>
      <c r="D893">
        <v>1441836237</v>
      </c>
      <c r="E893">
        <v>1</v>
      </c>
      <c r="F893">
        <v>1</v>
      </c>
      <c r="G893">
        <v>15514512</v>
      </c>
      <c r="H893">
        <v>3</v>
      </c>
      <c r="I893" t="s">
        <v>1045</v>
      </c>
      <c r="J893" t="s">
        <v>1046</v>
      </c>
      <c r="K893" t="s">
        <v>1047</v>
      </c>
      <c r="L893">
        <v>1346</v>
      </c>
      <c r="N893">
        <v>1009</v>
      </c>
      <c r="O893" t="s">
        <v>898</v>
      </c>
      <c r="P893" t="s">
        <v>898</v>
      </c>
      <c r="Q893">
        <v>1</v>
      </c>
      <c r="X893">
        <v>1.0999999999999999E-2</v>
      </c>
      <c r="Y893">
        <v>375.16</v>
      </c>
      <c r="Z893">
        <v>0</v>
      </c>
      <c r="AA893">
        <v>0</v>
      </c>
      <c r="AB893">
        <v>0</v>
      </c>
      <c r="AC893">
        <v>0</v>
      </c>
      <c r="AD893">
        <v>1</v>
      </c>
      <c r="AE893">
        <v>0</v>
      </c>
      <c r="AF893" t="s">
        <v>3</v>
      </c>
      <c r="AG893">
        <v>1.0999999999999999E-2</v>
      </c>
      <c r="AH893">
        <v>3</v>
      </c>
      <c r="AI893">
        <v>-1</v>
      </c>
      <c r="AJ893" t="s">
        <v>3</v>
      </c>
      <c r="AK893">
        <v>0</v>
      </c>
      <c r="AL893">
        <v>0</v>
      </c>
      <c r="AM893">
        <v>0</v>
      </c>
      <c r="AN893">
        <v>0</v>
      </c>
      <c r="AO893">
        <v>0</v>
      </c>
      <c r="AP893">
        <v>0</v>
      </c>
      <c r="AQ893">
        <v>0</v>
      </c>
      <c r="AR893">
        <v>0</v>
      </c>
    </row>
    <row r="894" spans="1:44" x14ac:dyDescent="0.2">
      <c r="A894">
        <f>ROW(Source!A858)</f>
        <v>858</v>
      </c>
      <c r="B894">
        <v>1472515983</v>
      </c>
      <c r="C894">
        <v>1472500779</v>
      </c>
      <c r="D894">
        <v>1441819193</v>
      </c>
      <c r="E894">
        <v>15514512</v>
      </c>
      <c r="F894">
        <v>1</v>
      </c>
      <c r="G894">
        <v>15514512</v>
      </c>
      <c r="H894">
        <v>1</v>
      </c>
      <c r="I894" t="s">
        <v>885</v>
      </c>
      <c r="J894" t="s">
        <v>3</v>
      </c>
      <c r="K894" t="s">
        <v>886</v>
      </c>
      <c r="L894">
        <v>1191</v>
      </c>
      <c r="N894">
        <v>1013</v>
      </c>
      <c r="O894" t="s">
        <v>887</v>
      </c>
      <c r="P894" t="s">
        <v>887</v>
      </c>
      <c r="Q894">
        <v>1</v>
      </c>
      <c r="X894">
        <v>0.49</v>
      </c>
      <c r="Y894">
        <v>0</v>
      </c>
      <c r="Z894">
        <v>0</v>
      </c>
      <c r="AA894">
        <v>0</v>
      </c>
      <c r="AB894">
        <v>0</v>
      </c>
      <c r="AC894">
        <v>0</v>
      </c>
      <c r="AD894">
        <v>1</v>
      </c>
      <c r="AE894">
        <v>1</v>
      </c>
      <c r="AF894" t="s">
        <v>3</v>
      </c>
      <c r="AG894">
        <v>0.49</v>
      </c>
      <c r="AH894">
        <v>3</v>
      </c>
      <c r="AI894">
        <v>-1</v>
      </c>
      <c r="AJ894" t="s">
        <v>3</v>
      </c>
      <c r="AK894">
        <v>0</v>
      </c>
      <c r="AL894">
        <v>0</v>
      </c>
      <c r="AM894">
        <v>0</v>
      </c>
      <c r="AN894">
        <v>0</v>
      </c>
      <c r="AO894">
        <v>0</v>
      </c>
      <c r="AP894">
        <v>0</v>
      </c>
      <c r="AQ894">
        <v>0</v>
      </c>
      <c r="AR894">
        <v>0</v>
      </c>
    </row>
    <row r="895" spans="1:44" x14ac:dyDescent="0.2">
      <c r="A895">
        <f>ROW(Source!A858)</f>
        <v>858</v>
      </c>
      <c r="B895">
        <v>1472515984</v>
      </c>
      <c r="C895">
        <v>1472500779</v>
      </c>
      <c r="D895">
        <v>1441836237</v>
      </c>
      <c r="E895">
        <v>1</v>
      </c>
      <c r="F895">
        <v>1</v>
      </c>
      <c r="G895">
        <v>15514512</v>
      </c>
      <c r="H895">
        <v>3</v>
      </c>
      <c r="I895" t="s">
        <v>1045</v>
      </c>
      <c r="J895" t="s">
        <v>1046</v>
      </c>
      <c r="K895" t="s">
        <v>1047</v>
      </c>
      <c r="L895">
        <v>1346</v>
      </c>
      <c r="N895">
        <v>1009</v>
      </c>
      <c r="O895" t="s">
        <v>898</v>
      </c>
      <c r="P895" t="s">
        <v>898</v>
      </c>
      <c r="Q895">
        <v>1</v>
      </c>
      <c r="X895">
        <v>2E-3</v>
      </c>
      <c r="Y895">
        <v>375.16</v>
      </c>
      <c r="Z895">
        <v>0</v>
      </c>
      <c r="AA895">
        <v>0</v>
      </c>
      <c r="AB895">
        <v>0</v>
      </c>
      <c r="AC895">
        <v>0</v>
      </c>
      <c r="AD895">
        <v>1</v>
      </c>
      <c r="AE895">
        <v>0</v>
      </c>
      <c r="AF895" t="s">
        <v>3</v>
      </c>
      <c r="AG895">
        <v>2E-3</v>
      </c>
      <c r="AH895">
        <v>3</v>
      </c>
      <c r="AI895">
        <v>-1</v>
      </c>
      <c r="AJ895" t="s">
        <v>3</v>
      </c>
      <c r="AK895">
        <v>0</v>
      </c>
      <c r="AL895">
        <v>0</v>
      </c>
      <c r="AM895">
        <v>0</v>
      </c>
      <c r="AN895">
        <v>0</v>
      </c>
      <c r="AO895">
        <v>0</v>
      </c>
      <c r="AP895">
        <v>0</v>
      </c>
      <c r="AQ895">
        <v>0</v>
      </c>
      <c r="AR895">
        <v>0</v>
      </c>
    </row>
    <row r="896" spans="1:44" x14ac:dyDescent="0.2">
      <c r="A896">
        <f>ROW(Source!A894)</f>
        <v>894</v>
      </c>
      <c r="B896">
        <v>1472515985</v>
      </c>
      <c r="C896">
        <v>1472500791</v>
      </c>
      <c r="D896">
        <v>1441819193</v>
      </c>
      <c r="E896">
        <v>15514512</v>
      </c>
      <c r="F896">
        <v>1</v>
      </c>
      <c r="G896">
        <v>15514512</v>
      </c>
      <c r="H896">
        <v>1</v>
      </c>
      <c r="I896" t="s">
        <v>885</v>
      </c>
      <c r="J896" t="s">
        <v>3</v>
      </c>
      <c r="K896" t="s">
        <v>886</v>
      </c>
      <c r="L896">
        <v>1191</v>
      </c>
      <c r="N896">
        <v>1013</v>
      </c>
      <c r="O896" t="s">
        <v>887</v>
      </c>
      <c r="P896" t="s">
        <v>887</v>
      </c>
      <c r="Q896">
        <v>1</v>
      </c>
      <c r="X896">
        <v>11.1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1</v>
      </c>
      <c r="AE896">
        <v>1</v>
      </c>
      <c r="AF896" t="s">
        <v>3</v>
      </c>
      <c r="AG896">
        <v>11.1</v>
      </c>
      <c r="AH896">
        <v>3</v>
      </c>
      <c r="AI896">
        <v>-1</v>
      </c>
      <c r="AJ896" t="s">
        <v>3</v>
      </c>
      <c r="AK896">
        <v>0</v>
      </c>
      <c r="AL896">
        <v>0</v>
      </c>
      <c r="AM896">
        <v>0</v>
      </c>
      <c r="AN896">
        <v>0</v>
      </c>
      <c r="AO896">
        <v>0</v>
      </c>
      <c r="AP896">
        <v>0</v>
      </c>
      <c r="AQ896">
        <v>0</v>
      </c>
      <c r="AR896">
        <v>0</v>
      </c>
    </row>
    <row r="897" spans="1:44" x14ac:dyDescent="0.2">
      <c r="A897">
        <f>ROW(Source!A894)</f>
        <v>894</v>
      </c>
      <c r="B897">
        <v>1472515986</v>
      </c>
      <c r="C897">
        <v>1472500791</v>
      </c>
      <c r="D897">
        <v>1441836237</v>
      </c>
      <c r="E897">
        <v>1</v>
      </c>
      <c r="F897">
        <v>1</v>
      </c>
      <c r="G897">
        <v>15514512</v>
      </c>
      <c r="H897">
        <v>3</v>
      </c>
      <c r="I897" t="s">
        <v>1045</v>
      </c>
      <c r="J897" t="s">
        <v>1046</v>
      </c>
      <c r="K897" t="s">
        <v>1047</v>
      </c>
      <c r="L897">
        <v>1346</v>
      </c>
      <c r="N897">
        <v>1009</v>
      </c>
      <c r="O897" t="s">
        <v>898</v>
      </c>
      <c r="P897" t="s">
        <v>898</v>
      </c>
      <c r="Q897">
        <v>1</v>
      </c>
      <c r="X897">
        <v>0.06</v>
      </c>
      <c r="Y897">
        <v>375.16</v>
      </c>
      <c r="Z897">
        <v>0</v>
      </c>
      <c r="AA897">
        <v>0</v>
      </c>
      <c r="AB897">
        <v>0</v>
      </c>
      <c r="AC897">
        <v>0</v>
      </c>
      <c r="AD897">
        <v>1</v>
      </c>
      <c r="AE897">
        <v>0</v>
      </c>
      <c r="AF897" t="s">
        <v>3</v>
      </c>
      <c r="AG897">
        <v>0.06</v>
      </c>
      <c r="AH897">
        <v>3</v>
      </c>
      <c r="AI897">
        <v>-1</v>
      </c>
      <c r="AJ897" t="s">
        <v>3</v>
      </c>
      <c r="AK897">
        <v>0</v>
      </c>
      <c r="AL897">
        <v>0</v>
      </c>
      <c r="AM897">
        <v>0</v>
      </c>
      <c r="AN897">
        <v>0</v>
      </c>
      <c r="AO897">
        <v>0</v>
      </c>
      <c r="AP897">
        <v>0</v>
      </c>
      <c r="AQ897">
        <v>0</v>
      </c>
      <c r="AR897">
        <v>0</v>
      </c>
    </row>
    <row r="898" spans="1:44" x14ac:dyDescent="0.2">
      <c r="A898">
        <f>ROW(Source!A895)</f>
        <v>895</v>
      </c>
      <c r="B898">
        <v>1472515987</v>
      </c>
      <c r="C898">
        <v>1472500814</v>
      </c>
      <c r="D898">
        <v>1441819193</v>
      </c>
      <c r="E898">
        <v>15514512</v>
      </c>
      <c r="F898">
        <v>1</v>
      </c>
      <c r="G898">
        <v>15514512</v>
      </c>
      <c r="H898">
        <v>1</v>
      </c>
      <c r="I898" t="s">
        <v>885</v>
      </c>
      <c r="J898" t="s">
        <v>3</v>
      </c>
      <c r="K898" t="s">
        <v>886</v>
      </c>
      <c r="L898">
        <v>1191</v>
      </c>
      <c r="N898">
        <v>1013</v>
      </c>
      <c r="O898" t="s">
        <v>887</v>
      </c>
      <c r="P898" t="s">
        <v>887</v>
      </c>
      <c r="Q898">
        <v>1</v>
      </c>
      <c r="X898">
        <v>0.38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1</v>
      </c>
      <c r="AE898">
        <v>1</v>
      </c>
      <c r="AF898" t="s">
        <v>3</v>
      </c>
      <c r="AG898">
        <v>0.38</v>
      </c>
      <c r="AH898">
        <v>3</v>
      </c>
      <c r="AI898">
        <v>-1</v>
      </c>
      <c r="AJ898" t="s">
        <v>3</v>
      </c>
      <c r="AK898">
        <v>0</v>
      </c>
      <c r="AL898">
        <v>0</v>
      </c>
      <c r="AM898">
        <v>0</v>
      </c>
      <c r="AN898">
        <v>0</v>
      </c>
      <c r="AO898">
        <v>0</v>
      </c>
      <c r="AP898">
        <v>0</v>
      </c>
      <c r="AQ898">
        <v>0</v>
      </c>
      <c r="AR898">
        <v>0</v>
      </c>
    </row>
    <row r="899" spans="1:44" x14ac:dyDescent="0.2">
      <c r="A899">
        <f>ROW(Source!A961)</f>
        <v>961</v>
      </c>
      <c r="B899">
        <v>1472515988</v>
      </c>
      <c r="C899">
        <v>1472500818</v>
      </c>
      <c r="D899">
        <v>1441819193</v>
      </c>
      <c r="E899">
        <v>15514512</v>
      </c>
      <c r="F899">
        <v>1</v>
      </c>
      <c r="G899">
        <v>15514512</v>
      </c>
      <c r="H899">
        <v>1</v>
      </c>
      <c r="I899" t="s">
        <v>885</v>
      </c>
      <c r="J899" t="s">
        <v>3</v>
      </c>
      <c r="K899" t="s">
        <v>886</v>
      </c>
      <c r="L899">
        <v>1191</v>
      </c>
      <c r="N899">
        <v>1013</v>
      </c>
      <c r="O899" t="s">
        <v>887</v>
      </c>
      <c r="P899" t="s">
        <v>887</v>
      </c>
      <c r="Q899">
        <v>1</v>
      </c>
      <c r="X899">
        <v>0.87</v>
      </c>
      <c r="Y899">
        <v>0</v>
      </c>
      <c r="Z899">
        <v>0</v>
      </c>
      <c r="AA899">
        <v>0</v>
      </c>
      <c r="AB899">
        <v>0</v>
      </c>
      <c r="AC899">
        <v>0</v>
      </c>
      <c r="AD899">
        <v>1</v>
      </c>
      <c r="AE899">
        <v>1</v>
      </c>
      <c r="AF899" t="s">
        <v>236</v>
      </c>
      <c r="AG899">
        <v>0.60899999999999999</v>
      </c>
      <c r="AH899">
        <v>3</v>
      </c>
      <c r="AI899">
        <v>-1</v>
      </c>
      <c r="AJ899" t="s">
        <v>3</v>
      </c>
      <c r="AK899">
        <v>0</v>
      </c>
      <c r="AL899">
        <v>0</v>
      </c>
      <c r="AM899">
        <v>0</v>
      </c>
      <c r="AN899">
        <v>0</v>
      </c>
      <c r="AO899">
        <v>0</v>
      </c>
      <c r="AP899">
        <v>0</v>
      </c>
      <c r="AQ899">
        <v>0</v>
      </c>
      <c r="AR899">
        <v>0</v>
      </c>
    </row>
    <row r="900" spans="1:44" x14ac:dyDescent="0.2">
      <c r="A900">
        <f>ROW(Source!A961)</f>
        <v>961</v>
      </c>
      <c r="B900">
        <v>1472515989</v>
      </c>
      <c r="C900">
        <v>1472500818</v>
      </c>
      <c r="D900">
        <v>1441834258</v>
      </c>
      <c r="E900">
        <v>1</v>
      </c>
      <c r="F900">
        <v>1</v>
      </c>
      <c r="G900">
        <v>15514512</v>
      </c>
      <c r="H900">
        <v>2</v>
      </c>
      <c r="I900" t="s">
        <v>892</v>
      </c>
      <c r="J900" t="s">
        <v>893</v>
      </c>
      <c r="K900" t="s">
        <v>894</v>
      </c>
      <c r="L900">
        <v>1368</v>
      </c>
      <c r="N900">
        <v>1011</v>
      </c>
      <c r="O900" t="s">
        <v>895</v>
      </c>
      <c r="P900" t="s">
        <v>895</v>
      </c>
      <c r="Q900">
        <v>1</v>
      </c>
      <c r="X900">
        <v>0.05</v>
      </c>
      <c r="Y900">
        <v>0</v>
      </c>
      <c r="Z900">
        <v>1303.01</v>
      </c>
      <c r="AA900">
        <v>826.2</v>
      </c>
      <c r="AB900">
        <v>0</v>
      </c>
      <c r="AC900">
        <v>0</v>
      </c>
      <c r="AD900">
        <v>1</v>
      </c>
      <c r="AE900">
        <v>0</v>
      </c>
      <c r="AF900" t="s">
        <v>236</v>
      </c>
      <c r="AG900">
        <v>3.4999999999999996E-2</v>
      </c>
      <c r="AH900">
        <v>3</v>
      </c>
      <c r="AI900">
        <v>-1</v>
      </c>
      <c r="AJ900" t="s">
        <v>3</v>
      </c>
      <c r="AK900">
        <v>0</v>
      </c>
      <c r="AL900">
        <v>0</v>
      </c>
      <c r="AM900">
        <v>0</v>
      </c>
      <c r="AN900">
        <v>0</v>
      </c>
      <c r="AO900">
        <v>0</v>
      </c>
      <c r="AP900">
        <v>0</v>
      </c>
      <c r="AQ900">
        <v>0</v>
      </c>
      <c r="AR900">
        <v>0</v>
      </c>
    </row>
    <row r="901" spans="1:44" x14ac:dyDescent="0.2">
      <c r="A901">
        <f>ROW(Source!A961)</f>
        <v>961</v>
      </c>
      <c r="B901">
        <v>1472515990</v>
      </c>
      <c r="C901">
        <v>1472500818</v>
      </c>
      <c r="D901">
        <v>1441836186</v>
      </c>
      <c r="E901">
        <v>1</v>
      </c>
      <c r="F901">
        <v>1</v>
      </c>
      <c r="G901">
        <v>15514512</v>
      </c>
      <c r="H901">
        <v>3</v>
      </c>
      <c r="I901" t="s">
        <v>943</v>
      </c>
      <c r="J901" t="s">
        <v>944</v>
      </c>
      <c r="K901" t="s">
        <v>945</v>
      </c>
      <c r="L901">
        <v>1346</v>
      </c>
      <c r="N901">
        <v>1009</v>
      </c>
      <c r="O901" t="s">
        <v>898</v>
      </c>
      <c r="P901" t="s">
        <v>898</v>
      </c>
      <c r="Q901">
        <v>1</v>
      </c>
      <c r="X901">
        <v>2.0000000000000002E-5</v>
      </c>
      <c r="Y901">
        <v>494.57</v>
      </c>
      <c r="Z901">
        <v>0</v>
      </c>
      <c r="AA901">
        <v>0</v>
      </c>
      <c r="AB901">
        <v>0</v>
      </c>
      <c r="AC901">
        <v>0</v>
      </c>
      <c r="AD901">
        <v>1</v>
      </c>
      <c r="AE901">
        <v>0</v>
      </c>
      <c r="AF901" t="s">
        <v>235</v>
      </c>
      <c r="AG901">
        <v>2.0000000000000002E-5</v>
      </c>
      <c r="AH901">
        <v>3</v>
      </c>
      <c r="AI901">
        <v>-1</v>
      </c>
      <c r="AJ901" t="s">
        <v>3</v>
      </c>
      <c r="AK901">
        <v>0</v>
      </c>
      <c r="AL901">
        <v>0</v>
      </c>
      <c r="AM901">
        <v>0</v>
      </c>
      <c r="AN901">
        <v>0</v>
      </c>
      <c r="AO901">
        <v>0</v>
      </c>
      <c r="AP901">
        <v>0</v>
      </c>
      <c r="AQ901">
        <v>0</v>
      </c>
      <c r="AR901">
        <v>0</v>
      </c>
    </row>
    <row r="902" spans="1:44" x14ac:dyDescent="0.2">
      <c r="A902">
        <f>ROW(Source!A961)</f>
        <v>961</v>
      </c>
      <c r="B902">
        <v>1472515991</v>
      </c>
      <c r="C902">
        <v>1472500818</v>
      </c>
      <c r="D902">
        <v>1441836230</v>
      </c>
      <c r="E902">
        <v>1</v>
      </c>
      <c r="F902">
        <v>1</v>
      </c>
      <c r="G902">
        <v>15514512</v>
      </c>
      <c r="H902">
        <v>3</v>
      </c>
      <c r="I902" t="s">
        <v>946</v>
      </c>
      <c r="J902" t="s">
        <v>947</v>
      </c>
      <c r="K902" t="s">
        <v>948</v>
      </c>
      <c r="L902">
        <v>1327</v>
      </c>
      <c r="N902">
        <v>1005</v>
      </c>
      <c r="O902" t="s">
        <v>949</v>
      </c>
      <c r="P902" t="s">
        <v>949</v>
      </c>
      <c r="Q902">
        <v>1</v>
      </c>
      <c r="X902">
        <v>0.01</v>
      </c>
      <c r="Y902">
        <v>46</v>
      </c>
      <c r="Z902">
        <v>0</v>
      </c>
      <c r="AA902">
        <v>0</v>
      </c>
      <c r="AB902">
        <v>0</v>
      </c>
      <c r="AC902">
        <v>0</v>
      </c>
      <c r="AD902">
        <v>1</v>
      </c>
      <c r="AE902">
        <v>0</v>
      </c>
      <c r="AF902" t="s">
        <v>235</v>
      </c>
      <c r="AG902">
        <v>0.01</v>
      </c>
      <c r="AH902">
        <v>3</v>
      </c>
      <c r="AI902">
        <v>-1</v>
      </c>
      <c r="AJ902" t="s">
        <v>3</v>
      </c>
      <c r="AK902">
        <v>0</v>
      </c>
      <c r="AL902">
        <v>0</v>
      </c>
      <c r="AM902">
        <v>0</v>
      </c>
      <c r="AN902">
        <v>0</v>
      </c>
      <c r="AO902">
        <v>0</v>
      </c>
      <c r="AP902">
        <v>0</v>
      </c>
      <c r="AQ902">
        <v>0</v>
      </c>
      <c r="AR902">
        <v>0</v>
      </c>
    </row>
    <row r="903" spans="1:44" x14ac:dyDescent="0.2">
      <c r="A903">
        <f>ROW(Source!A962)</f>
        <v>962</v>
      </c>
      <c r="B903">
        <v>1472515992</v>
      </c>
      <c r="C903">
        <v>1472500834</v>
      </c>
      <c r="D903">
        <v>1441819193</v>
      </c>
      <c r="E903">
        <v>15514512</v>
      </c>
      <c r="F903">
        <v>1</v>
      </c>
      <c r="G903">
        <v>15514512</v>
      </c>
      <c r="H903">
        <v>1</v>
      </c>
      <c r="I903" t="s">
        <v>885</v>
      </c>
      <c r="J903" t="s">
        <v>3</v>
      </c>
      <c r="K903" t="s">
        <v>886</v>
      </c>
      <c r="L903">
        <v>1191</v>
      </c>
      <c r="N903">
        <v>1013</v>
      </c>
      <c r="O903" t="s">
        <v>887</v>
      </c>
      <c r="P903" t="s">
        <v>887</v>
      </c>
      <c r="Q903">
        <v>1</v>
      </c>
      <c r="X903">
        <v>0.13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1</v>
      </c>
      <c r="AE903">
        <v>1</v>
      </c>
      <c r="AF903" t="s">
        <v>242</v>
      </c>
      <c r="AG903">
        <v>0.29249999999999998</v>
      </c>
      <c r="AH903">
        <v>3</v>
      </c>
      <c r="AI903">
        <v>-1</v>
      </c>
      <c r="AJ903" t="s">
        <v>3</v>
      </c>
      <c r="AK903">
        <v>0</v>
      </c>
      <c r="AL903">
        <v>0</v>
      </c>
      <c r="AM903">
        <v>0</v>
      </c>
      <c r="AN903">
        <v>0</v>
      </c>
      <c r="AO903">
        <v>0</v>
      </c>
      <c r="AP903">
        <v>0</v>
      </c>
      <c r="AQ903">
        <v>0</v>
      </c>
      <c r="AR903">
        <v>0</v>
      </c>
    </row>
    <row r="904" spans="1:44" x14ac:dyDescent="0.2">
      <c r="A904">
        <f>ROW(Source!A962)</f>
        <v>962</v>
      </c>
      <c r="B904">
        <v>1472515993</v>
      </c>
      <c r="C904">
        <v>1472500834</v>
      </c>
      <c r="D904">
        <v>1441834258</v>
      </c>
      <c r="E904">
        <v>1</v>
      </c>
      <c r="F904">
        <v>1</v>
      </c>
      <c r="G904">
        <v>15514512</v>
      </c>
      <c r="H904">
        <v>2</v>
      </c>
      <c r="I904" t="s">
        <v>892</v>
      </c>
      <c r="J904" t="s">
        <v>893</v>
      </c>
      <c r="K904" t="s">
        <v>894</v>
      </c>
      <c r="L904">
        <v>1368</v>
      </c>
      <c r="N904">
        <v>1011</v>
      </c>
      <c r="O904" t="s">
        <v>895</v>
      </c>
      <c r="P904" t="s">
        <v>895</v>
      </c>
      <c r="Q904">
        <v>1</v>
      </c>
      <c r="X904">
        <v>0.01</v>
      </c>
      <c r="Y904">
        <v>0</v>
      </c>
      <c r="Z904">
        <v>1303.01</v>
      </c>
      <c r="AA904">
        <v>826.2</v>
      </c>
      <c r="AB904">
        <v>0</v>
      </c>
      <c r="AC904">
        <v>0</v>
      </c>
      <c r="AD904">
        <v>1</v>
      </c>
      <c r="AE904">
        <v>0</v>
      </c>
      <c r="AF904" t="s">
        <v>242</v>
      </c>
      <c r="AG904">
        <v>2.2499999999999999E-2</v>
      </c>
      <c r="AH904">
        <v>3</v>
      </c>
      <c r="AI904">
        <v>-1</v>
      </c>
      <c r="AJ904" t="s">
        <v>3</v>
      </c>
      <c r="AK904">
        <v>0</v>
      </c>
      <c r="AL904">
        <v>0</v>
      </c>
      <c r="AM904">
        <v>0</v>
      </c>
      <c r="AN904">
        <v>0</v>
      </c>
      <c r="AO904">
        <v>0</v>
      </c>
      <c r="AP904">
        <v>0</v>
      </c>
      <c r="AQ904">
        <v>0</v>
      </c>
      <c r="AR904">
        <v>0</v>
      </c>
    </row>
    <row r="905" spans="1:44" x14ac:dyDescent="0.2">
      <c r="A905">
        <f>ROW(Source!A962)</f>
        <v>962</v>
      </c>
      <c r="B905">
        <v>1472515994</v>
      </c>
      <c r="C905">
        <v>1472500834</v>
      </c>
      <c r="D905">
        <v>1441836186</v>
      </c>
      <c r="E905">
        <v>1</v>
      </c>
      <c r="F905">
        <v>1</v>
      </c>
      <c r="G905">
        <v>15514512</v>
      </c>
      <c r="H905">
        <v>3</v>
      </c>
      <c r="I905" t="s">
        <v>943</v>
      </c>
      <c r="J905" t="s">
        <v>944</v>
      </c>
      <c r="K905" t="s">
        <v>945</v>
      </c>
      <c r="L905">
        <v>1346</v>
      </c>
      <c r="N905">
        <v>1009</v>
      </c>
      <c r="O905" t="s">
        <v>898</v>
      </c>
      <c r="P905" t="s">
        <v>898</v>
      </c>
      <c r="Q905">
        <v>1</v>
      </c>
      <c r="X905">
        <v>2E-3</v>
      </c>
      <c r="Y905">
        <v>494.57</v>
      </c>
      <c r="Z905">
        <v>0</v>
      </c>
      <c r="AA905">
        <v>0</v>
      </c>
      <c r="AB905">
        <v>0</v>
      </c>
      <c r="AC905">
        <v>0</v>
      </c>
      <c r="AD905">
        <v>1</v>
      </c>
      <c r="AE905">
        <v>0</v>
      </c>
      <c r="AF905" t="s">
        <v>241</v>
      </c>
      <c r="AG905">
        <v>6.0000000000000001E-3</v>
      </c>
      <c r="AH905">
        <v>3</v>
      </c>
      <c r="AI905">
        <v>-1</v>
      </c>
      <c r="AJ905" t="s">
        <v>3</v>
      </c>
      <c r="AK905">
        <v>0</v>
      </c>
      <c r="AL905">
        <v>0</v>
      </c>
      <c r="AM905">
        <v>0</v>
      </c>
      <c r="AN905">
        <v>0</v>
      </c>
      <c r="AO905">
        <v>0</v>
      </c>
      <c r="AP905">
        <v>0</v>
      </c>
      <c r="AQ905">
        <v>0</v>
      </c>
      <c r="AR905">
        <v>0</v>
      </c>
    </row>
    <row r="906" spans="1:44" x14ac:dyDescent="0.2">
      <c r="A906">
        <f>ROW(Source!A962)</f>
        <v>962</v>
      </c>
      <c r="B906">
        <v>1472515995</v>
      </c>
      <c r="C906">
        <v>1472500834</v>
      </c>
      <c r="D906">
        <v>1441836230</v>
      </c>
      <c r="E906">
        <v>1</v>
      </c>
      <c r="F906">
        <v>1</v>
      </c>
      <c r="G906">
        <v>15514512</v>
      </c>
      <c r="H906">
        <v>3</v>
      </c>
      <c r="I906" t="s">
        <v>946</v>
      </c>
      <c r="J906" t="s">
        <v>947</v>
      </c>
      <c r="K906" t="s">
        <v>948</v>
      </c>
      <c r="L906">
        <v>1327</v>
      </c>
      <c r="N906">
        <v>1005</v>
      </c>
      <c r="O906" t="s">
        <v>949</v>
      </c>
      <c r="P906" t="s">
        <v>949</v>
      </c>
      <c r="Q906">
        <v>1</v>
      </c>
      <c r="X906">
        <v>0.01</v>
      </c>
      <c r="Y906">
        <v>46</v>
      </c>
      <c r="Z906">
        <v>0</v>
      </c>
      <c r="AA906">
        <v>0</v>
      </c>
      <c r="AB906">
        <v>0</v>
      </c>
      <c r="AC906">
        <v>0</v>
      </c>
      <c r="AD906">
        <v>1</v>
      </c>
      <c r="AE906">
        <v>0</v>
      </c>
      <c r="AF906" t="s">
        <v>241</v>
      </c>
      <c r="AG906">
        <v>0.03</v>
      </c>
      <c r="AH906">
        <v>3</v>
      </c>
      <c r="AI906">
        <v>-1</v>
      </c>
      <c r="AJ906" t="s">
        <v>3</v>
      </c>
      <c r="AK906">
        <v>0</v>
      </c>
      <c r="AL906">
        <v>0</v>
      </c>
      <c r="AM906">
        <v>0</v>
      </c>
      <c r="AN906">
        <v>0</v>
      </c>
      <c r="AO906">
        <v>0</v>
      </c>
      <c r="AP906">
        <v>0</v>
      </c>
      <c r="AQ906">
        <v>0</v>
      </c>
      <c r="AR906">
        <v>0</v>
      </c>
    </row>
    <row r="907" spans="1:44" x14ac:dyDescent="0.2">
      <c r="A907">
        <f>ROW(Source!A963)</f>
        <v>963</v>
      </c>
      <c r="B907">
        <v>1472515996</v>
      </c>
      <c r="C907">
        <v>1472500876</v>
      </c>
      <c r="D907">
        <v>1441819193</v>
      </c>
      <c r="E907">
        <v>15514512</v>
      </c>
      <c r="F907">
        <v>1</v>
      </c>
      <c r="G907">
        <v>15514512</v>
      </c>
      <c r="H907">
        <v>1</v>
      </c>
      <c r="I907" t="s">
        <v>885</v>
      </c>
      <c r="J907" t="s">
        <v>3</v>
      </c>
      <c r="K907" t="s">
        <v>886</v>
      </c>
      <c r="L907">
        <v>1191</v>
      </c>
      <c r="N907">
        <v>1013</v>
      </c>
      <c r="O907" t="s">
        <v>887</v>
      </c>
      <c r="P907" t="s">
        <v>887</v>
      </c>
      <c r="Q907">
        <v>1</v>
      </c>
      <c r="X907">
        <v>0.8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1</v>
      </c>
      <c r="AE907">
        <v>1</v>
      </c>
      <c r="AF907" t="s">
        <v>28</v>
      </c>
      <c r="AG907">
        <v>1.6</v>
      </c>
      <c r="AH907">
        <v>3</v>
      </c>
      <c r="AI907">
        <v>-1</v>
      </c>
      <c r="AJ907" t="s">
        <v>3</v>
      </c>
      <c r="AK907">
        <v>0</v>
      </c>
      <c r="AL907">
        <v>0</v>
      </c>
      <c r="AM907">
        <v>0</v>
      </c>
      <c r="AN907">
        <v>0</v>
      </c>
      <c r="AO907">
        <v>0</v>
      </c>
      <c r="AP907">
        <v>0</v>
      </c>
      <c r="AQ907">
        <v>0</v>
      </c>
      <c r="AR907">
        <v>0</v>
      </c>
    </row>
    <row r="908" spans="1:44" x14ac:dyDescent="0.2">
      <c r="A908">
        <f>ROW(Source!A964)</f>
        <v>964</v>
      </c>
      <c r="B908">
        <v>1472515997</v>
      </c>
      <c r="C908">
        <v>1472500901</v>
      </c>
      <c r="D908">
        <v>1441819193</v>
      </c>
      <c r="E908">
        <v>15514512</v>
      </c>
      <c r="F908">
        <v>1</v>
      </c>
      <c r="G908">
        <v>15514512</v>
      </c>
      <c r="H908">
        <v>1</v>
      </c>
      <c r="I908" t="s">
        <v>885</v>
      </c>
      <c r="J908" t="s">
        <v>3</v>
      </c>
      <c r="K908" t="s">
        <v>886</v>
      </c>
      <c r="L908">
        <v>1191</v>
      </c>
      <c r="N908">
        <v>1013</v>
      </c>
      <c r="O908" t="s">
        <v>887</v>
      </c>
      <c r="P908" t="s">
        <v>887</v>
      </c>
      <c r="Q908">
        <v>1</v>
      </c>
      <c r="X908">
        <v>3.72</v>
      </c>
      <c r="Y908">
        <v>0</v>
      </c>
      <c r="Z908">
        <v>0</v>
      </c>
      <c r="AA908">
        <v>0</v>
      </c>
      <c r="AB908">
        <v>0</v>
      </c>
      <c r="AC908">
        <v>0</v>
      </c>
      <c r="AD908">
        <v>1</v>
      </c>
      <c r="AE908">
        <v>1</v>
      </c>
      <c r="AF908" t="s">
        <v>28</v>
      </c>
      <c r="AG908">
        <v>7.44</v>
      </c>
      <c r="AH908">
        <v>3</v>
      </c>
      <c r="AI908">
        <v>-1</v>
      </c>
      <c r="AJ908" t="s">
        <v>3</v>
      </c>
      <c r="AK908">
        <v>0</v>
      </c>
      <c r="AL908">
        <v>0</v>
      </c>
      <c r="AM908">
        <v>0</v>
      </c>
      <c r="AN908">
        <v>0</v>
      </c>
      <c r="AO908">
        <v>0</v>
      </c>
      <c r="AP908">
        <v>0</v>
      </c>
      <c r="AQ908">
        <v>0</v>
      </c>
      <c r="AR908">
        <v>0</v>
      </c>
    </row>
    <row r="909" spans="1:44" x14ac:dyDescent="0.2">
      <c r="A909">
        <f>ROW(Source!A964)</f>
        <v>964</v>
      </c>
      <c r="B909">
        <v>1472515998</v>
      </c>
      <c r="C909">
        <v>1472500901</v>
      </c>
      <c r="D909">
        <v>1441836187</v>
      </c>
      <c r="E909">
        <v>1</v>
      </c>
      <c r="F909">
        <v>1</v>
      </c>
      <c r="G909">
        <v>15514512</v>
      </c>
      <c r="H909">
        <v>3</v>
      </c>
      <c r="I909" t="s">
        <v>909</v>
      </c>
      <c r="J909" t="s">
        <v>910</v>
      </c>
      <c r="K909" t="s">
        <v>911</v>
      </c>
      <c r="L909">
        <v>1346</v>
      </c>
      <c r="N909">
        <v>1009</v>
      </c>
      <c r="O909" t="s">
        <v>898</v>
      </c>
      <c r="P909" t="s">
        <v>898</v>
      </c>
      <c r="Q909">
        <v>1</v>
      </c>
      <c r="X909">
        <v>8.0000000000000002E-3</v>
      </c>
      <c r="Y909">
        <v>424.66</v>
      </c>
      <c r="Z909">
        <v>0</v>
      </c>
      <c r="AA909">
        <v>0</v>
      </c>
      <c r="AB909">
        <v>0</v>
      </c>
      <c r="AC909">
        <v>0</v>
      </c>
      <c r="AD909">
        <v>1</v>
      </c>
      <c r="AE909">
        <v>0</v>
      </c>
      <c r="AF909" t="s">
        <v>516</v>
      </c>
      <c r="AG909">
        <v>2.4E-2</v>
      </c>
      <c r="AH909">
        <v>3</v>
      </c>
      <c r="AI909">
        <v>-1</v>
      </c>
      <c r="AJ909" t="s">
        <v>3</v>
      </c>
      <c r="AK909">
        <v>0</v>
      </c>
      <c r="AL909">
        <v>0</v>
      </c>
      <c r="AM909">
        <v>0</v>
      </c>
      <c r="AN909">
        <v>0</v>
      </c>
      <c r="AO909">
        <v>0</v>
      </c>
      <c r="AP909">
        <v>0</v>
      </c>
      <c r="AQ909">
        <v>0</v>
      </c>
      <c r="AR909">
        <v>0</v>
      </c>
    </row>
    <row r="910" spans="1:44" x14ac:dyDescent="0.2">
      <c r="A910">
        <f>ROW(Source!A964)</f>
        <v>964</v>
      </c>
      <c r="B910">
        <v>1472515999</v>
      </c>
      <c r="C910">
        <v>1472500901</v>
      </c>
      <c r="D910">
        <v>1441836235</v>
      </c>
      <c r="E910">
        <v>1</v>
      </c>
      <c r="F910">
        <v>1</v>
      </c>
      <c r="G910">
        <v>15514512</v>
      </c>
      <c r="H910">
        <v>3</v>
      </c>
      <c r="I910" t="s">
        <v>912</v>
      </c>
      <c r="J910" t="s">
        <v>913</v>
      </c>
      <c r="K910" t="s">
        <v>914</v>
      </c>
      <c r="L910">
        <v>1346</v>
      </c>
      <c r="N910">
        <v>1009</v>
      </c>
      <c r="O910" t="s">
        <v>898</v>
      </c>
      <c r="P910" t="s">
        <v>898</v>
      </c>
      <c r="Q910">
        <v>1</v>
      </c>
      <c r="X910">
        <v>0.05</v>
      </c>
      <c r="Y910">
        <v>31.49</v>
      </c>
      <c r="Z910">
        <v>0</v>
      </c>
      <c r="AA910">
        <v>0</v>
      </c>
      <c r="AB910">
        <v>0</v>
      </c>
      <c r="AC910">
        <v>0</v>
      </c>
      <c r="AD910">
        <v>1</v>
      </c>
      <c r="AE910">
        <v>0</v>
      </c>
      <c r="AF910" t="s">
        <v>516</v>
      </c>
      <c r="AG910">
        <v>0.15000000000000002</v>
      </c>
      <c r="AH910">
        <v>3</v>
      </c>
      <c r="AI910">
        <v>-1</v>
      </c>
      <c r="AJ910" t="s">
        <v>3</v>
      </c>
      <c r="AK910">
        <v>0</v>
      </c>
      <c r="AL910">
        <v>0</v>
      </c>
      <c r="AM910">
        <v>0</v>
      </c>
      <c r="AN910">
        <v>0</v>
      </c>
      <c r="AO910">
        <v>0</v>
      </c>
      <c r="AP910">
        <v>0</v>
      </c>
      <c r="AQ910">
        <v>0</v>
      </c>
      <c r="AR910">
        <v>0</v>
      </c>
    </row>
    <row r="911" spans="1:44" x14ac:dyDescent="0.2">
      <c r="A911">
        <f>ROW(Source!A965)</f>
        <v>965</v>
      </c>
      <c r="B911">
        <v>1472516001</v>
      </c>
      <c r="C911">
        <v>1472500928</v>
      </c>
      <c r="D911">
        <v>1441819193</v>
      </c>
      <c r="E911">
        <v>15514512</v>
      </c>
      <c r="F911">
        <v>1</v>
      </c>
      <c r="G911">
        <v>15514512</v>
      </c>
      <c r="H911">
        <v>1</v>
      </c>
      <c r="I911" t="s">
        <v>885</v>
      </c>
      <c r="J911" t="s">
        <v>3</v>
      </c>
      <c r="K911" t="s">
        <v>886</v>
      </c>
      <c r="L911">
        <v>1191</v>
      </c>
      <c r="N911">
        <v>1013</v>
      </c>
      <c r="O911" t="s">
        <v>887</v>
      </c>
      <c r="P911" t="s">
        <v>887</v>
      </c>
      <c r="Q911">
        <v>1</v>
      </c>
      <c r="X911">
        <v>0.72</v>
      </c>
      <c r="Y911">
        <v>0</v>
      </c>
      <c r="Z911">
        <v>0</v>
      </c>
      <c r="AA911">
        <v>0</v>
      </c>
      <c r="AB911">
        <v>0</v>
      </c>
      <c r="AC911">
        <v>0</v>
      </c>
      <c r="AD911">
        <v>1</v>
      </c>
      <c r="AE911">
        <v>1</v>
      </c>
      <c r="AF911" t="s">
        <v>3</v>
      </c>
      <c r="AG911">
        <v>0.72</v>
      </c>
      <c r="AH911">
        <v>3</v>
      </c>
      <c r="AI911">
        <v>-1</v>
      </c>
      <c r="AJ911" t="s">
        <v>3</v>
      </c>
      <c r="AK911">
        <v>0</v>
      </c>
      <c r="AL911">
        <v>0</v>
      </c>
      <c r="AM911">
        <v>0</v>
      </c>
      <c r="AN911">
        <v>0</v>
      </c>
      <c r="AO911">
        <v>0</v>
      </c>
      <c r="AP911">
        <v>0</v>
      </c>
      <c r="AQ911">
        <v>0</v>
      </c>
      <c r="AR911">
        <v>0</v>
      </c>
    </row>
    <row r="912" spans="1:44" x14ac:dyDescent="0.2">
      <c r="A912">
        <f>ROW(Source!A965)</f>
        <v>965</v>
      </c>
      <c r="B912">
        <v>1472516002</v>
      </c>
      <c r="C912">
        <v>1472500928</v>
      </c>
      <c r="D912">
        <v>1441836187</v>
      </c>
      <c r="E912">
        <v>1</v>
      </c>
      <c r="F912">
        <v>1</v>
      </c>
      <c r="G912">
        <v>15514512</v>
      </c>
      <c r="H912">
        <v>3</v>
      </c>
      <c r="I912" t="s">
        <v>909</v>
      </c>
      <c r="J912" t="s">
        <v>910</v>
      </c>
      <c r="K912" t="s">
        <v>911</v>
      </c>
      <c r="L912">
        <v>1346</v>
      </c>
      <c r="N912">
        <v>1009</v>
      </c>
      <c r="O912" t="s">
        <v>898</v>
      </c>
      <c r="P912" t="s">
        <v>898</v>
      </c>
      <c r="Q912">
        <v>1</v>
      </c>
      <c r="X912">
        <v>5.0000000000000001E-4</v>
      </c>
      <c r="Y912">
        <v>424.66</v>
      </c>
      <c r="Z912">
        <v>0</v>
      </c>
      <c r="AA912">
        <v>0</v>
      </c>
      <c r="AB912">
        <v>0</v>
      </c>
      <c r="AC912">
        <v>0</v>
      </c>
      <c r="AD912">
        <v>1</v>
      </c>
      <c r="AE912">
        <v>0</v>
      </c>
      <c r="AF912" t="s">
        <v>3</v>
      </c>
      <c r="AG912">
        <v>5.0000000000000001E-4</v>
      </c>
      <c r="AH912">
        <v>3</v>
      </c>
      <c r="AI912">
        <v>-1</v>
      </c>
      <c r="AJ912" t="s">
        <v>3</v>
      </c>
      <c r="AK912">
        <v>0</v>
      </c>
      <c r="AL912">
        <v>0</v>
      </c>
      <c r="AM912">
        <v>0</v>
      </c>
      <c r="AN912">
        <v>0</v>
      </c>
      <c r="AO912">
        <v>0</v>
      </c>
      <c r="AP912">
        <v>0</v>
      </c>
      <c r="AQ912">
        <v>0</v>
      </c>
      <c r="AR912">
        <v>0</v>
      </c>
    </row>
    <row r="913" spans="1:44" x14ac:dyDescent="0.2">
      <c r="A913">
        <f>ROW(Source!A965)</f>
        <v>965</v>
      </c>
      <c r="B913">
        <v>1472516003</v>
      </c>
      <c r="C913">
        <v>1472500928</v>
      </c>
      <c r="D913">
        <v>1441836230</v>
      </c>
      <c r="E913">
        <v>1</v>
      </c>
      <c r="F913">
        <v>1</v>
      </c>
      <c r="G913">
        <v>15514512</v>
      </c>
      <c r="H913">
        <v>3</v>
      </c>
      <c r="I913" t="s">
        <v>946</v>
      </c>
      <c r="J913" t="s">
        <v>947</v>
      </c>
      <c r="K913" t="s">
        <v>948</v>
      </c>
      <c r="L913">
        <v>1327</v>
      </c>
      <c r="N913">
        <v>1005</v>
      </c>
      <c r="O913" t="s">
        <v>949</v>
      </c>
      <c r="P913" t="s">
        <v>949</v>
      </c>
      <c r="Q913">
        <v>1</v>
      </c>
      <c r="X913">
        <v>0.05</v>
      </c>
      <c r="Y913">
        <v>46</v>
      </c>
      <c r="Z913">
        <v>0</v>
      </c>
      <c r="AA913">
        <v>0</v>
      </c>
      <c r="AB913">
        <v>0</v>
      </c>
      <c r="AC913">
        <v>0</v>
      </c>
      <c r="AD913">
        <v>1</v>
      </c>
      <c r="AE913">
        <v>0</v>
      </c>
      <c r="AF913" t="s">
        <v>3</v>
      </c>
      <c r="AG913">
        <v>0.05</v>
      </c>
      <c r="AH913">
        <v>3</v>
      </c>
      <c r="AI913">
        <v>-1</v>
      </c>
      <c r="AJ913" t="s">
        <v>3</v>
      </c>
      <c r="AK913">
        <v>0</v>
      </c>
      <c r="AL913">
        <v>0</v>
      </c>
      <c r="AM913">
        <v>0</v>
      </c>
      <c r="AN913">
        <v>0</v>
      </c>
      <c r="AO913">
        <v>0</v>
      </c>
      <c r="AP913">
        <v>0</v>
      </c>
      <c r="AQ913">
        <v>0</v>
      </c>
      <c r="AR913">
        <v>0</v>
      </c>
    </row>
    <row r="914" spans="1:44" x14ac:dyDescent="0.2">
      <c r="A914">
        <f>ROW(Source!A965)</f>
        <v>965</v>
      </c>
      <c r="B914">
        <v>1472516004</v>
      </c>
      <c r="C914">
        <v>1472500928</v>
      </c>
      <c r="D914">
        <v>1441836235</v>
      </c>
      <c r="E914">
        <v>1</v>
      </c>
      <c r="F914">
        <v>1</v>
      </c>
      <c r="G914">
        <v>15514512</v>
      </c>
      <c r="H914">
        <v>3</v>
      </c>
      <c r="I914" t="s">
        <v>912</v>
      </c>
      <c r="J914" t="s">
        <v>913</v>
      </c>
      <c r="K914" t="s">
        <v>914</v>
      </c>
      <c r="L914">
        <v>1346</v>
      </c>
      <c r="N914">
        <v>1009</v>
      </c>
      <c r="O914" t="s">
        <v>898</v>
      </c>
      <c r="P914" t="s">
        <v>898</v>
      </c>
      <c r="Q914">
        <v>1</v>
      </c>
      <c r="X914">
        <v>0.05</v>
      </c>
      <c r="Y914">
        <v>31.49</v>
      </c>
      <c r="Z914">
        <v>0</v>
      </c>
      <c r="AA914">
        <v>0</v>
      </c>
      <c r="AB914">
        <v>0</v>
      </c>
      <c r="AC914">
        <v>0</v>
      </c>
      <c r="AD914">
        <v>1</v>
      </c>
      <c r="AE914">
        <v>0</v>
      </c>
      <c r="AF914" t="s">
        <v>3</v>
      </c>
      <c r="AG914">
        <v>0.05</v>
      </c>
      <c r="AH914">
        <v>3</v>
      </c>
      <c r="AI914">
        <v>-1</v>
      </c>
      <c r="AJ914" t="s">
        <v>3</v>
      </c>
      <c r="AK914">
        <v>0</v>
      </c>
      <c r="AL914">
        <v>0</v>
      </c>
      <c r="AM914">
        <v>0</v>
      </c>
      <c r="AN914">
        <v>0</v>
      </c>
      <c r="AO914">
        <v>0</v>
      </c>
      <c r="AP914">
        <v>0</v>
      </c>
      <c r="AQ914">
        <v>0</v>
      </c>
      <c r="AR914">
        <v>0</v>
      </c>
    </row>
    <row r="915" spans="1:44" x14ac:dyDescent="0.2">
      <c r="A915">
        <f>ROW(Source!A966)</f>
        <v>966</v>
      </c>
      <c r="B915">
        <v>1472516005</v>
      </c>
      <c r="C915">
        <v>1472500941</v>
      </c>
      <c r="D915">
        <v>1441819193</v>
      </c>
      <c r="E915">
        <v>15514512</v>
      </c>
      <c r="F915">
        <v>1</v>
      </c>
      <c r="G915">
        <v>15514512</v>
      </c>
      <c r="H915">
        <v>1</v>
      </c>
      <c r="I915" t="s">
        <v>885</v>
      </c>
      <c r="J915" t="s">
        <v>3</v>
      </c>
      <c r="K915" t="s">
        <v>886</v>
      </c>
      <c r="L915">
        <v>1191</v>
      </c>
      <c r="N915">
        <v>1013</v>
      </c>
      <c r="O915" t="s">
        <v>887</v>
      </c>
      <c r="P915" t="s">
        <v>887</v>
      </c>
      <c r="Q915">
        <v>1</v>
      </c>
      <c r="X915">
        <v>0.2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1</v>
      </c>
      <c r="AE915">
        <v>1</v>
      </c>
      <c r="AF915" t="s">
        <v>516</v>
      </c>
      <c r="AG915">
        <v>0.60000000000000009</v>
      </c>
      <c r="AH915">
        <v>3</v>
      </c>
      <c r="AI915">
        <v>-1</v>
      </c>
      <c r="AJ915" t="s">
        <v>3</v>
      </c>
      <c r="AK915">
        <v>0</v>
      </c>
      <c r="AL915">
        <v>0</v>
      </c>
      <c r="AM915">
        <v>0</v>
      </c>
      <c r="AN915">
        <v>0</v>
      </c>
      <c r="AO915">
        <v>0</v>
      </c>
      <c r="AP915">
        <v>0</v>
      </c>
      <c r="AQ915">
        <v>0</v>
      </c>
      <c r="AR915">
        <v>0</v>
      </c>
    </row>
    <row r="916" spans="1:44" x14ac:dyDescent="0.2">
      <c r="A916">
        <f>ROW(Source!A966)</f>
        <v>966</v>
      </c>
      <c r="B916">
        <v>1472516006</v>
      </c>
      <c r="C916">
        <v>1472500941</v>
      </c>
      <c r="D916">
        <v>1441836230</v>
      </c>
      <c r="E916">
        <v>1</v>
      </c>
      <c r="F916">
        <v>1</v>
      </c>
      <c r="G916">
        <v>15514512</v>
      </c>
      <c r="H916">
        <v>3</v>
      </c>
      <c r="I916" t="s">
        <v>946</v>
      </c>
      <c r="J916" t="s">
        <v>947</v>
      </c>
      <c r="K916" t="s">
        <v>948</v>
      </c>
      <c r="L916">
        <v>1327</v>
      </c>
      <c r="N916">
        <v>1005</v>
      </c>
      <c r="O916" t="s">
        <v>949</v>
      </c>
      <c r="P916" t="s">
        <v>949</v>
      </c>
      <c r="Q916">
        <v>1</v>
      </c>
      <c r="X916">
        <v>0.1</v>
      </c>
      <c r="Y916">
        <v>46</v>
      </c>
      <c r="Z916">
        <v>0</v>
      </c>
      <c r="AA916">
        <v>0</v>
      </c>
      <c r="AB916">
        <v>0</v>
      </c>
      <c r="AC916">
        <v>0</v>
      </c>
      <c r="AD916">
        <v>1</v>
      </c>
      <c r="AE916">
        <v>0</v>
      </c>
      <c r="AF916" t="s">
        <v>516</v>
      </c>
      <c r="AG916">
        <v>0.30000000000000004</v>
      </c>
      <c r="AH916">
        <v>3</v>
      </c>
      <c r="AI916">
        <v>-1</v>
      </c>
      <c r="AJ916" t="s">
        <v>3</v>
      </c>
      <c r="AK916">
        <v>0</v>
      </c>
      <c r="AL916">
        <v>0</v>
      </c>
      <c r="AM916">
        <v>0</v>
      </c>
      <c r="AN916">
        <v>0</v>
      </c>
      <c r="AO916">
        <v>0</v>
      </c>
      <c r="AP916">
        <v>0</v>
      </c>
      <c r="AQ916">
        <v>0</v>
      </c>
      <c r="AR916">
        <v>0</v>
      </c>
    </row>
    <row r="917" spans="1:44" x14ac:dyDescent="0.2">
      <c r="A917">
        <f>ROW(Source!A966)</f>
        <v>966</v>
      </c>
      <c r="B917">
        <v>1472516007</v>
      </c>
      <c r="C917">
        <v>1472500941</v>
      </c>
      <c r="D917">
        <v>1441836235</v>
      </c>
      <c r="E917">
        <v>1</v>
      </c>
      <c r="F917">
        <v>1</v>
      </c>
      <c r="G917">
        <v>15514512</v>
      </c>
      <c r="H917">
        <v>3</v>
      </c>
      <c r="I917" t="s">
        <v>912</v>
      </c>
      <c r="J917" t="s">
        <v>913</v>
      </c>
      <c r="K917" t="s">
        <v>914</v>
      </c>
      <c r="L917">
        <v>1346</v>
      </c>
      <c r="N917">
        <v>1009</v>
      </c>
      <c r="O917" t="s">
        <v>898</v>
      </c>
      <c r="P917" t="s">
        <v>898</v>
      </c>
      <c r="Q917">
        <v>1</v>
      </c>
      <c r="X917">
        <v>0.1</v>
      </c>
      <c r="Y917">
        <v>31.49</v>
      </c>
      <c r="Z917">
        <v>0</v>
      </c>
      <c r="AA917">
        <v>0</v>
      </c>
      <c r="AB917">
        <v>0</v>
      </c>
      <c r="AC917">
        <v>0</v>
      </c>
      <c r="AD917">
        <v>1</v>
      </c>
      <c r="AE917">
        <v>0</v>
      </c>
      <c r="AF917" t="s">
        <v>516</v>
      </c>
      <c r="AG917">
        <v>0.30000000000000004</v>
      </c>
      <c r="AH917">
        <v>3</v>
      </c>
      <c r="AI917">
        <v>-1</v>
      </c>
      <c r="AJ917" t="s">
        <v>3</v>
      </c>
      <c r="AK917">
        <v>0</v>
      </c>
      <c r="AL917">
        <v>0</v>
      </c>
      <c r="AM917">
        <v>0</v>
      </c>
      <c r="AN917">
        <v>0</v>
      </c>
      <c r="AO917">
        <v>0</v>
      </c>
      <c r="AP917">
        <v>0</v>
      </c>
      <c r="AQ917">
        <v>0</v>
      </c>
      <c r="AR917">
        <v>0</v>
      </c>
    </row>
    <row r="918" spans="1:44" x14ac:dyDescent="0.2">
      <c r="A918">
        <f>ROW(Source!A967)</f>
        <v>967</v>
      </c>
      <c r="B918">
        <v>1472516008</v>
      </c>
      <c r="C918">
        <v>1472500951</v>
      </c>
      <c r="D918">
        <v>1441819193</v>
      </c>
      <c r="E918">
        <v>15514512</v>
      </c>
      <c r="F918">
        <v>1</v>
      </c>
      <c r="G918">
        <v>15514512</v>
      </c>
      <c r="H918">
        <v>1</v>
      </c>
      <c r="I918" t="s">
        <v>885</v>
      </c>
      <c r="J918" t="s">
        <v>3</v>
      </c>
      <c r="K918" t="s">
        <v>886</v>
      </c>
      <c r="L918">
        <v>1191</v>
      </c>
      <c r="N918">
        <v>1013</v>
      </c>
      <c r="O918" t="s">
        <v>887</v>
      </c>
      <c r="P918" t="s">
        <v>887</v>
      </c>
      <c r="Q918">
        <v>1</v>
      </c>
      <c r="X918">
        <v>1.92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1</v>
      </c>
      <c r="AE918">
        <v>1</v>
      </c>
      <c r="AF918" t="s">
        <v>28</v>
      </c>
      <c r="AG918">
        <v>3.84</v>
      </c>
      <c r="AH918">
        <v>3</v>
      </c>
      <c r="AI918">
        <v>-1</v>
      </c>
      <c r="AJ918" t="s">
        <v>3</v>
      </c>
      <c r="AK918">
        <v>0</v>
      </c>
      <c r="AL918">
        <v>0</v>
      </c>
      <c r="AM918">
        <v>0</v>
      </c>
      <c r="AN918">
        <v>0</v>
      </c>
      <c r="AO918">
        <v>0</v>
      </c>
      <c r="AP918">
        <v>0</v>
      </c>
      <c r="AQ918">
        <v>0</v>
      </c>
      <c r="AR918">
        <v>0</v>
      </c>
    </row>
    <row r="919" spans="1:44" x14ac:dyDescent="0.2">
      <c r="A919">
        <f>ROW(Source!A968)</f>
        <v>968</v>
      </c>
      <c r="B919">
        <v>1472516009</v>
      </c>
      <c r="C919">
        <v>1472500957</v>
      </c>
      <c r="D919">
        <v>1441819193</v>
      </c>
      <c r="E919">
        <v>15514512</v>
      </c>
      <c r="F919">
        <v>1</v>
      </c>
      <c r="G919">
        <v>15514512</v>
      </c>
      <c r="H919">
        <v>1</v>
      </c>
      <c r="I919" t="s">
        <v>885</v>
      </c>
      <c r="J919" t="s">
        <v>3</v>
      </c>
      <c r="K919" t="s">
        <v>886</v>
      </c>
      <c r="L919">
        <v>1191</v>
      </c>
      <c r="N919">
        <v>1013</v>
      </c>
      <c r="O919" t="s">
        <v>887</v>
      </c>
      <c r="P919" t="s">
        <v>887</v>
      </c>
      <c r="Q919">
        <v>1</v>
      </c>
      <c r="X919">
        <v>0.92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1</v>
      </c>
      <c r="AE919">
        <v>1</v>
      </c>
      <c r="AF919" t="s">
        <v>28</v>
      </c>
      <c r="AG919">
        <v>1.84</v>
      </c>
      <c r="AH919">
        <v>3</v>
      </c>
      <c r="AI919">
        <v>-1</v>
      </c>
      <c r="AJ919" t="s">
        <v>3</v>
      </c>
      <c r="AK919">
        <v>0</v>
      </c>
      <c r="AL919">
        <v>0</v>
      </c>
      <c r="AM919">
        <v>0</v>
      </c>
      <c r="AN919">
        <v>0</v>
      </c>
      <c r="AO919">
        <v>0</v>
      </c>
      <c r="AP919">
        <v>0</v>
      </c>
      <c r="AQ919">
        <v>0</v>
      </c>
      <c r="AR919">
        <v>0</v>
      </c>
    </row>
    <row r="920" spans="1:44" x14ac:dyDescent="0.2">
      <c r="A920">
        <f>ROW(Source!A968)</f>
        <v>968</v>
      </c>
      <c r="B920">
        <v>1472516010</v>
      </c>
      <c r="C920">
        <v>1472500957</v>
      </c>
      <c r="D920">
        <v>1441836187</v>
      </c>
      <c r="E920">
        <v>1</v>
      </c>
      <c r="F920">
        <v>1</v>
      </c>
      <c r="G920">
        <v>15514512</v>
      </c>
      <c r="H920">
        <v>3</v>
      </c>
      <c r="I920" t="s">
        <v>909</v>
      </c>
      <c r="J920" t="s">
        <v>910</v>
      </c>
      <c r="K920" t="s">
        <v>911</v>
      </c>
      <c r="L920">
        <v>1346</v>
      </c>
      <c r="N920">
        <v>1009</v>
      </c>
      <c r="O920" t="s">
        <v>898</v>
      </c>
      <c r="P920" t="s">
        <v>898</v>
      </c>
      <c r="Q920">
        <v>1</v>
      </c>
      <c r="X920">
        <v>8.0000000000000002E-3</v>
      </c>
      <c r="Y920">
        <v>424.66</v>
      </c>
      <c r="Z920">
        <v>0</v>
      </c>
      <c r="AA920">
        <v>0</v>
      </c>
      <c r="AB920">
        <v>0</v>
      </c>
      <c r="AC920">
        <v>0</v>
      </c>
      <c r="AD920">
        <v>1</v>
      </c>
      <c r="AE920">
        <v>0</v>
      </c>
      <c r="AF920" t="s">
        <v>28</v>
      </c>
      <c r="AG920">
        <v>1.6E-2</v>
      </c>
      <c r="AH920">
        <v>3</v>
      </c>
      <c r="AI920">
        <v>-1</v>
      </c>
      <c r="AJ920" t="s">
        <v>3</v>
      </c>
      <c r="AK920">
        <v>0</v>
      </c>
      <c r="AL920">
        <v>0</v>
      </c>
      <c r="AM920">
        <v>0</v>
      </c>
      <c r="AN920">
        <v>0</v>
      </c>
      <c r="AO920">
        <v>0</v>
      </c>
      <c r="AP920">
        <v>0</v>
      </c>
      <c r="AQ920">
        <v>0</v>
      </c>
      <c r="AR920">
        <v>0</v>
      </c>
    </row>
    <row r="921" spans="1:44" x14ac:dyDescent="0.2">
      <c r="A921">
        <f>ROW(Source!A968)</f>
        <v>968</v>
      </c>
      <c r="B921">
        <v>1472516011</v>
      </c>
      <c r="C921">
        <v>1472500957</v>
      </c>
      <c r="D921">
        <v>1441836235</v>
      </c>
      <c r="E921">
        <v>1</v>
      </c>
      <c r="F921">
        <v>1</v>
      </c>
      <c r="G921">
        <v>15514512</v>
      </c>
      <c r="H921">
        <v>3</v>
      </c>
      <c r="I921" t="s">
        <v>912</v>
      </c>
      <c r="J921" t="s">
        <v>913</v>
      </c>
      <c r="K921" t="s">
        <v>914</v>
      </c>
      <c r="L921">
        <v>1346</v>
      </c>
      <c r="N921">
        <v>1009</v>
      </c>
      <c r="O921" t="s">
        <v>898</v>
      </c>
      <c r="P921" t="s">
        <v>898</v>
      </c>
      <c r="Q921">
        <v>1</v>
      </c>
      <c r="X921">
        <v>0.05</v>
      </c>
      <c r="Y921">
        <v>31.49</v>
      </c>
      <c r="Z921">
        <v>0</v>
      </c>
      <c r="AA921">
        <v>0</v>
      </c>
      <c r="AB921">
        <v>0</v>
      </c>
      <c r="AC921">
        <v>0</v>
      </c>
      <c r="AD921">
        <v>1</v>
      </c>
      <c r="AE921">
        <v>0</v>
      </c>
      <c r="AF921" t="s">
        <v>28</v>
      </c>
      <c r="AG921">
        <v>0.1</v>
      </c>
      <c r="AH921">
        <v>3</v>
      </c>
      <c r="AI921">
        <v>-1</v>
      </c>
      <c r="AJ921" t="s">
        <v>3</v>
      </c>
      <c r="AK921">
        <v>0</v>
      </c>
      <c r="AL921">
        <v>0</v>
      </c>
      <c r="AM921">
        <v>0</v>
      </c>
      <c r="AN921">
        <v>0</v>
      </c>
      <c r="AO921">
        <v>0</v>
      </c>
      <c r="AP921">
        <v>0</v>
      </c>
      <c r="AQ921">
        <v>0</v>
      </c>
      <c r="AR921">
        <v>0</v>
      </c>
    </row>
    <row r="922" spans="1:44" x14ac:dyDescent="0.2">
      <c r="A922">
        <f>ROW(Source!A969)</f>
        <v>969</v>
      </c>
      <c r="B922">
        <v>1472516012</v>
      </c>
      <c r="C922">
        <v>1472500969</v>
      </c>
      <c r="D922">
        <v>1441819193</v>
      </c>
      <c r="E922">
        <v>15514512</v>
      </c>
      <c r="F922">
        <v>1</v>
      </c>
      <c r="G922">
        <v>15514512</v>
      </c>
      <c r="H922">
        <v>1</v>
      </c>
      <c r="I922" t="s">
        <v>885</v>
      </c>
      <c r="J922" t="s">
        <v>3</v>
      </c>
      <c r="K922" t="s">
        <v>886</v>
      </c>
      <c r="L922">
        <v>1191</v>
      </c>
      <c r="N922">
        <v>1013</v>
      </c>
      <c r="O922" t="s">
        <v>887</v>
      </c>
      <c r="P922" t="s">
        <v>887</v>
      </c>
      <c r="Q922">
        <v>1</v>
      </c>
      <c r="X922">
        <v>0.7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1</v>
      </c>
      <c r="AE922">
        <v>1</v>
      </c>
      <c r="AF922" t="s">
        <v>3</v>
      </c>
      <c r="AG922">
        <v>0.7</v>
      </c>
      <c r="AH922">
        <v>3</v>
      </c>
      <c r="AI922">
        <v>-1</v>
      </c>
      <c r="AJ922" t="s">
        <v>3</v>
      </c>
      <c r="AK922">
        <v>0</v>
      </c>
      <c r="AL922">
        <v>0</v>
      </c>
      <c r="AM922">
        <v>0</v>
      </c>
      <c r="AN922">
        <v>0</v>
      </c>
      <c r="AO922">
        <v>0</v>
      </c>
      <c r="AP922">
        <v>0</v>
      </c>
      <c r="AQ922">
        <v>0</v>
      </c>
      <c r="AR922">
        <v>0</v>
      </c>
    </row>
    <row r="923" spans="1:44" x14ac:dyDescent="0.2">
      <c r="A923">
        <f>ROW(Source!A971)</f>
        <v>971</v>
      </c>
      <c r="B923">
        <v>1472516014</v>
      </c>
      <c r="C923">
        <v>1472500976</v>
      </c>
      <c r="D923">
        <v>1441819193</v>
      </c>
      <c r="E923">
        <v>15514512</v>
      </c>
      <c r="F923">
        <v>1</v>
      </c>
      <c r="G923">
        <v>15514512</v>
      </c>
      <c r="H923">
        <v>1</v>
      </c>
      <c r="I923" t="s">
        <v>885</v>
      </c>
      <c r="J923" t="s">
        <v>3</v>
      </c>
      <c r="K923" t="s">
        <v>886</v>
      </c>
      <c r="L923">
        <v>1191</v>
      </c>
      <c r="N923">
        <v>1013</v>
      </c>
      <c r="O923" t="s">
        <v>887</v>
      </c>
      <c r="P923" t="s">
        <v>887</v>
      </c>
      <c r="Q923">
        <v>1</v>
      </c>
      <c r="X923">
        <v>0.7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1</v>
      </c>
      <c r="AE923">
        <v>1</v>
      </c>
      <c r="AF923" t="s">
        <v>3</v>
      </c>
      <c r="AG923">
        <v>0.7</v>
      </c>
      <c r="AH923">
        <v>3</v>
      </c>
      <c r="AI923">
        <v>-1</v>
      </c>
      <c r="AJ923" t="s">
        <v>3</v>
      </c>
      <c r="AK923">
        <v>0</v>
      </c>
      <c r="AL923">
        <v>0</v>
      </c>
      <c r="AM923">
        <v>0</v>
      </c>
      <c r="AN923">
        <v>0</v>
      </c>
      <c r="AO923">
        <v>0</v>
      </c>
      <c r="AP923">
        <v>0</v>
      </c>
      <c r="AQ923">
        <v>0</v>
      </c>
      <c r="AR923">
        <v>0</v>
      </c>
    </row>
    <row r="924" spans="1:44" x14ac:dyDescent="0.2">
      <c r="A924">
        <f>ROW(Source!A973)</f>
        <v>973</v>
      </c>
      <c r="B924">
        <v>1472516015</v>
      </c>
      <c r="C924">
        <v>1472500983</v>
      </c>
      <c r="D924">
        <v>1441819193</v>
      </c>
      <c r="E924">
        <v>15514512</v>
      </c>
      <c r="F924">
        <v>1</v>
      </c>
      <c r="G924">
        <v>15514512</v>
      </c>
      <c r="H924">
        <v>1</v>
      </c>
      <c r="I924" t="s">
        <v>885</v>
      </c>
      <c r="J924" t="s">
        <v>3</v>
      </c>
      <c r="K924" t="s">
        <v>886</v>
      </c>
      <c r="L924">
        <v>1191</v>
      </c>
      <c r="N924">
        <v>1013</v>
      </c>
      <c r="O924" t="s">
        <v>887</v>
      </c>
      <c r="P924" t="s">
        <v>887</v>
      </c>
      <c r="Q924">
        <v>1</v>
      </c>
      <c r="X924">
        <v>0.7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1</v>
      </c>
      <c r="AE924">
        <v>1</v>
      </c>
      <c r="AF924" t="s">
        <v>3</v>
      </c>
      <c r="AG924">
        <v>0.7</v>
      </c>
      <c r="AH924">
        <v>3</v>
      </c>
      <c r="AI924">
        <v>-1</v>
      </c>
      <c r="AJ924" t="s">
        <v>3</v>
      </c>
      <c r="AK924">
        <v>0</v>
      </c>
      <c r="AL924">
        <v>0</v>
      </c>
      <c r="AM924">
        <v>0</v>
      </c>
      <c r="AN924">
        <v>0</v>
      </c>
      <c r="AO924">
        <v>0</v>
      </c>
      <c r="AP924">
        <v>0</v>
      </c>
      <c r="AQ924">
        <v>0</v>
      </c>
      <c r="AR92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объект_(Копия)_(Копия)_(Копия)_(Копия)</v>
      </c>
      <c r="G12" t="str">
        <f>Source!G12</f>
        <v>СН_1.5_на 4 мес.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2025-12-10T15:55:10Z</dcterms:created>
  <dcterms:modified xsi:type="dcterms:W3CDTF">2025-12-11T13:03:40Z</dcterms:modified>
</cp:coreProperties>
</file>